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C:\Users\m-numakunai\Downloads\"/>
    </mc:Choice>
  </mc:AlternateContent>
  <xr:revisionPtr revIDLastSave="0" documentId="8_{6267CE12-13EF-4F17-829E-C75657A57AEF}" xr6:coauthVersionLast="47" xr6:coauthVersionMax="47" xr10:uidLastSave="{00000000-0000-0000-0000-000000000000}"/>
  <workbookProtection workbookAlgorithmName="SHA-512" workbookHashValue="nbha0NW/xD/lhvnOqpRv918odRp2gST5ErDMHfGWouQsyhPoI7XPdxM2AV+AN7QW6MViVw9grcLIWQ+4jAivNw==" workbookSaltValue="Bl0nBGncphL1Z9KGVDlEAQ==" workbookSpinCount="100000" lockStructure="1"/>
  <bookViews>
    <workbookView xWindow="19090" yWindow="-110" windowWidth="38620" windowHeight="21100" tabRatio="793" activeTab="2" xr2:uid="{7758F0B0-6C77-4ED6-8342-1735B2631AAF}"/>
  </bookViews>
  <sheets>
    <sheet name="入力フォームシート選択" sheetId="29" r:id="rId1"/>
    <sheet name="中間データオンプレ" sheetId="2" state="hidden" r:id="rId2"/>
    <sheet name="入力フォーム_Z-FILTER" sheetId="34" r:id="rId3"/>
    <sheet name="入力フォームDA_Cloud" sheetId="11" r:id="rId4"/>
    <sheet name="入力フォームiF・mF・FC・iFBC・MA" sheetId="4" r:id="rId5"/>
    <sheet name="入力フォーム_Desk" sheetId="26" r:id="rId6"/>
    <sheet name="入力フォーム_a-FILTER" sheetId="30" r:id="rId7"/>
    <sheet name="入力フォーム_f-FILTER" sheetId="33" r:id="rId8"/>
    <sheet name="入力フォームDSPA" sheetId="8" r:id="rId9"/>
    <sheet name="代ホ_入力フォームiF・mF・MA" sheetId="24" r:id="rId10"/>
    <sheet name="中間データ共通・DACloud" sheetId="12" state="hidden" r:id="rId11"/>
    <sheet name="中間データ共通・Desk・f-FILTER・Z-FILTER" sheetId="27" state="hidden" r:id="rId12"/>
    <sheet name="代ホ_入力フォームDSPA" sheetId="25" r:id="rId13"/>
    <sheet name="product" sheetId="22" state="hidden" r:id="rId14"/>
    <sheet name="中間データDSPA" sheetId="9" state="hidden" r:id="rId15"/>
    <sheet name="管理" sheetId="16" state="hidden" r:id="rId16"/>
    <sheet name="お客様情報" sheetId="23" state="hidden" r:id="rId17"/>
    <sheet name="user" sheetId="21" state="hidden" r:id="rId18"/>
  </sheets>
  <definedNames>
    <definedName name="_xlnm._FilterDatabase" localSheetId="14" hidden="1">中間データDSPA!#REF!</definedName>
    <definedName name="Desk_製品区分">'中間データ共通・Desk・f-FILTER・Z-FILTER'!$M$4:$M$5</definedName>
    <definedName name="DeskCloud_OP_DiskExpansion数量" localSheetId="11">'中間データ共通・Desk・f-FILTER・Z-FILTER'!$N$4:$N$5</definedName>
    <definedName name="DeskCloud_OP_DiskExpansion数量">中間データ共通・DACloud!$AC$4:$AC$5</definedName>
    <definedName name="DeskCloud_申請区分" localSheetId="11">'中間データ共通・Desk・f-FILTER・Z-FILTER'!$L$4:$L$8</definedName>
    <definedName name="DeskCloud_申請区分">中間データ共通・DACloud!$AA$4:$AA$8</definedName>
    <definedName name="DeskCloud_製品区分">中間データ共通・DACloud!$AB$4:$AB$7</definedName>
    <definedName name="FCCloud_申請区分" localSheetId="11">'中間データ共通・Desk・f-FILTER・Z-FILTER'!#REF!</definedName>
    <definedName name="FCCloud_申請区分">中間データ共通・DACloud!$X$4:$X$13</definedName>
    <definedName name="FCCloud_製品区分" localSheetId="11">'中間データ共通・Desk・f-FILTER・Z-FILTER'!#REF!</definedName>
    <definedName name="FCCloud_製品区分">中間データ共通・DACloud!$Y$4:$Y$5</definedName>
    <definedName name="FinalCode_Ver.6_申請区分">中間データオンプレ!$U$24:$U$33</definedName>
    <definedName name="FinalCode_Ver.6_製品区分">中間データオンプレ!$T$24:$T$25</definedName>
    <definedName name="GIGAスクール版" localSheetId="11">'中間データ共通・Desk・f-FILTER・Z-FILTER'!#REF!</definedName>
    <definedName name="GIGAスクール版">中間データ共通・DACloud!$L$4:$L$12</definedName>
    <definedName name="iFCloud_OP_ログ保存" localSheetId="11">'中間データ共通・Desk・f-FILTER・Z-FILTER'!#REF!</definedName>
    <definedName name="iFCloud_OP_ログ保存">中間データ共通・DACloud!$M$4:$M$7</definedName>
    <definedName name="iFCloud_申請区分" localSheetId="11">'中間データ共通・Desk・f-FILTER・Z-FILTER'!#REF!</definedName>
    <definedName name="iFCloud_申請区分">中間データ共通・DACloud!$K$4:$K$8</definedName>
    <definedName name="iFCloud_製品区分" localSheetId="11">'中間データ共通・Desk・f-FILTER・Z-FILTER'!#REF!</definedName>
    <definedName name="iFCloud_製品区分">中間データ共通・DACloud!$N$4:$N$7</definedName>
    <definedName name="i‐FILTER_Ver.10">中間データオンプレ!$W$3:$Z$11</definedName>
    <definedName name="i‐FILTER_Ver.8.x以下">中間データオンプレ!$AC$3:$AD$6</definedName>
    <definedName name="i‐FILTER_Ver.9">中間データオンプレ!$AA$3:$AB$6</definedName>
    <definedName name="iF製品区分">中間データオンプレ!$W$2:$Y$2</definedName>
    <definedName name="mFCloud_OP_アーカイブ保存" localSheetId="11">'中間データ共通・Desk・f-FILTER・Z-FILTER'!#REF!</definedName>
    <definedName name="mFCloud_OP_アーカイブ保存">中間データ共通・DACloud!$S$4:$S$6</definedName>
    <definedName name="mFCloud_クリプト便" localSheetId="11">'中間データ共通・Desk・f-FILTER・Z-FILTER'!#REF!</definedName>
    <definedName name="mFCloud_クリプト便">中間データ共通・DACloud!$T$4:$T$7</definedName>
    <definedName name="mFCloud_申請区分" localSheetId="11">'中間データ共通・Desk・f-FILTER・Z-FILTER'!#REF!</definedName>
    <definedName name="mFCloud_申請区分">中間データ共通・DACloud!$R$4:$R$8</definedName>
    <definedName name="mFCloud_製品区分" localSheetId="11">'中間データ共通・Desk・f-FILTER・Z-FILTER'!#REF!</definedName>
    <definedName name="mFCloud_製品区分">中間データ共通・DACloud!$V$4:$V$6</definedName>
    <definedName name="m‐FILTER_Ver.3.x以下">中間データオンプレ!$Z$15:$Z$18</definedName>
    <definedName name="m‐FILTER_Ver.4__Ver.4.81以下">中間データオンプレ!$Y$15:$Y$18</definedName>
    <definedName name="m‐FILTER_Ver.4__Ver.4.82以上">中間データオンプレ!$X$15:$X$18</definedName>
    <definedName name="m‐FILTER_Ver.5">中間データオンプレ!$W$15:$W$23</definedName>
    <definedName name="mF製品区分">中間データオンプレ!$W$14:$Z$14</definedName>
    <definedName name="mF製品区分_5以外">中間データオンプレ!$X$14:$Z$14</definedName>
    <definedName name="Microsoft365版">中間データオンプレ!$X$26:$X$30</definedName>
    <definedName name="OutlookBeckyThunderbird版">中間データオンプレ!$W$26:$W$30</definedName>
    <definedName name="_xlnm.Print_Area" localSheetId="12">代ホ_入力フォームDSPA!$A$1:$DL$171</definedName>
    <definedName name="_xlnm.Print_Area" localSheetId="9">代ホ_入力フォームiF・mF・MA!$A$1:$DL$159</definedName>
    <definedName name="_xlnm.Print_Area" localSheetId="6">'入力フォーム_a-FILTER'!$A$1:$DM$94</definedName>
    <definedName name="_xlnm.Print_Area" localSheetId="5">入力フォーム_Desk!$A$1:$DM$112</definedName>
    <definedName name="_xlnm.Print_Area" localSheetId="7">'入力フォーム_f-FILTER'!$A$1:$DM$94</definedName>
    <definedName name="_xlnm.Print_Area" localSheetId="2">'入力フォーム_Z-FILTER'!$A$1:$DM$131</definedName>
    <definedName name="_xlnm.Print_Area" localSheetId="3">入力フォームDA_Cloud!$A$1:$DM$160</definedName>
    <definedName name="_xlnm.Print_Area" localSheetId="8">入力フォームDSPA!$A$1:$DL$163</definedName>
    <definedName name="_xlnm.Print_Area" localSheetId="4">入力フォームiF・mF・FC・iFBC・MA!$A$1:$DL$156</definedName>
    <definedName name="StartIn保有">'中間データ共通・Desk・f-FILTER・Z-FILTER'!$U$4:$U$6</definedName>
    <definedName name="V2モデルiF">中間データDSPA!#REF!</definedName>
    <definedName name="V2モデル保守">中間データDSPA!$G$43:$G$46</definedName>
    <definedName name="YESNO共通" localSheetId="11">'中間データ共通・Desk・f-FILTER・Z-FILTER'!$B$4:$B$5</definedName>
    <definedName name="YESNO共通">中間データ共通・DACloud!$B$4:$B$5</definedName>
    <definedName name="ZF_申請区分_ID.SSE">'中間データ共通・Desk・f-FILTER・Z-FILTER'!$S$4:$S$13</definedName>
    <definedName name="ZF_申請区分_SWG">'中間データ共通・Desk・f-FILTER・Z-FILTER'!$T$4:$T$8</definedName>
    <definedName name="ZF＿製品区分">'中間データ共通・Desk・f-FILTER・Z-FILTER'!$R$4:$R$7</definedName>
    <definedName name="クリプト便エディション">中間データオンプレ!$W$48:$W$52</definedName>
    <definedName name="ソフトオプション_連携AV製品">中間データDSPA!$E$52:$E$55</definedName>
    <definedName name="ソフトオプション区分">中間データDSPA!$C$52:$C$56</definedName>
    <definedName name="ソフトオプション区分_GIGA">中間データDSPA!$D$52:$D$60</definedName>
    <definedName name="ハードオプション_HDD拡充オプション">中間データDSPA!$B$62:$B$68</definedName>
    <definedName name="ハードオプション_HDD拡充利用用途">中間データDSPA!$B$75:$B$77</definedName>
    <definedName name="ハードオプション_追加ネットワーク・インターフェース">中間データDSPA!$B$80</definedName>
    <definedName name="ハードオプション_追加電源ケーブル">中間データDSPA!$B$92:$B$97</definedName>
    <definedName name="ハードオプション_電源冗長化オプション">中間データDSPA!$B$84:$B$86</definedName>
    <definedName name="モデル名">中間データDSPA!$A$41:$W$41</definedName>
    <definedName name="モデル名_202302">中間データDSPA!$B$41:$W$41</definedName>
    <definedName name="モデル名リスト">中間データDSPA!$D$41:$W$41</definedName>
    <definedName name="旧モデル区分">中間データDSPA!$D$43</definedName>
    <definedName name="旧モデル区分②">中間データDSPA!$E$43:$E$44</definedName>
    <definedName name="業種" localSheetId="11">'中間データ共通・Desk・f-FILTER・Z-FILTER'!$E$4:$E$46</definedName>
    <definedName name="業種">中間データ共通・DACloud!$E$4:$E$48</definedName>
    <definedName name="契約期間" localSheetId="11">'中間データ共通・Desk・f-FILTER・Z-FILTER'!$F$4:$F$8</definedName>
    <definedName name="契約期間">中間データ共通・DACloud!$F$4:$F$8</definedName>
    <definedName name="現モデルiF">中間データDSPA!$H$43:$H$46</definedName>
    <definedName name="現モデル保守">中間データDSPA!$F$43:$F$45</definedName>
    <definedName name="最新モデル区分">中間データDSPA!$C$43:$C$45</definedName>
    <definedName name="追加ネットワーク・インターフェース・オプション">中間データDSPA!$B$80:$B$81</definedName>
    <definedName name="通常オンプレ">お客様情報!$E$2</definedName>
    <definedName name="都道府県" localSheetId="11">'中間データ共通・Desk・f-FILTER・Z-FILTER'!$D$4:$D$46</definedName>
    <definedName name="都道府県">中間データ共通・DACloud!$D$4:$D$50</definedName>
    <definedName name="法人格_後" localSheetId="11">'中間データ共通・Desk・f-FILTER・Z-FILTER'!$H$4:$H$20</definedName>
    <definedName name="法人格_後">中間データ共通・DACloud!$H$4:$H$20</definedName>
    <definedName name="法人格_前" localSheetId="11">'中間データ共通・Desk・f-FILTER・Z-FILTER'!$G$4:$G$25</definedName>
    <definedName name="法人格_前">中間データ共通・DACloud!$G$4:$G$25</definedName>
    <definedName name="有無" localSheetId="11">'中間データ共通・Desk・f-FILTER・Z-FILTER'!$C$4:$C$5</definedName>
    <definedName name="有無">中間データ共通・DACloud!$C$4:$C$5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L24" i="16" l="1"/>
  <c r="Y12" i="27"/>
  <c r="Y4" i="27"/>
  <c r="AF22" i="16"/>
  <c r="AE22" i="16"/>
  <c r="E2" i="23"/>
  <c r="D247" i="22"/>
  <c r="F247" i="22"/>
  <c r="DH46" i="16"/>
  <c r="DF15" i="16"/>
  <c r="DK5" i="16"/>
  <c r="BU5" i="16" l="1"/>
  <c r="DJ24" i="16"/>
  <c r="R235" i="22" l="1"/>
  <c r="R233" i="22"/>
  <c r="R231" i="22"/>
  <c r="R229" i="22"/>
  <c r="R227" i="22"/>
  <c r="R225" i="22"/>
  <c r="R223" i="22"/>
  <c r="R221" i="22"/>
  <c r="R219" i="22"/>
  <c r="R217" i="22"/>
  <c r="R215" i="22"/>
  <c r="R213" i="22"/>
  <c r="R211" i="22"/>
  <c r="R209" i="22"/>
  <c r="R207" i="22"/>
  <c r="R205" i="22"/>
  <c r="R203" i="22"/>
  <c r="R201" i="22"/>
  <c r="R199" i="22"/>
  <c r="R197" i="22"/>
  <c r="R187" i="22"/>
  <c r="R151" i="22"/>
  <c r="R149" i="22"/>
  <c r="R147" i="22"/>
  <c r="R145" i="22"/>
  <c r="R143" i="22"/>
  <c r="R141" i="22"/>
  <c r="R139" i="22"/>
  <c r="R137" i="22"/>
  <c r="R135" i="22"/>
  <c r="R133" i="22"/>
  <c r="R123" i="22"/>
  <c r="R127" i="22" s="1"/>
  <c r="R121" i="22"/>
  <c r="R119" i="22"/>
  <c r="R117" i="22"/>
  <c r="R115" i="22"/>
  <c r="R113" i="22"/>
  <c r="R103" i="22"/>
  <c r="R131" i="22" l="1"/>
  <c r="R125" i="22"/>
  <c r="R129" i="22"/>
  <c r="Y27" i="2" l="1"/>
  <c r="AF24" i="16"/>
  <c r="BS108" i="34" l="1"/>
  <c r="CE23" i="16"/>
  <c r="Z17" i="23"/>
  <c r="Z16" i="23"/>
  <c r="Z15" i="23"/>
  <c r="Z14" i="23"/>
  <c r="Z13" i="23"/>
  <c r="W10" i="23"/>
  <c r="W11" i="23"/>
  <c r="J5" i="23"/>
  <c r="U75" i="23"/>
  <c r="Y17" i="23"/>
  <c r="Y16" i="23"/>
  <c r="Y15" i="23"/>
  <c r="Y14" i="23"/>
  <c r="Y13" i="23"/>
  <c r="X13" i="23" s="1"/>
  <c r="W13" i="23" s="1"/>
  <c r="X7" i="23"/>
  <c r="X8" i="23"/>
  <c r="X9" i="23"/>
  <c r="U90" i="23"/>
  <c r="U98" i="23"/>
  <c r="CZ24" i="16"/>
  <c r="CY24" i="16"/>
  <c r="X14" i="23" l="1"/>
  <c r="W14" i="23" s="1"/>
  <c r="CE24" i="16"/>
  <c r="X15" i="23"/>
  <c r="W15" i="23" s="1"/>
  <c r="X17" i="23"/>
  <c r="W17" i="23" s="1"/>
  <c r="X16" i="23"/>
  <c r="W16" i="23" s="1"/>
  <c r="BT14" i="16" l="1"/>
  <c r="AU24" i="16"/>
  <c r="AV24" i="16"/>
  <c r="AI24" i="16"/>
  <c r="AH24" i="16"/>
  <c r="AC24" i="16"/>
  <c r="DI24" i="16"/>
  <c r="S19" i="27"/>
  <c r="S18" i="27"/>
  <c r="T18" i="27" s="1"/>
  <c r="V18" i="27" s="1"/>
  <c r="AK123" i="34" s="1"/>
  <c r="BN24" i="16"/>
  <c r="AM24" i="16"/>
  <c r="AL24" i="16"/>
  <c r="AK24" i="16"/>
  <c r="AJ24" i="16"/>
  <c r="AK14" i="16"/>
  <c r="AE24" i="16"/>
  <c r="CX24" i="16"/>
  <c r="CW24" i="16"/>
  <c r="AJ20" i="16"/>
  <c r="CB24" i="16"/>
  <c r="BW24" i="16"/>
  <c r="X24" i="16"/>
  <c r="L24" i="16"/>
  <c r="F24" i="16"/>
  <c r="J64" i="23"/>
  <c r="J40"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N31" i="23" a="1"/>
  <c r="N31" i="23" s="1"/>
  <c r="T19" i="27" l="1"/>
  <c r="V19" i="27" s="1"/>
  <c r="BQ24" i="16"/>
  <c r="W187" i="22"/>
  <c r="DE15" i="16"/>
  <c r="BR24" i="16" l="1"/>
  <c r="AK126" i="34"/>
  <c r="P111" i="34" a="1"/>
  <c r="P111" i="34" s="1"/>
  <c r="AB111" i="34" s="1"/>
  <c r="B75" i="34"/>
  <c r="B128" i="4"/>
  <c r="AL23" i="16"/>
  <c r="AK23" i="16"/>
  <c r="AJ23" i="16"/>
  <c r="N267" i="22"/>
  <c r="M267" i="22"/>
  <c r="C267" i="22"/>
  <c r="D267" i="22" s="1"/>
  <c r="AI46" i="27"/>
  <c r="AI47" i="27"/>
  <c r="AK267" i="22" l="1"/>
  <c r="I267" i="22"/>
  <c r="G267" i="22"/>
  <c r="B267" i="22"/>
  <c r="AC48" i="27" l="1"/>
  <c r="AC47" i="27"/>
  <c r="AI53" i="27" l="1"/>
  <c r="AE48" i="27"/>
  <c r="AG11" i="27"/>
  <c r="AG12" i="27"/>
  <c r="AH11" i="27"/>
  <c r="AH12" i="27"/>
  <c r="AG7" i="27"/>
  <c r="AH6" i="27"/>
  <c r="AH7" i="27"/>
  <c r="AE47" i="27"/>
  <c r="AN53" i="27"/>
  <c r="AE50" i="27"/>
  <c r="AD50" i="27"/>
  <c r="AD48" i="27"/>
  <c r="AD47" i="27"/>
  <c r="BK53" i="27" l="1"/>
  <c r="AB11" i="27"/>
  <c r="AC11" i="27"/>
  <c r="AM53" i="27"/>
  <c r="AE18" i="27"/>
  <c r="AE14" i="27" l="1"/>
  <c r="F267" i="22" s="1"/>
  <c r="AI12" i="27" l="1"/>
  <c r="AI11" i="27"/>
  <c r="AI13" i="27" l="1"/>
  <c r="AZ267" i="22" l="1"/>
  <c r="AB48" i="27"/>
  <c r="AB47" i="27"/>
  <c r="AB50" i="27" s="1"/>
  <c r="AH49" i="27" l="1"/>
  <c r="AB7" i="27"/>
  <c r="AB6" i="27"/>
  <c r="AB12" i="27"/>
  <c r="AB14" i="27" l="1"/>
  <c r="AI45" i="27"/>
  <c r="AC49" i="27"/>
  <c r="AC53" i="27"/>
  <c r="S19" i="12" l="1"/>
  <c r="S20" i="12" s="1"/>
  <c r="AC15" i="16" s="1"/>
  <c r="BB247" i="22"/>
  <c r="BB255" i="22" s="1"/>
  <c r="DF46" i="16"/>
  <c r="DG46" i="16" s="1"/>
  <c r="BV5" i="16"/>
  <c r="AF171" i="22"/>
  <c r="AF13" i="22"/>
  <c r="Y26" i="2"/>
  <c r="AL20" i="16"/>
  <c r="AT33" i="22"/>
  <c r="AK33" i="22"/>
  <c r="M33" i="22"/>
  <c r="H33" i="22"/>
  <c r="T9" i="2"/>
  <c r="BB251" i="22" l="1"/>
  <c r="BB249" i="22"/>
  <c r="BB253" i="22"/>
  <c r="BS5" i="16"/>
  <c r="BS46" i="16"/>
  <c r="AK16" i="16"/>
  <c r="AJ16" i="16"/>
  <c r="P73" i="22"/>
  <c r="O73" i="22"/>
  <c r="D99" i="8"/>
  <c r="D97" i="8"/>
  <c r="G54" i="9"/>
  <c r="H54" i="9" s="1"/>
  <c r="G52" i="9"/>
  <c r="H52" i="9" s="1"/>
  <c r="T5" i="9"/>
  <c r="BN16" i="16"/>
  <c r="BN9" i="16"/>
  <c r="AM41" i="27" l="1"/>
  <c r="AK12" i="27" l="1"/>
  <c r="AK13" i="27" s="1"/>
  <c r="AJ11" i="27"/>
  <c r="AJ13" i="27" s="1"/>
  <c r="AJ6" i="27"/>
  <c r="AJ10" i="27" s="1"/>
  <c r="AK7" i="27"/>
  <c r="AK10" i="27" s="1"/>
  <c r="AG6" i="27"/>
  <c r="AI10" i="27"/>
  <c r="AJ14" i="27" l="1"/>
  <c r="AK14" i="27"/>
  <c r="AF12" i="27"/>
  <c r="AF11" i="27"/>
  <c r="AF7" i="27"/>
  <c r="AF6" i="27"/>
  <c r="DH5" i="16"/>
  <c r="BT3" i="16"/>
  <c r="AE12" i="27"/>
  <c r="AE11" i="27"/>
  <c r="AE6" i="27"/>
  <c r="AC7" i="27"/>
  <c r="AC6" i="27"/>
  <c r="AE7" i="27"/>
  <c r="AH23" i="16"/>
  <c r="AC12" i="27"/>
  <c r="DG5" i="16"/>
  <c r="Z5" i="23"/>
  <c r="Z6" i="23"/>
  <c r="AB23" i="27" l="1"/>
  <c r="AC10" i="27" s="1"/>
  <c r="AB30" i="27"/>
  <c r="AC13" i="27" s="1"/>
  <c r="AF13" i="27"/>
  <c r="AD13" i="27"/>
  <c r="AE10" i="27"/>
  <c r="AE13" i="27"/>
  <c r="AI14" i="27"/>
  <c r="AF10" i="27"/>
  <c r="AH10" i="27"/>
  <c r="AH13" i="27"/>
  <c r="AG13" i="27"/>
  <c r="AG10" i="27"/>
  <c r="AD10" i="27"/>
  <c r="AG40" i="27" l="1"/>
  <c r="G257" i="22" s="1"/>
  <c r="AC14" i="27"/>
  <c r="AF43" i="27" a="1"/>
  <c r="AF43" i="27" s="1"/>
  <c r="AF40" i="27"/>
  <c r="AC50" i="27"/>
  <c r="AH14" i="27"/>
  <c r="AG14" i="27"/>
  <c r="AM40" i="27" s="1"/>
  <c r="AF14" i="27"/>
  <c r="AD14" i="27"/>
  <c r="CB23" i="16"/>
  <c r="CB22" i="16"/>
  <c r="BW23" i="16"/>
  <c r="BW22" i="16"/>
  <c r="AV23" i="16"/>
  <c r="AV22" i="16"/>
  <c r="AU23" i="16"/>
  <c r="AI23" i="16"/>
  <c r="AI22" i="16"/>
  <c r="CE29" i="16"/>
  <c r="BO29" i="16"/>
  <c r="BN29" i="16"/>
  <c r="AM29" i="16"/>
  <c r="AL29" i="16"/>
  <c r="AJ29" i="16"/>
  <c r="AH22" i="16"/>
  <c r="AF23" i="16"/>
  <c r="AE23" i="16"/>
  <c r="X23" i="16"/>
  <c r="L23" i="16"/>
  <c r="F23" i="16"/>
  <c r="Y9" i="23"/>
  <c r="Y8" i="23"/>
  <c r="Y7" i="23"/>
  <c r="Y6" i="23"/>
  <c r="Z8" i="23"/>
  <c r="Z7" i="23"/>
  <c r="Z9" i="23"/>
  <c r="U27" i="23"/>
  <c r="U73" i="23"/>
  <c r="U97" i="23"/>
  <c r="U89" i="23"/>
  <c r="U71" i="23"/>
  <c r="Y5" i="23"/>
  <c r="I5" i="23"/>
  <c r="I64" i="23"/>
  <c r="I25" i="23"/>
  <c r="I24" i="23"/>
  <c r="I23" i="23"/>
  <c r="I22" i="23"/>
  <c r="I12" i="23"/>
  <c r="I13" i="23"/>
  <c r="I6" i="23"/>
  <c r="I7" i="23"/>
  <c r="I8" i="23"/>
  <c r="I9" i="23"/>
  <c r="I10" i="23"/>
  <c r="I11" i="23"/>
  <c r="I14" i="23"/>
  <c r="I15" i="23"/>
  <c r="I16" i="23"/>
  <c r="I17" i="23"/>
  <c r="I18" i="23"/>
  <c r="I19" i="23"/>
  <c r="I20" i="23"/>
  <c r="I21" i="23"/>
  <c r="I26" i="23"/>
  <c r="I27" i="23"/>
  <c r="I28" i="23"/>
  <c r="I29" i="23"/>
  <c r="I30" i="23"/>
  <c r="I31" i="23"/>
  <c r="I32" i="23"/>
  <c r="I40" i="23"/>
  <c r="I65" i="23"/>
  <c r="H10" i="23"/>
  <c r="H12" i="23"/>
  <c r="B67" i="33"/>
  <c r="AK29" i="16"/>
  <c r="AD40" i="27" l="1"/>
  <c r="D257" i="22" s="1"/>
  <c r="I49" i="23"/>
  <c r="J46" i="23"/>
  <c r="J45" i="23"/>
  <c r="J44" i="23"/>
  <c r="J43" i="23"/>
  <c r="J42" i="23"/>
  <c r="J41" i="23"/>
  <c r="J52" i="23"/>
  <c r="J51" i="23"/>
  <c r="J50" i="23"/>
  <c r="J49" i="23"/>
  <c r="J48" i="23"/>
  <c r="J47" i="23"/>
  <c r="AG53" i="27"/>
  <c r="AD53" i="27"/>
  <c r="AF53" i="27"/>
  <c r="AN40" i="27"/>
  <c r="N257" i="22" s="1"/>
  <c r="N259" i="22" s="1"/>
  <c r="M257" i="22"/>
  <c r="AF41" i="27"/>
  <c r="BZ40" i="27"/>
  <c r="AZ257" i="22" s="1"/>
  <c r="CA40" i="27"/>
  <c r="AI40" i="27"/>
  <c r="I257" i="22" s="1"/>
  <c r="BK40" i="27"/>
  <c r="AK257" i="22" s="1"/>
  <c r="AD41" i="27"/>
  <c r="I41" i="23"/>
  <c r="W8" i="23"/>
  <c r="W7" i="23"/>
  <c r="X6" i="23"/>
  <c r="W6" i="23" s="1"/>
  <c r="X5" i="23"/>
  <c r="W5" i="23" s="1"/>
  <c r="W9" i="23"/>
  <c r="I48" i="23"/>
  <c r="I47" i="23"/>
  <c r="I46" i="23"/>
  <c r="I52" i="23"/>
  <c r="I51" i="23"/>
  <c r="I45" i="23"/>
  <c r="I44" i="23"/>
  <c r="I43" i="23"/>
  <c r="I42" i="23"/>
  <c r="I50" i="23"/>
  <c r="M21" i="23"/>
  <c r="M8" i="23"/>
  <c r="M33" i="23"/>
  <c r="J58" i="23" l="1"/>
  <c r="J57" i="23"/>
  <c r="J56" i="23"/>
  <c r="J55" i="23"/>
  <c r="J54" i="23"/>
  <c r="J53" i="23"/>
  <c r="J63" i="23"/>
  <c r="J62" i="23"/>
  <c r="J61" i="23"/>
  <c r="J60" i="23"/>
  <c r="J59" i="23"/>
  <c r="C259" i="22"/>
  <c r="AB53" i="27"/>
  <c r="AC40" i="27"/>
  <c r="C257" i="22" s="1"/>
  <c r="B259" i="22"/>
  <c r="BA257" i="22"/>
  <c r="BA259" i="22" s="1"/>
  <c r="BA267" i="22"/>
  <c r="AB41" i="27"/>
  <c r="AB40" i="27"/>
  <c r="B257" i="22" s="1"/>
  <c r="M265" i="22"/>
  <c r="M263" i="22"/>
  <c r="M261" i="22"/>
  <c r="M259" i="22"/>
  <c r="F257" i="22"/>
  <c r="AC41" i="27"/>
  <c r="N261" i="22"/>
  <c r="N263" i="22"/>
  <c r="AK259" i="22"/>
  <c r="AK265" i="22"/>
  <c r="AK263" i="22"/>
  <c r="AK261" i="22"/>
  <c r="N265" i="22"/>
  <c r="I259" i="22"/>
  <c r="I265" i="22"/>
  <c r="I263" i="22"/>
  <c r="I261" i="22"/>
  <c r="AZ265" i="22"/>
  <c r="AZ263" i="22"/>
  <c r="AZ259" i="22"/>
  <c r="AZ261" i="22"/>
  <c r="G259" i="22"/>
  <c r="G265" i="22"/>
  <c r="G263" i="22"/>
  <c r="G261" i="22"/>
  <c r="D259" i="22"/>
  <c r="D265" i="22"/>
  <c r="D263" i="22"/>
  <c r="D261" i="22"/>
  <c r="B265" i="22"/>
  <c r="C265" i="22"/>
  <c r="B263" i="22"/>
  <c r="B261" i="22"/>
  <c r="C261" i="22"/>
  <c r="C263" i="22"/>
  <c r="I61" i="23"/>
  <c r="I62" i="23"/>
  <c r="I63" i="23"/>
  <c r="I53" i="23"/>
  <c r="I54" i="23"/>
  <c r="I55" i="23"/>
  <c r="I56" i="23"/>
  <c r="I57" i="23"/>
  <c r="I58" i="23"/>
  <c r="I59" i="23"/>
  <c r="I60" i="23"/>
  <c r="D107" i="25"/>
  <c r="CM107" i="25"/>
  <c r="D109" i="25"/>
  <c r="CM109" i="25"/>
  <c r="D111" i="25"/>
  <c r="CM111" i="25"/>
  <c r="D113" i="25"/>
  <c r="CM113" i="25"/>
  <c r="D115" i="25"/>
  <c r="CM115" i="25"/>
  <c r="BA261" i="22" l="1"/>
  <c r="BA265" i="22"/>
  <c r="BA263" i="22"/>
  <c r="F263" i="22"/>
  <c r="F261" i="22"/>
  <c r="F259" i="22"/>
  <c r="F265" i="22"/>
  <c r="D126" i="25"/>
  <c r="D128" i="25"/>
  <c r="D130" i="25"/>
  <c r="D132" i="25"/>
  <c r="D134" i="25"/>
  <c r="D105" i="25" l="1"/>
  <c r="D124" i="25" s="1"/>
  <c r="D114" i="8"/>
  <c r="D118" i="8"/>
  <c r="AF63" i="22"/>
  <c r="AF71" i="22" s="1"/>
  <c r="H73" i="22"/>
  <c r="BL86" i="30"/>
  <c r="BW20" i="16"/>
  <c r="AU22" i="16"/>
  <c r="AU20" i="16"/>
  <c r="AH20" i="16"/>
  <c r="F255" i="22"/>
  <c r="AK247" i="22"/>
  <c r="AK255" i="22" s="1"/>
  <c r="N247" i="22"/>
  <c r="N249" i="22" s="1"/>
  <c r="M247" i="22"/>
  <c r="M255" i="22" s="1"/>
  <c r="I247" i="22"/>
  <c r="I255" i="22" s="1"/>
  <c r="G247" i="22"/>
  <c r="G255" i="22" s="1"/>
  <c r="D255" i="22"/>
  <c r="D116" i="8" l="1"/>
  <c r="AW29" i="16"/>
  <c r="AL247" i="22"/>
  <c r="AL255" i="22" s="1"/>
  <c r="CW22" i="16"/>
  <c r="AF65" i="22"/>
  <c r="AF67" i="22"/>
  <c r="AF69" i="22"/>
  <c r="N251" i="22"/>
  <c r="N253" i="22"/>
  <c r="N255" i="22"/>
  <c r="F249" i="22"/>
  <c r="F251" i="22"/>
  <c r="F253" i="22"/>
  <c r="AK251" i="22"/>
  <c r="AK249" i="22"/>
  <c r="AK253" i="22"/>
  <c r="D249" i="22"/>
  <c r="D251" i="22"/>
  <c r="D253" i="22"/>
  <c r="M249" i="22"/>
  <c r="M251" i="22"/>
  <c r="M253" i="22"/>
  <c r="I249" i="22"/>
  <c r="I251" i="22"/>
  <c r="I253" i="22"/>
  <c r="G249" i="22"/>
  <c r="G251" i="22"/>
  <c r="G253" i="22"/>
  <c r="AL249" i="22" l="1"/>
  <c r="AL251" i="22"/>
  <c r="AL253" i="22"/>
  <c r="X22" i="16"/>
  <c r="L22" i="16"/>
  <c r="F22" i="16"/>
  <c r="U31" i="23"/>
  <c r="U30" i="23"/>
  <c r="U29" i="23"/>
  <c r="U28" i="23"/>
  <c r="T31" i="23"/>
  <c r="T30" i="23"/>
  <c r="T29" i="23"/>
  <c r="T28" i="23"/>
  <c r="T27" i="23"/>
  <c r="CE22" i="16" s="1"/>
  <c r="U88" i="23"/>
  <c r="U96" i="23"/>
  <c r="S27" i="23" l="1"/>
  <c r="R27" i="23" s="1"/>
  <c r="S29" i="23"/>
  <c r="R29" i="23" s="1"/>
  <c r="S28" i="23"/>
  <c r="R28" i="23" s="1"/>
  <c r="S30" i="23"/>
  <c r="R30" i="23" s="1"/>
  <c r="S31" i="23"/>
  <c r="R31" i="23" s="1"/>
  <c r="B253" i="22" l="1"/>
  <c r="B247" i="22"/>
  <c r="C251" i="22"/>
  <c r="B249" i="22"/>
  <c r="C247" i="22"/>
  <c r="C255" i="22"/>
  <c r="C253" i="22"/>
  <c r="C249" i="22"/>
  <c r="B251" i="22"/>
  <c r="B255" i="22"/>
  <c r="H5" i="23"/>
  <c r="H6" i="23"/>
  <c r="H7" i="23"/>
  <c r="H8" i="23"/>
  <c r="H9" i="23"/>
  <c r="H11" i="23"/>
  <c r="H13" i="23"/>
  <c r="H14" i="23"/>
  <c r="H15" i="23"/>
  <c r="H16" i="23"/>
  <c r="H17" i="23"/>
  <c r="H18" i="23"/>
  <c r="H19" i="23"/>
  <c r="H20" i="23"/>
  <c r="H21" i="23"/>
  <c r="H22" i="23"/>
  <c r="H23" i="23"/>
  <c r="H24" i="23"/>
  <c r="H25" i="23"/>
  <c r="H26" i="23"/>
  <c r="H27" i="23"/>
  <c r="H28" i="23"/>
  <c r="H29" i="23"/>
  <c r="H30" i="23"/>
  <c r="H31" i="23"/>
  <c r="H32" i="23"/>
  <c r="H40" i="23"/>
  <c r="H64" i="23"/>
  <c r="H65" i="23"/>
  <c r="B67" i="30"/>
  <c r="AF6" i="16"/>
  <c r="L33" i="22"/>
  <c r="H50" i="23" l="1"/>
  <c r="H42" i="23"/>
  <c r="H49" i="23"/>
  <c r="H41" i="23"/>
  <c r="H48" i="23"/>
  <c r="H47" i="23"/>
  <c r="H46" i="23"/>
  <c r="H45" i="23"/>
  <c r="H44" i="23"/>
  <c r="H51" i="23"/>
  <c r="H52" i="23"/>
  <c r="H54" i="23" s="1"/>
  <c r="H43" i="23"/>
  <c r="AK41" i="22"/>
  <c r="BP8" i="16"/>
  <c r="BP7" i="16"/>
  <c r="BJ8" i="16"/>
  <c r="BJ7" i="16"/>
  <c r="X8" i="16"/>
  <c r="X7" i="16"/>
  <c r="S8" i="16"/>
  <c r="S7" i="16"/>
  <c r="R8" i="16"/>
  <c r="R7" i="16"/>
  <c r="Q8" i="16"/>
  <c r="Q7" i="16"/>
  <c r="P8" i="16"/>
  <c r="P7" i="16"/>
  <c r="O8" i="16"/>
  <c r="O7" i="16"/>
  <c r="N8" i="16"/>
  <c r="N7" i="16"/>
  <c r="L8" i="16"/>
  <c r="L7" i="16"/>
  <c r="F8" i="16"/>
  <c r="F7" i="16"/>
  <c r="AK35" i="22" l="1"/>
  <c r="AK37" i="22"/>
  <c r="AK39" i="22"/>
  <c r="I93" i="22"/>
  <c r="I83" i="22"/>
  <c r="M93" i="22"/>
  <c r="N93" i="22"/>
  <c r="N83" i="22"/>
  <c r="AV93" i="22"/>
  <c r="I95" i="22" l="1"/>
  <c r="BW21" i="16"/>
  <c r="AF21" i="16"/>
  <c r="AF20" i="16"/>
  <c r="AE21" i="16" a="1"/>
  <c r="AE21" i="16" s="1"/>
  <c r="Y6" i="27"/>
  <c r="Y7" i="27" s="1"/>
  <c r="AH21" i="16"/>
  <c r="AC21" i="16"/>
  <c r="AC20" i="16"/>
  <c r="AJ21" i="16"/>
  <c r="AK21" i="16"/>
  <c r="AK20" i="16"/>
  <c r="AI20" i="16"/>
  <c r="G83" i="22"/>
  <c r="I97" i="22" l="1"/>
  <c r="I99" i="22"/>
  <c r="I101" i="22"/>
  <c r="Y8" i="27"/>
  <c r="Y9" i="27" s="1"/>
  <c r="AI21" i="16" s="1"/>
  <c r="U95" i="23"/>
  <c r="U94" i="23"/>
  <c r="U87" i="23"/>
  <c r="U86" i="23"/>
  <c r="F93" i="22"/>
  <c r="D93" i="22"/>
  <c r="Y11" i="27" l="1"/>
  <c r="Y10" i="27"/>
  <c r="G93" i="22" s="1"/>
  <c r="AU21" i="16"/>
  <c r="AV21" i="16"/>
  <c r="AV20" i="16"/>
  <c r="AV14" i="16"/>
  <c r="CB20" i="16"/>
  <c r="CB21" i="16" s="1"/>
  <c r="CB14" i="16"/>
  <c r="CB15" i="16" s="1"/>
  <c r="CB16" i="16" s="1"/>
  <c r="BW14" i="16"/>
  <c r="BW16" i="16" s="1"/>
  <c r="AG14" i="16"/>
  <c r="G95" i="22" l="1"/>
  <c r="G101" i="22"/>
  <c r="G97" i="22"/>
  <c r="G99" i="22"/>
  <c r="AY83" i="22"/>
  <c r="AK83" i="22"/>
  <c r="M83" i="22"/>
  <c r="F83" i="22"/>
  <c r="D83" i="22"/>
  <c r="AE20" i="16"/>
  <c r="AX93" i="22"/>
  <c r="K13" i="22"/>
  <c r="K3" i="22"/>
  <c r="J13" i="22"/>
  <c r="J171" i="22"/>
  <c r="J163" i="22"/>
  <c r="K237" i="22"/>
  <c r="J237" i="22"/>
  <c r="K227" i="22"/>
  <c r="J227" i="22"/>
  <c r="J217" i="22"/>
  <c r="K217" i="22"/>
  <c r="K207" i="22"/>
  <c r="J207" i="22"/>
  <c r="K197" i="22"/>
  <c r="J197" i="22"/>
  <c r="K187" i="22"/>
  <c r="J187" i="22"/>
  <c r="K153" i="22"/>
  <c r="J153" i="22"/>
  <c r="K143" i="22"/>
  <c r="J143" i="22"/>
  <c r="K133" i="22"/>
  <c r="J133" i="22"/>
  <c r="K123" i="22"/>
  <c r="J123" i="22"/>
  <c r="K113" i="22"/>
  <c r="J113" i="22"/>
  <c r="K103" i="22"/>
  <c r="J103" i="22"/>
  <c r="K171" i="22"/>
  <c r="K163" i="22"/>
  <c r="CR5" i="16"/>
  <c r="AY85" i="22" l="1"/>
  <c r="BR14" i="16"/>
  <c r="AY91" i="22" l="1"/>
  <c r="M85" i="22"/>
  <c r="AI16" i="16"/>
  <c r="I85" i="22"/>
  <c r="D85" i="22"/>
  <c r="X21" i="16"/>
  <c r="F21" i="16"/>
  <c r="L21" i="16"/>
  <c r="AY93" i="22"/>
  <c r="AY95" i="22" s="1"/>
  <c r="AY97" i="22" s="1"/>
  <c r="AY99" i="22" s="1"/>
  <c r="AY101" i="22" s="1"/>
  <c r="F95" i="22"/>
  <c r="AX95" i="22"/>
  <c r="AX97" i="22" s="1"/>
  <c r="AX99" i="22" s="1"/>
  <c r="AX101" i="22" s="1"/>
  <c r="AV99" i="22"/>
  <c r="AW93" i="22"/>
  <c r="AW101" i="22" s="1"/>
  <c r="N97" i="22"/>
  <c r="AW95" i="22" l="1"/>
  <c r="AW97" i="22"/>
  <c r="AW99" i="22"/>
  <c r="AV95" i="22"/>
  <c r="AV97" i="22"/>
  <c r="AV101" i="22"/>
  <c r="AY87" i="22"/>
  <c r="AY89" i="22"/>
  <c r="N99" i="22"/>
  <c r="N101" i="22"/>
  <c r="N95" i="22"/>
  <c r="D101" i="22" l="1"/>
  <c r="D99" i="22"/>
  <c r="D97" i="22"/>
  <c r="D95" i="22"/>
  <c r="F99" i="22"/>
  <c r="U69" i="23"/>
  <c r="U68" i="23"/>
  <c r="U24" i="23"/>
  <c r="U23" i="23"/>
  <c r="U22" i="23"/>
  <c r="U21" i="23"/>
  <c r="U20" i="23"/>
  <c r="T20" i="23"/>
  <c r="T24" i="23"/>
  <c r="T23" i="23"/>
  <c r="T22" i="23"/>
  <c r="T21" i="23"/>
  <c r="T14" i="23"/>
  <c r="G40" i="23"/>
  <c r="G32" i="23"/>
  <c r="G31" i="23"/>
  <c r="G30" i="23"/>
  <c r="G29" i="23"/>
  <c r="G28" i="23"/>
  <c r="G27" i="23"/>
  <c r="G26" i="23"/>
  <c r="F26" i="23"/>
  <c r="G25" i="23"/>
  <c r="G24" i="23"/>
  <c r="G23" i="23"/>
  <c r="G22" i="23"/>
  <c r="G21" i="23"/>
  <c r="G64" i="23"/>
  <c r="G12" i="23"/>
  <c r="G13" i="23"/>
  <c r="G11" i="23"/>
  <c r="G51" i="23" l="1"/>
  <c r="CE20" i="16"/>
  <c r="CE21" i="16"/>
  <c r="F101" i="22"/>
  <c r="F97" i="22"/>
  <c r="S21" i="23"/>
  <c r="R21" i="23" s="1"/>
  <c r="S23" i="23"/>
  <c r="R23" i="23" s="1"/>
  <c r="S22" i="23"/>
  <c r="R22" i="23" s="1"/>
  <c r="S20" i="23"/>
  <c r="R20" i="23" s="1"/>
  <c r="S24" i="23"/>
  <c r="R24" i="23" s="1"/>
  <c r="G52" i="23"/>
  <c r="G63" i="23" s="1"/>
  <c r="G45" i="23"/>
  <c r="G48" i="23"/>
  <c r="G41" i="23"/>
  <c r="G46" i="23"/>
  <c r="G49" i="23"/>
  <c r="G43" i="23"/>
  <c r="G47" i="23"/>
  <c r="G50" i="23"/>
  <c r="G44" i="23"/>
  <c r="G42" i="23"/>
  <c r="G10" i="23"/>
  <c r="G65" i="23"/>
  <c r="F65" i="23"/>
  <c r="G20" i="23"/>
  <c r="G19" i="23"/>
  <c r="G18" i="23"/>
  <c r="G17" i="23"/>
  <c r="G16" i="23"/>
  <c r="G15" i="23"/>
  <c r="G14" i="23"/>
  <c r="F14" i="23"/>
  <c r="F10" i="23"/>
  <c r="F9" i="23"/>
  <c r="G8" i="23"/>
  <c r="G7" i="23"/>
  <c r="F8" i="23"/>
  <c r="G9" i="23"/>
  <c r="G6" i="23"/>
  <c r="G5" i="23"/>
  <c r="B67" i="26"/>
  <c r="BV161" i="25"/>
  <c r="D237" i="22" s="1"/>
  <c r="BV153" i="8"/>
  <c r="AC58" i="16"/>
  <c r="AC57" i="16"/>
  <c r="AC56" i="16"/>
  <c r="AC55" i="16"/>
  <c r="AC54" i="16"/>
  <c r="AC33" i="16"/>
  <c r="AC32" i="16"/>
  <c r="AC31" i="16"/>
  <c r="AC30" i="16"/>
  <c r="AC29" i="16"/>
  <c r="BV15" i="16"/>
  <c r="B83" i="22" l="1"/>
  <c r="H53" i="23"/>
  <c r="H60" i="23"/>
  <c r="H59" i="23"/>
  <c r="H61" i="23"/>
  <c r="H62" i="23"/>
  <c r="H58" i="23"/>
  <c r="H56" i="23"/>
  <c r="H57" i="23"/>
  <c r="H63" i="23"/>
  <c r="H55" i="23"/>
  <c r="C97" i="22"/>
  <c r="C89" i="22"/>
  <c r="B101" i="22"/>
  <c r="B93" i="22"/>
  <c r="B85" i="22"/>
  <c r="C95" i="22"/>
  <c r="C87" i="22"/>
  <c r="B99" i="22"/>
  <c r="B91" i="22"/>
  <c r="C101" i="22"/>
  <c r="C93" i="22"/>
  <c r="C85" i="22"/>
  <c r="B97" i="22"/>
  <c r="B89" i="22"/>
  <c r="C99" i="22"/>
  <c r="C91" i="22"/>
  <c r="C83" i="22"/>
  <c r="B95" i="22"/>
  <c r="B87" i="22"/>
  <c r="G62" i="23"/>
  <c r="G58" i="23"/>
  <c r="G57" i="23"/>
  <c r="G53" i="23"/>
  <c r="G59" i="23"/>
  <c r="G54" i="23"/>
  <c r="G60" i="23"/>
  <c r="G55" i="23"/>
  <c r="G61" i="23"/>
  <c r="G56" i="23"/>
  <c r="U93" i="23"/>
  <c r="U92" i="23" s="1"/>
  <c r="U85" i="23"/>
  <c r="U84" i="23" s="1"/>
  <c r="BR15" i="16"/>
  <c r="BN14" i="16"/>
  <c r="CW14" i="16" l="1"/>
  <c r="J3" i="22"/>
  <c r="J63" i="22" l="1"/>
  <c r="K63" i="22" l="1"/>
  <c r="K53" i="22"/>
  <c r="J53" i="22"/>
  <c r="AL53" i="22" l="1"/>
  <c r="AS53" i="22"/>
  <c r="AR53" i="22"/>
  <c r="AQ53" i="22"/>
  <c r="AP53" i="22"/>
  <c r="AO53" i="22"/>
  <c r="AN53" i="22"/>
  <c r="AM53" i="22"/>
  <c r="CX14" i="16" l="1"/>
  <c r="DD14" i="16"/>
  <c r="DC14" i="16"/>
  <c r="DB14" i="16"/>
  <c r="DA14" i="16"/>
  <c r="CZ14" i="16"/>
  <c r="CY14" i="16"/>
  <c r="BS15" i="16" l="1"/>
  <c r="U8" i="12"/>
  <c r="T8" i="12" s="1"/>
  <c r="BT15" i="16"/>
  <c r="BU15" i="16" l="1"/>
  <c r="M237" i="22"/>
  <c r="E19" i="9"/>
  <c r="D19" i="9"/>
  <c r="D14" i="9"/>
  <c r="E14" i="9"/>
  <c r="D101" i="8" l="1"/>
  <c r="D120" i="8" s="1"/>
  <c r="D103" i="8"/>
  <c r="D122" i="8" s="1"/>
  <c r="D105" i="8"/>
  <c r="D124" i="8" s="1"/>
  <c r="BR64" i="16" l="1"/>
  <c r="BR39" i="16"/>
  <c r="M153" i="22" l="1"/>
  <c r="H19" i="9"/>
  <c r="G237" i="22" s="1"/>
  <c r="H14" i="9"/>
  <c r="G153" i="22" s="1"/>
  <c r="D153" i="22" l="1"/>
  <c r="BR45" i="16" l="1"/>
  <c r="BR3" i="16"/>
  <c r="AJ71" i="22"/>
  <c r="AJ69" i="22"/>
  <c r="AJ67" i="22"/>
  <c r="AJ65" i="22"/>
  <c r="BQ15" i="16"/>
  <c r="AL15" i="16"/>
  <c r="BQ14" i="16"/>
  <c r="AM14" i="16"/>
  <c r="Q25" i="2"/>
  <c r="BN46" i="16" s="1"/>
  <c r="N25" i="2"/>
  <c r="DF5" i="16" s="1"/>
  <c r="J241" i="22"/>
  <c r="J235" i="22"/>
  <c r="J225" i="22"/>
  <c r="J211" i="22"/>
  <c r="J199" i="22"/>
  <c r="J195" i="22"/>
  <c r="J159" i="22"/>
  <c r="J151" i="22"/>
  <c r="J139" i="22"/>
  <c r="J129" i="22"/>
  <c r="J121" i="22"/>
  <c r="J109" i="22"/>
  <c r="J67" i="22"/>
  <c r="J55" i="22"/>
  <c r="J11" i="22"/>
  <c r="K241" i="22"/>
  <c r="K235" i="22"/>
  <c r="K219" i="22"/>
  <c r="K213" i="22"/>
  <c r="K199" i="22"/>
  <c r="K191" i="22"/>
  <c r="K161" i="22"/>
  <c r="K147" i="22"/>
  <c r="K139" i="22"/>
  <c r="K131" i="22"/>
  <c r="K117" i="22"/>
  <c r="K105" i="22"/>
  <c r="K69" i="22"/>
  <c r="J15" i="22"/>
  <c r="K177" i="22"/>
  <c r="J177" i="22"/>
  <c r="K167" i="22"/>
  <c r="J165" i="22"/>
  <c r="K61" i="22"/>
  <c r="K19" i="22"/>
  <c r="K7" i="22"/>
  <c r="K229" i="22" l="1"/>
  <c r="K221" i="22"/>
  <c r="K223" i="22"/>
  <c r="J125" i="22"/>
  <c r="J127" i="22"/>
  <c r="J131" i="22"/>
  <c r="K243" i="22"/>
  <c r="K201" i="22"/>
  <c r="J205" i="22"/>
  <c r="J223" i="22"/>
  <c r="J201" i="22"/>
  <c r="J229" i="22"/>
  <c r="J213" i="22"/>
  <c r="J219" i="22"/>
  <c r="J243" i="22"/>
  <c r="J203" i="22"/>
  <c r="J215" i="22"/>
  <c r="J221" i="22"/>
  <c r="J231" i="22"/>
  <c r="J245" i="22"/>
  <c r="J209" i="22"/>
  <c r="J233" i="22"/>
  <c r="J239" i="22"/>
  <c r="K215" i="22"/>
  <c r="K231" i="22"/>
  <c r="K245" i="22"/>
  <c r="K203" i="22"/>
  <c r="K209" i="22"/>
  <c r="K225" i="22"/>
  <c r="K233" i="22"/>
  <c r="K239" i="22"/>
  <c r="K205" i="22"/>
  <c r="K211" i="22"/>
  <c r="K125" i="22"/>
  <c r="K115" i="22"/>
  <c r="K127" i="22"/>
  <c r="K129" i="22"/>
  <c r="K141" i="22"/>
  <c r="K121" i="22"/>
  <c r="K155" i="22"/>
  <c r="K157" i="22"/>
  <c r="K119" i="22"/>
  <c r="K159" i="22"/>
  <c r="K145" i="22"/>
  <c r="K135" i="22"/>
  <c r="K149" i="22"/>
  <c r="K137" i="22"/>
  <c r="K151" i="22"/>
  <c r="J135" i="22"/>
  <c r="J137" i="22"/>
  <c r="J117" i="22"/>
  <c r="J141" i="22"/>
  <c r="J147" i="22"/>
  <c r="J119" i="22"/>
  <c r="J149" i="22"/>
  <c r="J155" i="22"/>
  <c r="J161" i="22"/>
  <c r="J115" i="22"/>
  <c r="J145" i="22"/>
  <c r="J157" i="22"/>
  <c r="K189" i="22"/>
  <c r="K193" i="22"/>
  <c r="K195" i="22"/>
  <c r="J191" i="22"/>
  <c r="J193" i="22"/>
  <c r="J189" i="22"/>
  <c r="K107" i="22"/>
  <c r="K109" i="22"/>
  <c r="K111" i="22"/>
  <c r="J111" i="22"/>
  <c r="J105" i="22"/>
  <c r="J107" i="22"/>
  <c r="J173" i="22"/>
  <c r="J175" i="22"/>
  <c r="K175" i="22"/>
  <c r="K173" i="22"/>
  <c r="K169" i="22"/>
  <c r="K165" i="22"/>
  <c r="J167" i="22"/>
  <c r="J169" i="22"/>
  <c r="K65" i="22"/>
  <c r="K71" i="22"/>
  <c r="K67" i="22"/>
  <c r="J69" i="22"/>
  <c r="J71" i="22"/>
  <c r="J65" i="22"/>
  <c r="J59" i="22"/>
  <c r="J57" i="22"/>
  <c r="J61" i="22"/>
  <c r="K55" i="22"/>
  <c r="K57" i="22"/>
  <c r="K59" i="22"/>
  <c r="K21" i="22"/>
  <c r="K15" i="22"/>
  <c r="K17" i="22"/>
  <c r="J17" i="22"/>
  <c r="J19" i="22"/>
  <c r="J21" i="22"/>
  <c r="J9" i="22"/>
  <c r="K9" i="22"/>
  <c r="J5" i="22"/>
  <c r="K11" i="22"/>
  <c r="J7" i="22"/>
  <c r="K5" i="22"/>
  <c r="AM16" i="16" l="1"/>
  <c r="AL16" i="16"/>
  <c r="BN15" i="16"/>
  <c r="CR46" i="16"/>
  <c r="DE5" i="16" l="1"/>
  <c r="AK7" i="16"/>
  <c r="T19" i="2"/>
  <c r="AK48" i="16" s="1"/>
  <c r="Q24" i="2"/>
  <c r="BV46" i="16" s="1"/>
  <c r="N24" i="2"/>
  <c r="BQ3" i="16"/>
  <c r="AM15" i="16"/>
  <c r="AK15" i="16" l="1"/>
  <c r="Y171" i="22"/>
  <c r="Y177" i="22" s="1"/>
  <c r="Y13" i="22"/>
  <c r="Q23" i="2"/>
  <c r="BR46" i="16" s="1"/>
  <c r="Q15" i="2"/>
  <c r="Q9" i="2"/>
  <c r="Q11" i="2"/>
  <c r="BQ46" i="16" l="1"/>
  <c r="Y175" i="22"/>
  <c r="Y173" i="22"/>
  <c r="Y21" i="22"/>
  <c r="N15" i="2"/>
  <c r="N23" i="2"/>
  <c r="BR5" i="16" s="1"/>
  <c r="N9" i="2"/>
  <c r="N11" i="2"/>
  <c r="AM9" i="16"/>
  <c r="AJ9" i="16"/>
  <c r="BQ5" i="16" l="1"/>
  <c r="Y15" i="22"/>
  <c r="Y17" i="22"/>
  <c r="Y19" i="22"/>
  <c r="N7" i="12"/>
  <c r="AI14" i="16"/>
  <c r="H13" i="22"/>
  <c r="H63" i="22"/>
  <c r="H171" i="22"/>
  <c r="H179" i="22"/>
  <c r="AT179" i="22"/>
  <c r="AT171" i="22"/>
  <c r="AT63" i="22"/>
  <c r="AT13" i="22"/>
  <c r="AJ48" i="16"/>
  <c r="AJ7" i="16"/>
  <c r="N10" i="2"/>
  <c r="BN5" i="16" s="1"/>
  <c r="Q10" i="2"/>
  <c r="AT19" i="22" l="1"/>
  <c r="AT21" i="22" l="1"/>
  <c r="AT15" i="22"/>
  <c r="AT17" i="22"/>
  <c r="AT41" i="22"/>
  <c r="AT185" i="22"/>
  <c r="AT177" i="22"/>
  <c r="AT69" i="22"/>
  <c r="H183" i="22"/>
  <c r="H177" i="22"/>
  <c r="H67" i="22"/>
  <c r="H37" i="22"/>
  <c r="H15" i="22"/>
  <c r="BJ48" i="16"/>
  <c r="BJ46" i="16"/>
  <c r="BJ15" i="16"/>
  <c r="BJ5" i="16"/>
  <c r="BP15" i="16"/>
  <c r="BU46" i="16"/>
  <c r="N7" i="2"/>
  <c r="AG105" i="11"/>
  <c r="P108" i="11" s="1" a="1"/>
  <c r="P108" i="11" s="1"/>
  <c r="AB108" i="11" s="1"/>
  <c r="AT181" i="22" l="1"/>
  <c r="H185" i="22"/>
  <c r="H181" i="22"/>
  <c r="AT183" i="22"/>
  <c r="AT175" i="22"/>
  <c r="AT173" i="22"/>
  <c r="AT67" i="22"/>
  <c r="AT71" i="22"/>
  <c r="AT65" i="22"/>
  <c r="H69" i="22"/>
  <c r="H71" i="22"/>
  <c r="H65" i="22"/>
  <c r="AT35" i="22"/>
  <c r="AT37" i="22"/>
  <c r="AT39" i="22"/>
  <c r="H173" i="22"/>
  <c r="H175" i="22"/>
  <c r="H35" i="22"/>
  <c r="H39" i="22"/>
  <c r="H41" i="22"/>
  <c r="H17" i="22"/>
  <c r="H21" i="22"/>
  <c r="H19" i="22"/>
  <c r="AS59" i="22" l="1"/>
  <c r="AR59" i="22"/>
  <c r="AO59" i="22"/>
  <c r="AQ55" i="22"/>
  <c r="AP61" i="22"/>
  <c r="AN59" i="22"/>
  <c r="AL61" i="22"/>
  <c r="AM57" i="22"/>
  <c r="AS55" i="22" l="1"/>
  <c r="AS57" i="22"/>
  <c r="AS61" i="22"/>
  <c r="AR61" i="22"/>
  <c r="AR55" i="22"/>
  <c r="AR57" i="22"/>
  <c r="AQ61" i="22"/>
  <c r="AQ59" i="22"/>
  <c r="AQ57" i="22"/>
  <c r="AP55" i="22"/>
  <c r="AP57" i="22"/>
  <c r="AP59" i="22"/>
  <c r="AO55" i="22"/>
  <c r="AO57" i="22"/>
  <c r="AO61" i="22"/>
  <c r="AN57" i="22"/>
  <c r="AN55" i="22"/>
  <c r="AN61" i="22"/>
  <c r="AM55" i="22"/>
  <c r="AM59" i="22"/>
  <c r="AM61" i="22"/>
  <c r="AL55" i="22"/>
  <c r="AL57" i="22"/>
  <c r="AL59" i="22"/>
  <c r="Y227" i="22" l="1"/>
  <c r="Y235" i="22" s="1"/>
  <c r="Y217" i="22"/>
  <c r="Y219" i="22" s="1"/>
  <c r="Y207" i="22"/>
  <c r="Y211" i="22" s="1"/>
  <c r="Y197" i="22"/>
  <c r="Y203" i="22" s="1"/>
  <c r="Y187" i="22"/>
  <c r="Y195" i="22" s="1"/>
  <c r="H4" i="9"/>
  <c r="R195" i="22"/>
  <c r="R109" i="22" l="1"/>
  <c r="R107" i="22"/>
  <c r="R111" i="22"/>
  <c r="R105" i="22"/>
  <c r="Y229" i="22"/>
  <c r="Y231" i="22"/>
  <c r="Y233" i="22"/>
  <c r="Y223" i="22"/>
  <c r="Y221" i="22"/>
  <c r="Y225" i="22"/>
  <c r="Y215" i="22"/>
  <c r="Y213" i="22"/>
  <c r="Y209" i="22"/>
  <c r="Y199" i="22"/>
  <c r="Y205" i="22"/>
  <c r="Y201" i="22"/>
  <c r="Y189" i="22"/>
  <c r="Y191" i="22"/>
  <c r="Y193" i="22"/>
  <c r="R189" i="22"/>
  <c r="R191" i="22"/>
  <c r="R193" i="22"/>
  <c r="X227" i="22"/>
  <c r="X217" i="22"/>
  <c r="X207" i="22"/>
  <c r="X197" i="22"/>
  <c r="X187" i="22"/>
  <c r="W227" i="22"/>
  <c r="W231" i="22" s="1"/>
  <c r="W217" i="22"/>
  <c r="W221" i="22" s="1"/>
  <c r="W207" i="22"/>
  <c r="W215" i="22" s="1"/>
  <c r="W197" i="22"/>
  <c r="W191" i="22"/>
  <c r="V227" i="22"/>
  <c r="V217" i="22"/>
  <c r="V207" i="22"/>
  <c r="V213" i="22" s="1"/>
  <c r="V197" i="22"/>
  <c r="V187" i="22"/>
  <c r="Y143" i="22"/>
  <c r="Y145" i="22" s="1"/>
  <c r="Y133" i="22"/>
  <c r="Y137" i="22" s="1"/>
  <c r="Y123" i="22"/>
  <c r="Y113" i="22"/>
  <c r="Y121" i="22" s="1"/>
  <c r="Y103" i="22"/>
  <c r="Y105" i="22" s="1"/>
  <c r="X143" i="22"/>
  <c r="X145" i="22" s="1"/>
  <c r="X133" i="22"/>
  <c r="X135" i="22" s="1"/>
  <c r="X123" i="22"/>
  <c r="X125" i="22" s="1"/>
  <c r="X113" i="22"/>
  <c r="X121" i="22" s="1"/>
  <c r="X103" i="22"/>
  <c r="W143" i="22"/>
  <c r="W151" i="22" s="1"/>
  <c r="W133" i="22"/>
  <c r="W141" i="22" s="1"/>
  <c r="W123" i="22"/>
  <c r="W127" i="22" s="1"/>
  <c r="W113" i="22"/>
  <c r="W121" i="22" s="1"/>
  <c r="W103" i="22"/>
  <c r="W109" i="22" s="1"/>
  <c r="V143" i="22"/>
  <c r="V133" i="22"/>
  <c r="V123" i="22"/>
  <c r="V113" i="22"/>
  <c r="V103" i="22"/>
  <c r="AI153" i="22"/>
  <c r="AI161" i="22" s="1"/>
  <c r="Q227" i="22"/>
  <c r="Q207" i="22"/>
  <c r="Q197" i="22"/>
  <c r="M239" i="22"/>
  <c r="G243" i="22"/>
  <c r="E237" i="22"/>
  <c r="E241" i="22" s="1"/>
  <c r="E229" i="22"/>
  <c r="E231" i="22"/>
  <c r="E233" i="22"/>
  <c r="E235" i="22"/>
  <c r="D235" i="22"/>
  <c r="D233" i="22"/>
  <c r="D231" i="22"/>
  <c r="D229" i="22"/>
  <c r="E225" i="22"/>
  <c r="D225" i="22"/>
  <c r="E223" i="22"/>
  <c r="D223" i="22"/>
  <c r="E221" i="22"/>
  <c r="D221" i="22"/>
  <c r="E219" i="22"/>
  <c r="D219" i="22"/>
  <c r="E209" i="22"/>
  <c r="E211" i="22"/>
  <c r="E213" i="22"/>
  <c r="E215" i="22"/>
  <c r="D215" i="22"/>
  <c r="D213" i="22"/>
  <c r="D211" i="22"/>
  <c r="D209" i="22"/>
  <c r="E199" i="22"/>
  <c r="E201" i="22"/>
  <c r="E203" i="22"/>
  <c r="E205" i="22"/>
  <c r="D205" i="22"/>
  <c r="D203" i="22"/>
  <c r="D201" i="22"/>
  <c r="D199" i="22"/>
  <c r="D195" i="22"/>
  <c r="D193" i="22"/>
  <c r="D191" i="22"/>
  <c r="E195" i="22"/>
  <c r="E193" i="22"/>
  <c r="E191" i="22"/>
  <c r="E189" i="22"/>
  <c r="D189" i="22"/>
  <c r="Q143" i="22"/>
  <c r="Q133" i="22"/>
  <c r="Q139" i="22" s="1"/>
  <c r="Q113" i="22"/>
  <c r="M157" i="22"/>
  <c r="G159" i="22"/>
  <c r="E153" i="22"/>
  <c r="E157" i="22" s="1"/>
  <c r="D159" i="22"/>
  <c r="AI237" i="22"/>
  <c r="AI239" i="22" s="1"/>
  <c r="V237" i="22"/>
  <c r="U237" i="22"/>
  <c r="D245" i="22"/>
  <c r="D53" i="22"/>
  <c r="AE14" i="16"/>
  <c r="W205" i="22" l="1"/>
  <c r="W203" i="22"/>
  <c r="W201" i="22"/>
  <c r="W199" i="22"/>
  <c r="Y131" i="22"/>
  <c r="Y129" i="22"/>
  <c r="Y125" i="22"/>
  <c r="Y127" i="22"/>
  <c r="W211" i="22"/>
  <c r="W219" i="22"/>
  <c r="W213" i="22"/>
  <c r="W225" i="22"/>
  <c r="M155" i="22"/>
  <c r="M159" i="22"/>
  <c r="G245" i="22"/>
  <c r="M241" i="22"/>
  <c r="W193" i="22"/>
  <c r="W209" i="22"/>
  <c r="W223" i="22"/>
  <c r="W233" i="22"/>
  <c r="M161" i="22"/>
  <c r="M243" i="22"/>
  <c r="W195" i="22"/>
  <c r="W235" i="22"/>
  <c r="G241" i="22"/>
  <c r="M245" i="22"/>
  <c r="W189" i="22"/>
  <c r="W229" i="22"/>
  <c r="G239" i="22"/>
  <c r="AI241" i="22"/>
  <c r="AI243" i="22"/>
  <c r="AI245" i="22"/>
  <c r="AI155" i="22"/>
  <c r="AI157" i="22"/>
  <c r="AI159" i="22"/>
  <c r="W145" i="22"/>
  <c r="X147" i="22"/>
  <c r="Y115" i="22"/>
  <c r="Y139" i="22"/>
  <c r="W147" i="22"/>
  <c r="X149" i="22"/>
  <c r="Y147" i="22"/>
  <c r="Y135" i="22"/>
  <c r="W115" i="22"/>
  <c r="W117" i="22"/>
  <c r="W139" i="22"/>
  <c r="W149" i="22"/>
  <c r="X127" i="22"/>
  <c r="X151" i="22"/>
  <c r="Y117" i="22"/>
  <c r="Y141" i="22"/>
  <c r="Y149" i="22"/>
  <c r="W119" i="22"/>
  <c r="Y119" i="22"/>
  <c r="Y151" i="22"/>
  <c r="Y109" i="22"/>
  <c r="Y107" i="22"/>
  <c r="Y111" i="22"/>
  <c r="X115" i="22"/>
  <c r="W135" i="22"/>
  <c r="X117" i="22"/>
  <c r="X131" i="22"/>
  <c r="W137" i="22"/>
  <c r="X119" i="22"/>
  <c r="G161" i="22"/>
  <c r="G157" i="22"/>
  <c r="G155" i="22"/>
  <c r="D241" i="22"/>
  <c r="D243" i="22"/>
  <c r="D239" i="22"/>
  <c r="X141" i="22"/>
  <c r="X137" i="22"/>
  <c r="X139" i="22"/>
  <c r="X129" i="22"/>
  <c r="W129" i="22"/>
  <c r="W131" i="22"/>
  <c r="W125" i="22"/>
  <c r="W111" i="22"/>
  <c r="W105" i="22"/>
  <c r="W107" i="22"/>
  <c r="E243" i="22"/>
  <c r="E245" i="22"/>
  <c r="E239" i="22"/>
  <c r="Q141" i="22"/>
  <c r="Q137" i="22"/>
  <c r="E161" i="22"/>
  <c r="E159" i="22"/>
  <c r="E155" i="22"/>
  <c r="D157" i="22"/>
  <c r="D161" i="22"/>
  <c r="D155" i="22"/>
  <c r="V153" i="22"/>
  <c r="U153" i="22"/>
  <c r="U155" i="22" l="1"/>
  <c r="U157" i="22"/>
  <c r="U161" i="22"/>
  <c r="U159" i="22"/>
  <c r="V157" i="22"/>
  <c r="V159" i="22"/>
  <c r="V155" i="22"/>
  <c r="V161" i="22"/>
  <c r="G53" i="22"/>
  <c r="AF16" i="16" l="1"/>
  <c r="AF15" i="16"/>
  <c r="CS45" i="16"/>
  <c r="CS39" i="16"/>
  <c r="CS14" i="16"/>
  <c r="CS3" i="16"/>
  <c r="CS64" i="16"/>
  <c r="U59" i="23" l="1"/>
  <c r="I73" i="22" l="1"/>
  <c r="I63" i="22"/>
  <c r="I53" i="22"/>
  <c r="G87" i="22"/>
  <c r="AF14" i="16"/>
  <c r="AC14" i="16"/>
  <c r="CR45" i="16"/>
  <c r="CR14" i="16"/>
  <c r="CR3" i="16"/>
  <c r="G89" i="22" l="1"/>
  <c r="G91" i="22"/>
  <c r="G85" i="22"/>
  <c r="M3" i="22"/>
  <c r="M73" i="22"/>
  <c r="M63" i="22"/>
  <c r="M53" i="22"/>
  <c r="M43" i="22"/>
  <c r="M23" i="22"/>
  <c r="M101" i="22" l="1"/>
  <c r="M99" i="22"/>
  <c r="M97" i="22"/>
  <c r="M95" i="22"/>
  <c r="AK73" i="22"/>
  <c r="AK81" i="22" s="1"/>
  <c r="AK63" i="22"/>
  <c r="AK71" i="22" s="1"/>
  <c r="AK53" i="22"/>
  <c r="AK61" i="22" s="1"/>
  <c r="AK43" i="22"/>
  <c r="AK51" i="22" s="1"/>
  <c r="AK23" i="22"/>
  <c r="AK31" i="22" s="1"/>
  <c r="AK91" i="22" l="1"/>
  <c r="AK45" i="22"/>
  <c r="AK47" i="22"/>
  <c r="AK85" i="22"/>
  <c r="AK87" i="22"/>
  <c r="AK89" i="22"/>
  <c r="AK49" i="22"/>
  <c r="AK75" i="22"/>
  <c r="AK77" i="22"/>
  <c r="AK79" i="22"/>
  <c r="AK65" i="22"/>
  <c r="AK67" i="22"/>
  <c r="AK69" i="22"/>
  <c r="AK55" i="22"/>
  <c r="AK57" i="22"/>
  <c r="AK59" i="22"/>
  <c r="AK27" i="22"/>
  <c r="AK25" i="22"/>
  <c r="AK29" i="22"/>
  <c r="M65" i="23"/>
  <c r="L65" i="23"/>
  <c r="K65" i="23"/>
  <c r="M39" i="23"/>
  <c r="L39" i="23"/>
  <c r="M26" i="23"/>
  <c r="L26" i="23"/>
  <c r="K26" i="23"/>
  <c r="E26" i="23"/>
  <c r="M14" i="23"/>
  <c r="L14" i="23"/>
  <c r="K14" i="23"/>
  <c r="E14" i="23"/>
  <c r="E65" i="23"/>
  <c r="M64" i="23"/>
  <c r="L64" i="23"/>
  <c r="K64" i="23"/>
  <c r="F64" i="23"/>
  <c r="E64" i="23"/>
  <c r="M40" i="23"/>
  <c r="M51" i="23" s="1"/>
  <c r="L40" i="23"/>
  <c r="K40" i="23"/>
  <c r="F40" i="23"/>
  <c r="F52" i="23" s="1"/>
  <c r="E40" i="23"/>
  <c r="E49" i="23" s="1"/>
  <c r="M38" i="23"/>
  <c r="L38" i="23"/>
  <c r="M37" i="23"/>
  <c r="L37" i="23"/>
  <c r="M36" i="23"/>
  <c r="L36" i="23"/>
  <c r="M35" i="23"/>
  <c r="L35" i="23"/>
  <c r="M34" i="23"/>
  <c r="L34" i="23"/>
  <c r="K39" i="23"/>
  <c r="F39" i="23"/>
  <c r="E39" i="23"/>
  <c r="K38" i="23"/>
  <c r="F38" i="23"/>
  <c r="E38" i="23"/>
  <c r="K37" i="23"/>
  <c r="F37" i="23"/>
  <c r="E37" i="23"/>
  <c r="K36" i="23"/>
  <c r="F36" i="23"/>
  <c r="E36" i="23"/>
  <c r="K35" i="23"/>
  <c r="F35" i="23"/>
  <c r="E35" i="23"/>
  <c r="K34" i="23"/>
  <c r="F34" i="23"/>
  <c r="E34" i="23"/>
  <c r="E33" i="23"/>
  <c r="F33" i="23"/>
  <c r="K33" i="23"/>
  <c r="L33" i="23"/>
  <c r="M32" i="23"/>
  <c r="L32" i="23"/>
  <c r="K32" i="23"/>
  <c r="F32" i="23"/>
  <c r="E32" i="23"/>
  <c r="M31" i="23"/>
  <c r="L31" i="23"/>
  <c r="K31" i="23"/>
  <c r="F31" i="23"/>
  <c r="E31" i="23"/>
  <c r="M30" i="23"/>
  <c r="L30" i="23"/>
  <c r="K30" i="23"/>
  <c r="F30" i="23"/>
  <c r="E30" i="23"/>
  <c r="M29" i="23"/>
  <c r="L29" i="23"/>
  <c r="K29" i="23"/>
  <c r="F29" i="23"/>
  <c r="E29" i="23"/>
  <c r="M28" i="23"/>
  <c r="L28" i="23"/>
  <c r="K28" i="23"/>
  <c r="F28" i="23"/>
  <c r="E28" i="23"/>
  <c r="M27" i="23"/>
  <c r="L27" i="23"/>
  <c r="K27" i="23"/>
  <c r="F27" i="23"/>
  <c r="E27" i="23"/>
  <c r="M25" i="23"/>
  <c r="L25" i="23"/>
  <c r="K25" i="23"/>
  <c r="F25" i="23"/>
  <c r="E25" i="23"/>
  <c r="M24" i="23"/>
  <c r="L24" i="23"/>
  <c r="K24" i="23"/>
  <c r="F24" i="23"/>
  <c r="E24" i="23"/>
  <c r="M23" i="23"/>
  <c r="L23" i="23"/>
  <c r="K23" i="23"/>
  <c r="F23" i="23"/>
  <c r="E23" i="23"/>
  <c r="M22" i="23"/>
  <c r="L22" i="23"/>
  <c r="F22" i="23"/>
  <c r="K22" i="23"/>
  <c r="E22" i="23"/>
  <c r="L21" i="23"/>
  <c r="K21" i="23"/>
  <c r="F21" i="23"/>
  <c r="E21" i="23"/>
  <c r="N21" i="23" s="1" a="1"/>
  <c r="N21" i="23" s="1"/>
  <c r="M20" i="23"/>
  <c r="L20" i="23"/>
  <c r="K20" i="23"/>
  <c r="F20" i="23"/>
  <c r="E20" i="23"/>
  <c r="M19" i="23"/>
  <c r="L19" i="23"/>
  <c r="K19" i="23"/>
  <c r="F19" i="23"/>
  <c r="E19" i="23"/>
  <c r="M18" i="23"/>
  <c r="L18" i="23"/>
  <c r="K18" i="23"/>
  <c r="F18" i="23"/>
  <c r="E18" i="23"/>
  <c r="M17" i="23"/>
  <c r="L17" i="23"/>
  <c r="K17" i="23"/>
  <c r="F17" i="23"/>
  <c r="E17" i="23"/>
  <c r="M16" i="23"/>
  <c r="L16" i="23"/>
  <c r="K16" i="23"/>
  <c r="F16" i="23"/>
  <c r="E16" i="23"/>
  <c r="M15" i="23"/>
  <c r="L15" i="23"/>
  <c r="K15" i="23"/>
  <c r="F15" i="23"/>
  <c r="E15" i="23"/>
  <c r="M13" i="23"/>
  <c r="L13" i="23"/>
  <c r="K13" i="23"/>
  <c r="F13" i="23"/>
  <c r="E13" i="23"/>
  <c r="M12" i="23"/>
  <c r="L12" i="23"/>
  <c r="K12" i="23"/>
  <c r="F12" i="23"/>
  <c r="E12" i="23"/>
  <c r="M11" i="23"/>
  <c r="L11" i="23"/>
  <c r="K11" i="23"/>
  <c r="F11" i="23"/>
  <c r="E11" i="23"/>
  <c r="M10" i="23"/>
  <c r="L10" i="23"/>
  <c r="K10" i="23"/>
  <c r="E10" i="23"/>
  <c r="K9" i="23"/>
  <c r="E9" i="23"/>
  <c r="L8" i="23"/>
  <c r="K8" i="23"/>
  <c r="E8" i="23"/>
  <c r="M7" i="23"/>
  <c r="L7" i="23"/>
  <c r="K7" i="23"/>
  <c r="F7" i="23"/>
  <c r="E7" i="23"/>
  <c r="M6" i="23"/>
  <c r="L6" i="23"/>
  <c r="K6" i="23"/>
  <c r="F6" i="23"/>
  <c r="E6" i="23"/>
  <c r="N6" i="23" s="1" a="1"/>
  <c r="N6" i="23" s="1"/>
  <c r="M5" i="23"/>
  <c r="L5" i="23"/>
  <c r="K5" i="23"/>
  <c r="F5" i="23"/>
  <c r="E5" i="23"/>
  <c r="N40" i="23" a="1"/>
  <c r="N40" i="23" s="1"/>
  <c r="L51" i="23" l="1"/>
  <c r="N8" i="23" a="1"/>
  <c r="N8" i="23" s="1"/>
  <c r="Q217" i="22"/>
  <c r="Q187" i="22"/>
  <c r="F56" i="23"/>
  <c r="F53" i="23"/>
  <c r="AV3" i="21"/>
  <c r="N64" i="23" a="1"/>
  <c r="N64" i="23" s="1"/>
  <c r="K51" i="23"/>
  <c r="Q123" i="22"/>
  <c r="Q103" i="22"/>
  <c r="BS3" i="21"/>
  <c r="F51" i="23"/>
  <c r="F43" i="23"/>
  <c r="E42" i="23"/>
  <c r="N65" i="23" a="1"/>
  <c r="N65" i="23" s="1"/>
  <c r="N7" i="23" a="1"/>
  <c r="N7" i="23" s="1"/>
  <c r="N14" i="23" a="1"/>
  <c r="N14" i="23" s="1"/>
  <c r="N17" i="23" a="1"/>
  <c r="N17" i="23" s="1"/>
  <c r="N19" i="23" a="1"/>
  <c r="N19" i="23" s="1"/>
  <c r="N23" i="23" a="1"/>
  <c r="N23" i="23" s="1"/>
  <c r="N38" i="23" a="1"/>
  <c r="N38" i="23" s="1"/>
  <c r="N34" i="23" a="1"/>
  <c r="N34" i="23" s="1"/>
  <c r="N37" i="23" a="1"/>
  <c r="N37" i="23" s="1"/>
  <c r="N11" i="23" a="1"/>
  <c r="N11" i="23" s="1"/>
  <c r="N13" i="23" a="1"/>
  <c r="N13" i="23" s="1"/>
  <c r="N16" i="23" a="1"/>
  <c r="N16" i="23" s="1"/>
  <c r="N26" i="23" a="1"/>
  <c r="N26" i="23" s="1"/>
  <c r="N28" i="23" a="1"/>
  <c r="N28" i="23" s="1"/>
  <c r="N30" i="23" a="1"/>
  <c r="N30" i="23" s="1"/>
  <c r="N32" i="23" a="1"/>
  <c r="N32" i="23" s="1"/>
  <c r="N33" i="23" a="1"/>
  <c r="N33" i="23" s="1"/>
  <c r="N36" i="23" a="1"/>
  <c r="N36" i="23" s="1"/>
  <c r="N9" i="23" a="1"/>
  <c r="N9" i="23" s="1"/>
  <c r="N10" i="23" a="1"/>
  <c r="N10" i="23" s="1"/>
  <c r="N12" i="23" a="1"/>
  <c r="N12" i="23" s="1"/>
  <c r="N15" i="23" a="1"/>
  <c r="N15" i="23" s="1"/>
  <c r="N18" i="23" a="1"/>
  <c r="N18" i="23" s="1"/>
  <c r="N20" i="23" a="1"/>
  <c r="N20" i="23" s="1"/>
  <c r="N22" i="23" a="1"/>
  <c r="N22" i="23" s="1"/>
  <c r="N24" i="23" a="1"/>
  <c r="N24" i="23" s="1"/>
  <c r="N25" i="23" a="1"/>
  <c r="N25" i="23" s="1"/>
  <c r="N27" i="23" a="1"/>
  <c r="N27" i="23" s="1"/>
  <c r="N29" i="23" a="1"/>
  <c r="N29" i="23" s="1"/>
  <c r="N39" i="23" a="1"/>
  <c r="N39" i="23" s="1"/>
  <c r="N35" i="23" a="1"/>
  <c r="N35" i="23" s="1"/>
  <c r="M43" i="23"/>
  <c r="F46" i="23"/>
  <c r="F47" i="23"/>
  <c r="F42" i="23"/>
  <c r="F50" i="23"/>
  <c r="F61" i="23"/>
  <c r="F60" i="23"/>
  <c r="F58" i="23"/>
  <c r="F44" i="23"/>
  <c r="F48" i="23"/>
  <c r="F41" i="23"/>
  <c r="F45" i="23"/>
  <c r="F49" i="23"/>
  <c r="E46" i="23"/>
  <c r="E50" i="23"/>
  <c r="E43" i="23"/>
  <c r="E47" i="23"/>
  <c r="E51" i="23"/>
  <c r="E44" i="23"/>
  <c r="E48" i="23"/>
  <c r="E52" i="23"/>
  <c r="E60" i="23" s="1"/>
  <c r="E41" i="23"/>
  <c r="E45" i="23"/>
  <c r="M48" i="23"/>
  <c r="M41" i="23"/>
  <c r="M45" i="23"/>
  <c r="M49" i="23"/>
  <c r="M42" i="23"/>
  <c r="M46" i="23"/>
  <c r="M50" i="23"/>
  <c r="M52" i="23"/>
  <c r="M44" i="23"/>
  <c r="M47" i="23"/>
  <c r="L48" i="23"/>
  <c r="L44" i="23"/>
  <c r="L41" i="23"/>
  <c r="L45" i="23"/>
  <c r="L49" i="23"/>
  <c r="L52" i="23"/>
  <c r="L63" i="23" s="1"/>
  <c r="L42" i="23"/>
  <c r="L46" i="23"/>
  <c r="L50" i="23"/>
  <c r="L43" i="23"/>
  <c r="L47" i="23"/>
  <c r="K48" i="23"/>
  <c r="K52" i="23"/>
  <c r="K56" i="23" s="1"/>
  <c r="K45" i="23"/>
  <c r="K42" i="23"/>
  <c r="K46" i="23"/>
  <c r="K50" i="23"/>
  <c r="K44" i="23"/>
  <c r="K41" i="23"/>
  <c r="K49" i="23"/>
  <c r="K43" i="23"/>
  <c r="K47" i="23"/>
  <c r="F54" i="23"/>
  <c r="F62" i="23"/>
  <c r="F55" i="23"/>
  <c r="F59" i="23"/>
  <c r="F63" i="23"/>
  <c r="F57" i="23"/>
  <c r="T13" i="9"/>
  <c r="AJ64" i="16" s="1"/>
  <c r="T3" i="9"/>
  <c r="AJ39" i="16" s="1"/>
  <c r="BO54" i="16"/>
  <c r="BO64" i="16" s="1"/>
  <c r="CR64" i="16"/>
  <c r="CT64" i="16"/>
  <c r="T20" i="9"/>
  <c r="T19" i="9"/>
  <c r="BQ64" i="16" s="1"/>
  <c r="T18" i="9"/>
  <c r="T17" i="9"/>
  <c r="T16" i="9"/>
  <c r="T15" i="9"/>
  <c r="T14" i="9"/>
  <c r="T10" i="9"/>
  <c r="T9" i="9"/>
  <c r="T8" i="9"/>
  <c r="T7" i="9"/>
  <c r="T6" i="9"/>
  <c r="T4" i="9"/>
  <c r="Q15" i="9"/>
  <c r="Q14" i="9"/>
  <c r="Q13" i="9"/>
  <c r="Q12" i="9"/>
  <c r="Q7" i="9"/>
  <c r="Q6" i="9"/>
  <c r="Q5" i="9"/>
  <c r="Q4" i="9"/>
  <c r="Q3" i="9"/>
  <c r="Q11" i="9"/>
  <c r="K11" i="9"/>
  <c r="L11" i="9"/>
  <c r="M11" i="9"/>
  <c r="K12" i="9"/>
  <c r="L12" i="9"/>
  <c r="M12" i="9"/>
  <c r="K13" i="9"/>
  <c r="L13" i="9"/>
  <c r="M13" i="9"/>
  <c r="K14" i="9"/>
  <c r="L14" i="9"/>
  <c r="M14" i="9"/>
  <c r="K15" i="9"/>
  <c r="L15" i="9"/>
  <c r="M15" i="9"/>
  <c r="F19" i="9"/>
  <c r="D9" i="9"/>
  <c r="E9" i="9"/>
  <c r="F9" i="9"/>
  <c r="H9" i="9"/>
  <c r="AG29" i="16"/>
  <c r="AV29" i="16" s="1"/>
  <c r="BG64" i="16"/>
  <c r="AU64" i="16"/>
  <c r="AM64" i="16"/>
  <c r="AF39" i="16"/>
  <c r="AF64" i="16"/>
  <c r="AE64" i="16"/>
  <c r="AC64" i="16"/>
  <c r="X64" i="16"/>
  <c r="L64" i="16"/>
  <c r="F64" i="16"/>
  <c r="X58" i="16"/>
  <c r="X57" i="16"/>
  <c r="X56" i="16"/>
  <c r="X55" i="16"/>
  <c r="X54" i="16"/>
  <c r="L58" i="16"/>
  <c r="F58" i="16"/>
  <c r="L57" i="16"/>
  <c r="F57" i="16"/>
  <c r="L56" i="16"/>
  <c r="F56" i="16"/>
  <c r="L55" i="16"/>
  <c r="F55" i="16"/>
  <c r="L54" i="16"/>
  <c r="F54" i="16"/>
  <c r="AF54" i="16"/>
  <c r="AJ54" i="16"/>
  <c r="AK54" i="16"/>
  <c r="AL54" i="16"/>
  <c r="AM54" i="16"/>
  <c r="AW54" i="16"/>
  <c r="BN54" i="16"/>
  <c r="CE54" i="16"/>
  <c r="AF55" i="16"/>
  <c r="AJ55" i="16"/>
  <c r="AK55" i="16"/>
  <c r="AL55" i="16"/>
  <c r="AM55" i="16"/>
  <c r="AW55" i="16"/>
  <c r="BN55" i="16"/>
  <c r="AF56" i="16"/>
  <c r="AJ56" i="16"/>
  <c r="AK56" i="16"/>
  <c r="AL56" i="16"/>
  <c r="AM56" i="16"/>
  <c r="AW56" i="16"/>
  <c r="BN56" i="16"/>
  <c r="AF57" i="16"/>
  <c r="AJ57" i="16"/>
  <c r="AK57" i="16"/>
  <c r="AL57" i="16"/>
  <c r="AM57" i="16"/>
  <c r="AW57" i="16"/>
  <c r="BN57" i="16"/>
  <c r="AF58" i="16"/>
  <c r="AJ58" i="16"/>
  <c r="AK58" i="16"/>
  <c r="AL58" i="16"/>
  <c r="AM58" i="16"/>
  <c r="AW58" i="16"/>
  <c r="BN58" i="16"/>
  <c r="T267" i="22" l="1"/>
  <c r="S267" i="22"/>
  <c r="G19" i="9"/>
  <c r="G20" i="9" s="1"/>
  <c r="F237" i="22" s="1"/>
  <c r="AY29" i="16"/>
  <c r="BB29" i="16"/>
  <c r="AX29" i="16"/>
  <c r="BA29" i="16"/>
  <c r="AZ29" i="16"/>
  <c r="T257" i="22"/>
  <c r="T263" i="22" s="1"/>
  <c r="AT40" i="27"/>
  <c r="S257" i="22"/>
  <c r="S265" i="22" s="1"/>
  <c r="AS40" i="27"/>
  <c r="N41" i="23" a="1"/>
  <c r="N41" i="23" s="1"/>
  <c r="T3" i="21" s="1"/>
  <c r="S93" i="22"/>
  <c r="S247" i="22"/>
  <c r="T93" i="22"/>
  <c r="T247" i="22"/>
  <c r="N51" i="23" a="1"/>
  <c r="N51" i="23" s="1"/>
  <c r="L58" i="23"/>
  <c r="L54" i="23"/>
  <c r="L60" i="23"/>
  <c r="L59" i="23"/>
  <c r="E63" i="23"/>
  <c r="E61" i="23"/>
  <c r="K61" i="23"/>
  <c r="L61" i="23"/>
  <c r="L53" i="23"/>
  <c r="N12" i="9"/>
  <c r="K59" i="23"/>
  <c r="N49" i="23" a="1"/>
  <c r="N49" i="23" s="1"/>
  <c r="T153" i="22"/>
  <c r="T237" i="22"/>
  <c r="S153" i="22"/>
  <c r="S237" i="22"/>
  <c r="N47" i="23" a="1"/>
  <c r="N47" i="23" s="1"/>
  <c r="M58" i="23"/>
  <c r="M56" i="23"/>
  <c r="N42" i="23" a="1"/>
  <c r="N42" i="23" s="1"/>
  <c r="L55" i="23"/>
  <c r="L56" i="23"/>
  <c r="N43" i="23" a="1"/>
  <c r="N43" i="23" s="1"/>
  <c r="N46" i="23" a="1"/>
  <c r="N46" i="23" s="1"/>
  <c r="N48" i="23" a="1"/>
  <c r="N48" i="23" s="1"/>
  <c r="E57" i="23"/>
  <c r="N52" i="23" a="1"/>
  <c r="N52" i="23" s="1"/>
  <c r="K53" i="23"/>
  <c r="K63" i="23"/>
  <c r="K54" i="23"/>
  <c r="K60" i="23"/>
  <c r="K55" i="23"/>
  <c r="K57" i="23"/>
  <c r="K58" i="23"/>
  <c r="K62" i="23"/>
  <c r="CD3" i="16"/>
  <c r="CD24" i="16" s="1"/>
  <c r="L57" i="23"/>
  <c r="N44" i="23" a="1"/>
  <c r="N44" i="23" s="1"/>
  <c r="N50" i="23" a="1"/>
  <c r="N50" i="23" s="1"/>
  <c r="M61" i="23"/>
  <c r="M54" i="23"/>
  <c r="M60" i="23"/>
  <c r="N45" i="23" a="1"/>
  <c r="N45" i="23" s="1"/>
  <c r="M57" i="23"/>
  <c r="L62" i="23"/>
  <c r="E55" i="23"/>
  <c r="E58" i="23"/>
  <c r="N58" i="23" s="1" a="1"/>
  <c r="N58" i="23" s="1"/>
  <c r="E53" i="23"/>
  <c r="E59" i="23"/>
  <c r="E56" i="23"/>
  <c r="E54" i="23"/>
  <c r="E62" i="23"/>
  <c r="M63" i="23"/>
  <c r="M62" i="23"/>
  <c r="M59" i="23"/>
  <c r="M53" i="23"/>
  <c r="M55" i="23"/>
  <c r="N13" i="9"/>
  <c r="N14" i="9"/>
  <c r="N15" i="9"/>
  <c r="N11" i="9"/>
  <c r="I19" i="9"/>
  <c r="G9" i="9"/>
  <c r="I9" i="9"/>
  <c r="BO56" i="16"/>
  <c r="BO55" i="16"/>
  <c r="BO58" i="16"/>
  <c r="CE58" i="16"/>
  <c r="CE55" i="16"/>
  <c r="CE57" i="16"/>
  <c r="BO57" i="16"/>
  <c r="CE56" i="16"/>
  <c r="CE64" i="16"/>
  <c r="N60" i="23" l="1" a="1"/>
  <c r="N60" i="23" s="1"/>
  <c r="T265" i="22"/>
  <c r="S259" i="22"/>
  <c r="S263" i="22"/>
  <c r="T261" i="22"/>
  <c r="S261" i="22"/>
  <c r="T259" i="22"/>
  <c r="CD22" i="16"/>
  <c r="CD29" i="16"/>
  <c r="CD23" i="16"/>
  <c r="N54" i="23" a="1"/>
  <c r="N54" i="23" s="1"/>
  <c r="T253" i="22"/>
  <c r="T251" i="22"/>
  <c r="T249" i="22"/>
  <c r="T255" i="22"/>
  <c r="S253" i="22"/>
  <c r="S251" i="22"/>
  <c r="S249" i="22"/>
  <c r="S255" i="22"/>
  <c r="CD21" i="16"/>
  <c r="CD8" i="16"/>
  <c r="N61" i="23" a="1"/>
  <c r="N61" i="23" s="1"/>
  <c r="F243" i="22"/>
  <c r="F245" i="22"/>
  <c r="F239" i="22"/>
  <c r="F241" i="22"/>
  <c r="N59" i="23" a="1"/>
  <c r="N59" i="23" s="1"/>
  <c r="N53" i="23" a="1"/>
  <c r="N53" i="23" s="1"/>
  <c r="N63" i="23" a="1"/>
  <c r="N63" i="23" s="1"/>
  <c r="N55" i="23" a="1"/>
  <c r="N55" i="23" s="1"/>
  <c r="N56" i="23" a="1"/>
  <c r="N56" i="23" s="1"/>
  <c r="N62" i="23" a="1"/>
  <c r="N62" i="23" s="1"/>
  <c r="N57" i="23" a="1"/>
  <c r="N57" i="23" s="1"/>
  <c r="CD56" i="16"/>
  <c r="CD47" i="16"/>
  <c r="CD33" i="16"/>
  <c r="CD14" i="16"/>
  <c r="CD5" i="16"/>
  <c r="CD57" i="16"/>
  <c r="CD48" i="16"/>
  <c r="CD39" i="16"/>
  <c r="CD15" i="16"/>
  <c r="CD6" i="16"/>
  <c r="CD64" i="16"/>
  <c r="CD55" i="16"/>
  <c r="CD46" i="16"/>
  <c r="CD32" i="16"/>
  <c r="CD20" i="16"/>
  <c r="CD9" i="16"/>
  <c r="CD4" i="16"/>
  <c r="CD54" i="16"/>
  <c r="CD45" i="16"/>
  <c r="CD31" i="16"/>
  <c r="CD16" i="16"/>
  <c r="CD7" i="16"/>
  <c r="CD30" i="16"/>
  <c r="CD58" i="16"/>
  <c r="T13" i="2"/>
  <c r="Q16" i="2"/>
  <c r="H15" i="2"/>
  <c r="Q3" i="2"/>
  <c r="Q4" i="2"/>
  <c r="T14" i="2"/>
  <c r="Q5" i="2"/>
  <c r="T15" i="2"/>
  <c r="Q6" i="2"/>
  <c r="Q7" i="2"/>
  <c r="BO46" i="16" s="1"/>
  <c r="H8" i="2"/>
  <c r="Q8" i="2"/>
  <c r="T18" i="2"/>
  <c r="H9" i="2"/>
  <c r="H10" i="2"/>
  <c r="H11" i="2"/>
  <c r="H12" i="2"/>
  <c r="Q12" i="2"/>
  <c r="H16" i="2"/>
  <c r="Q17" i="2"/>
  <c r="H17" i="2"/>
  <c r="Q18" i="2"/>
  <c r="H21" i="2"/>
  <c r="I21" i="2" s="1"/>
  <c r="AF45" i="16" s="1"/>
  <c r="Q22" i="2"/>
  <c r="R22" i="2" s="1"/>
  <c r="AF46" i="16" s="1"/>
  <c r="H13" i="2"/>
  <c r="AM45" i="16" s="1"/>
  <c r="H14" i="2"/>
  <c r="Q13" i="2"/>
  <c r="BT46" i="16" s="1"/>
  <c r="Q14" i="2"/>
  <c r="BP48" i="16"/>
  <c r="BP46" i="16"/>
  <c r="CV46" i="16"/>
  <c r="CV45" i="16"/>
  <c r="CV3" i="16"/>
  <c r="U13" i="2" l="1"/>
  <c r="I15" i="2"/>
  <c r="R16" i="2"/>
  <c r="I16" i="2"/>
  <c r="U14" i="2"/>
  <c r="U17" i="2"/>
  <c r="I19" i="2"/>
  <c r="R20" i="2"/>
  <c r="R17" i="2"/>
  <c r="AV46" i="16" l="1"/>
  <c r="AU46" i="16"/>
  <c r="AL46" i="16"/>
  <c r="AK46" i="16"/>
  <c r="AI46" i="16"/>
  <c r="AH46" i="16"/>
  <c r="AG46" i="16"/>
  <c r="AF47" i="16"/>
  <c r="AF48" i="16" s="1"/>
  <c r="AC46" i="16"/>
  <c r="AC3" i="16"/>
  <c r="AC45" i="16"/>
  <c r="AE46" i="16"/>
  <c r="X48" i="16"/>
  <c r="X47" i="16"/>
  <c r="X46" i="16"/>
  <c r="X45" i="16"/>
  <c r="X39" i="16"/>
  <c r="X33" i="16"/>
  <c r="X32" i="16"/>
  <c r="X31" i="16"/>
  <c r="X30" i="16"/>
  <c r="X29" i="16"/>
  <c r="X20" i="16"/>
  <c r="X16" i="16"/>
  <c r="X15" i="16"/>
  <c r="X14" i="16"/>
  <c r="L48" i="16"/>
  <c r="F48" i="16"/>
  <c r="L47" i="16"/>
  <c r="F47" i="16"/>
  <c r="L46" i="16"/>
  <c r="F46" i="16"/>
  <c r="L45" i="16"/>
  <c r="F45" i="16"/>
  <c r="L39" i="16"/>
  <c r="F39" i="16"/>
  <c r="L33" i="16"/>
  <c r="F33" i="16"/>
  <c r="L32" i="16"/>
  <c r="F32" i="16"/>
  <c r="L31" i="16"/>
  <c r="F31" i="16"/>
  <c r="L30" i="16"/>
  <c r="F30" i="16"/>
  <c r="L29" i="16"/>
  <c r="F29" i="16"/>
  <c r="L20" i="16"/>
  <c r="F20" i="16"/>
  <c r="L16" i="16"/>
  <c r="F16" i="16"/>
  <c r="L15" i="16"/>
  <c r="F15" i="16"/>
  <c r="L14" i="16"/>
  <c r="F14" i="16"/>
  <c r="AE45" i="16"/>
  <c r="AU45" i="16"/>
  <c r="BG45" i="16"/>
  <c r="AE47" i="16"/>
  <c r="AU47" i="16"/>
  <c r="AU48" i="16" s="1"/>
  <c r="AE48" i="16"/>
  <c r="AH48" i="16"/>
  <c r="CV5" i="16" l="1"/>
  <c r="CV4" i="16"/>
  <c r="O30" i="16"/>
  <c r="P30" i="16"/>
  <c r="Q30" i="16"/>
  <c r="R30" i="16"/>
  <c r="S30" i="16"/>
  <c r="O31" i="16"/>
  <c r="P31" i="16"/>
  <c r="Q31" i="16"/>
  <c r="R31" i="16"/>
  <c r="S31" i="16"/>
  <c r="O32" i="16"/>
  <c r="P32" i="16"/>
  <c r="Q32" i="16"/>
  <c r="R32" i="16"/>
  <c r="S32" i="16"/>
  <c r="O33" i="16"/>
  <c r="P33" i="16"/>
  <c r="Q33" i="16"/>
  <c r="R33" i="16"/>
  <c r="S33" i="16"/>
  <c r="N33" i="16"/>
  <c r="N32" i="16"/>
  <c r="N31" i="16"/>
  <c r="N30" i="16"/>
  <c r="AC39" i="16"/>
  <c r="AE39" i="16"/>
  <c r="AL39" i="16"/>
  <c r="AM39" i="16"/>
  <c r="AU39" i="16"/>
  <c r="BG39" i="16"/>
  <c r="CR39" i="16"/>
  <c r="CT39" i="16"/>
  <c r="AF29" i="16"/>
  <c r="BO32" i="16"/>
  <c r="CE39" i="16"/>
  <c r="AF30" i="16"/>
  <c r="AJ30" i="16"/>
  <c r="AK30" i="16"/>
  <c r="AL30" i="16"/>
  <c r="AM30" i="16"/>
  <c r="AW30" i="16"/>
  <c r="BN30" i="16"/>
  <c r="CE30" i="16"/>
  <c r="AF31" i="16"/>
  <c r="AJ31" i="16"/>
  <c r="AK31" i="16"/>
  <c r="AL31" i="16"/>
  <c r="AM31" i="16"/>
  <c r="AW31" i="16"/>
  <c r="BN31" i="16"/>
  <c r="CE31" i="16"/>
  <c r="AF32" i="16"/>
  <c r="AJ32" i="16"/>
  <c r="AK32" i="16"/>
  <c r="AL32" i="16"/>
  <c r="AM32" i="16"/>
  <c r="AW32" i="16"/>
  <c r="BN32" i="16"/>
  <c r="CE32" i="16"/>
  <c r="AF33" i="16"/>
  <c r="AJ33" i="16"/>
  <c r="AK33" i="16"/>
  <c r="AL33" i="16"/>
  <c r="AM33" i="16"/>
  <c r="AW33" i="16"/>
  <c r="BN33" i="16"/>
  <c r="CE33" i="16"/>
  <c r="BO33" i="16" l="1"/>
  <c r="BO30" i="16"/>
  <c r="BO39" i="16"/>
  <c r="BO31" i="16"/>
  <c r="N9" i="16"/>
  <c r="O9" i="16"/>
  <c r="P9" i="16"/>
  <c r="Q9" i="16"/>
  <c r="R9" i="16"/>
  <c r="S9" i="16"/>
  <c r="X9" i="16"/>
  <c r="F9" i="16"/>
  <c r="L9" i="16"/>
  <c r="AC9" i="16"/>
  <c r="AE9" i="16"/>
  <c r="AF9" i="16"/>
  <c r="AK9" i="16"/>
  <c r="AL9" i="16"/>
  <c r="AU9" i="16"/>
  <c r="BJ9" i="16"/>
  <c r="BO9" i="16"/>
  <c r="BP9" i="16"/>
  <c r="X6" i="16"/>
  <c r="S6" i="16"/>
  <c r="R6" i="16"/>
  <c r="Q6" i="16"/>
  <c r="P6" i="16"/>
  <c r="O6" i="16"/>
  <c r="N6" i="16"/>
  <c r="L6" i="16"/>
  <c r="F6" i="16"/>
  <c r="X5" i="16"/>
  <c r="S5" i="16"/>
  <c r="R5" i="16"/>
  <c r="Q5" i="16"/>
  <c r="P5" i="16"/>
  <c r="O5" i="16"/>
  <c r="N5" i="16"/>
  <c r="L5" i="16"/>
  <c r="F5" i="16"/>
  <c r="X4" i="16"/>
  <c r="S4" i="16"/>
  <c r="R4" i="16"/>
  <c r="Q4" i="16"/>
  <c r="P4" i="16"/>
  <c r="O4" i="16"/>
  <c r="N4" i="16"/>
  <c r="L4" i="16"/>
  <c r="F4" i="16"/>
  <c r="AE3" i="16"/>
  <c r="AU3" i="16"/>
  <c r="BG3" i="16"/>
  <c r="AE4" i="16"/>
  <c r="AF4" i="16"/>
  <c r="AH4" i="16"/>
  <c r="AU4" i="16"/>
  <c r="AC5" i="16"/>
  <c r="AE5" i="16"/>
  <c r="AU5" i="16"/>
  <c r="AE6" i="16"/>
  <c r="AU6" i="16"/>
  <c r="AF8" i="16" l="1"/>
  <c r="AF7" i="16"/>
  <c r="AE8" i="16"/>
  <c r="AE7" i="16"/>
  <c r="AU8" i="16"/>
  <c r="AU7" i="16"/>
  <c r="M227" i="22"/>
  <c r="G227" i="22"/>
  <c r="F227" i="22"/>
  <c r="M217" i="22"/>
  <c r="M225" i="22" s="1"/>
  <c r="G217" i="22"/>
  <c r="F217" i="22"/>
  <c r="F225" i="22" s="1"/>
  <c r="Q215" i="22"/>
  <c r="M207" i="22"/>
  <c r="X215" i="22"/>
  <c r="V215" i="22"/>
  <c r="G207" i="22"/>
  <c r="F207" i="22"/>
  <c r="F215" i="22" s="1"/>
  <c r="Q205" i="22"/>
  <c r="M197" i="22"/>
  <c r="M203" i="22" s="1"/>
  <c r="G197" i="22"/>
  <c r="F197" i="22"/>
  <c r="F205" i="22" s="1"/>
  <c r="X193" i="22"/>
  <c r="V195" i="22"/>
  <c r="Q195" i="22"/>
  <c r="M187" i="22"/>
  <c r="M193" i="22" s="1"/>
  <c r="G187" i="22"/>
  <c r="G195" i="22" s="1"/>
  <c r="F187" i="22"/>
  <c r="F195" i="22" s="1"/>
  <c r="AH179" i="22"/>
  <c r="M179" i="22"/>
  <c r="M185" i="22" s="1"/>
  <c r="L179" i="22"/>
  <c r="L185" i="22" s="1"/>
  <c r="G179" i="22"/>
  <c r="G183" i="22" s="1"/>
  <c r="F179" i="22"/>
  <c r="F181" i="22" s="1"/>
  <c r="D179" i="22"/>
  <c r="D183" i="22" s="1"/>
  <c r="AJ171" i="22"/>
  <c r="AJ175" i="22" s="1"/>
  <c r="AG171" i="22"/>
  <c r="AG173" i="22" s="1"/>
  <c r="AF175" i="22"/>
  <c r="M171" i="22"/>
  <c r="M177" i="22" s="1"/>
  <c r="L171" i="22"/>
  <c r="L173" i="22" s="1"/>
  <c r="G171" i="22"/>
  <c r="G173" i="22" s="1"/>
  <c r="E171" i="22"/>
  <c r="E173" i="22" s="1"/>
  <c r="D171" i="22"/>
  <c r="D175" i="22" s="1"/>
  <c r="W163" i="22"/>
  <c r="W169" i="22" s="1"/>
  <c r="AI163" i="22"/>
  <c r="AI169" i="22" s="1"/>
  <c r="AE163" i="22"/>
  <c r="AE169" i="22" s="1"/>
  <c r="V163" i="22"/>
  <c r="V169" i="22" s="1"/>
  <c r="U163" i="22"/>
  <c r="U169" i="22" s="1"/>
  <c r="M163" i="22"/>
  <c r="M165" i="22" s="1"/>
  <c r="G163" i="22"/>
  <c r="G165" i="22" s="1"/>
  <c r="E163" i="22"/>
  <c r="E165" i="22" s="1"/>
  <c r="D163" i="22"/>
  <c r="D169" i="22" s="1"/>
  <c r="X235" i="22" l="1"/>
  <c r="U245" i="22"/>
  <c r="U243" i="22"/>
  <c r="U239" i="22"/>
  <c r="U241" i="22"/>
  <c r="V235" i="22"/>
  <c r="V243" i="22"/>
  <c r="V245" i="22"/>
  <c r="V241" i="22"/>
  <c r="V239" i="22"/>
  <c r="M213" i="22"/>
  <c r="M215" i="22"/>
  <c r="G211" i="22"/>
  <c r="G215" i="22"/>
  <c r="G219" i="22"/>
  <c r="G225" i="22"/>
  <c r="X219" i="22"/>
  <c r="X225" i="22"/>
  <c r="V219" i="22"/>
  <c r="V225" i="22"/>
  <c r="Q221" i="22"/>
  <c r="Q225" i="22"/>
  <c r="F229" i="22"/>
  <c r="F235" i="22"/>
  <c r="G229" i="22"/>
  <c r="G235" i="22"/>
  <c r="M229" i="22"/>
  <c r="M235" i="22"/>
  <c r="Q233" i="22"/>
  <c r="Q235" i="22"/>
  <c r="G209" i="22"/>
  <c r="M209" i="22"/>
  <c r="M223" i="22"/>
  <c r="AH185" i="22"/>
  <c r="AH183" i="22"/>
  <c r="AH181" i="22"/>
  <c r="M231" i="22"/>
  <c r="V229" i="22"/>
  <c r="V233" i="22"/>
  <c r="M219" i="22"/>
  <c r="M221" i="22"/>
  <c r="Q219" i="22"/>
  <c r="F231" i="22"/>
  <c r="F233" i="22"/>
  <c r="Q211" i="22"/>
  <c r="Q213" i="22"/>
  <c r="G231" i="22"/>
  <c r="M233" i="22"/>
  <c r="Q231" i="22"/>
  <c r="X195" i="22"/>
  <c r="M211" i="22"/>
  <c r="G233" i="22"/>
  <c r="Q229" i="22"/>
  <c r="X229" i="22"/>
  <c r="V231" i="22"/>
  <c r="X231" i="22"/>
  <c r="X233" i="22"/>
  <c r="Q199" i="22"/>
  <c r="V223" i="22"/>
  <c r="Q201" i="22"/>
  <c r="F185" i="22"/>
  <c r="F219" i="22"/>
  <c r="F221" i="22"/>
  <c r="V221" i="22"/>
  <c r="X221" i="22"/>
  <c r="M199" i="22"/>
  <c r="M201" i="22"/>
  <c r="G221" i="22"/>
  <c r="Q223" i="22"/>
  <c r="X223" i="22"/>
  <c r="M205" i="22"/>
  <c r="F223" i="22"/>
  <c r="G223" i="22"/>
  <c r="Q191" i="22"/>
  <c r="M173" i="22"/>
  <c r="G213" i="22"/>
  <c r="Q209" i="22"/>
  <c r="V209" i="22"/>
  <c r="E177" i="22"/>
  <c r="X209" i="22"/>
  <c r="F183" i="22"/>
  <c r="F209" i="22"/>
  <c r="X211" i="22"/>
  <c r="F211" i="22"/>
  <c r="X213" i="22"/>
  <c r="M175" i="22"/>
  <c r="F213" i="22"/>
  <c r="V211" i="22"/>
  <c r="M189" i="22"/>
  <c r="X189" i="22"/>
  <c r="Q203" i="22"/>
  <c r="M191" i="22"/>
  <c r="X191" i="22"/>
  <c r="G199" i="22"/>
  <c r="G201" i="22"/>
  <c r="G203" i="22"/>
  <c r="V199" i="22"/>
  <c r="X199" i="22"/>
  <c r="AG175" i="22"/>
  <c r="Q189" i="22"/>
  <c r="G205" i="22"/>
  <c r="V201" i="22"/>
  <c r="X201" i="22"/>
  <c r="AG177" i="22"/>
  <c r="F199" i="22"/>
  <c r="V203" i="22"/>
  <c r="X203" i="22"/>
  <c r="Q193" i="22"/>
  <c r="F201" i="22"/>
  <c r="V205" i="22"/>
  <c r="X205" i="22"/>
  <c r="F203" i="22"/>
  <c r="D173" i="22"/>
  <c r="D177" i="22"/>
  <c r="G175" i="22"/>
  <c r="G177" i="22"/>
  <c r="M195" i="22"/>
  <c r="G169" i="22"/>
  <c r="E175" i="22"/>
  <c r="V189" i="22"/>
  <c r="V191" i="22"/>
  <c r="V193" i="22"/>
  <c r="F189" i="22"/>
  <c r="F191" i="22"/>
  <c r="F193" i="22"/>
  <c r="G189" i="22"/>
  <c r="G191" i="22"/>
  <c r="G193" i="22"/>
  <c r="AF173" i="22"/>
  <c r="AJ173" i="22"/>
  <c r="M167" i="22"/>
  <c r="AF177" i="22"/>
  <c r="AJ177" i="22"/>
  <c r="D185" i="22"/>
  <c r="E167" i="22"/>
  <c r="M169" i="22"/>
  <c r="G167" i="22"/>
  <c r="D181" i="22"/>
  <c r="L183" i="22"/>
  <c r="L181" i="22"/>
  <c r="M181" i="22"/>
  <c r="M183" i="22"/>
  <c r="G181" i="22"/>
  <c r="G185" i="22"/>
  <c r="L175" i="22"/>
  <c r="L177" i="22"/>
  <c r="D167" i="22"/>
  <c r="D165" i="22"/>
  <c r="V165" i="22"/>
  <c r="AI165" i="22"/>
  <c r="E169" i="22"/>
  <c r="V167" i="22"/>
  <c r="AI167" i="22"/>
  <c r="U165" i="22"/>
  <c r="AE165" i="22"/>
  <c r="W165" i="22"/>
  <c r="U167" i="22"/>
  <c r="AE167" i="22"/>
  <c r="W167" i="22"/>
  <c r="T42" i="23" l="1"/>
  <c r="U53" i="23"/>
  <c r="U52" i="23"/>
  <c r="U51" i="23"/>
  <c r="U50" i="23"/>
  <c r="T53" i="23"/>
  <c r="T52" i="23"/>
  <c r="T51" i="23"/>
  <c r="T50" i="23"/>
  <c r="U49" i="23"/>
  <c r="T49" i="23"/>
  <c r="U82" i="23"/>
  <c r="BN3" i="21" l="1"/>
  <c r="BO3" i="21"/>
  <c r="BQ3" i="21"/>
  <c r="BP3" i="21"/>
  <c r="S52" i="23"/>
  <c r="R52" i="23" s="1"/>
  <c r="AB3" i="16"/>
  <c r="AB24" i="16" s="1"/>
  <c r="G3" i="16"/>
  <c r="G24" i="16" s="1"/>
  <c r="AA3" i="16"/>
  <c r="AA24" i="16" s="1"/>
  <c r="AN3" i="16"/>
  <c r="AN24" i="16" s="1"/>
  <c r="S53" i="23"/>
  <c r="R53" i="23" s="1"/>
  <c r="S51" i="23"/>
  <c r="R51" i="23" s="1"/>
  <c r="W3" i="16"/>
  <c r="W24" i="16" s="1"/>
  <c r="S227" i="22"/>
  <c r="AR3" i="16"/>
  <c r="AR24" i="16" s="1"/>
  <c r="U3" i="16"/>
  <c r="U24" i="16" s="1"/>
  <c r="T227" i="22"/>
  <c r="AT3" i="16"/>
  <c r="AT24" i="16" s="1"/>
  <c r="T3" i="16"/>
  <c r="T24" i="16" s="1"/>
  <c r="AS3" i="16"/>
  <c r="BL3" i="16"/>
  <c r="BL24" i="16" s="1"/>
  <c r="Z3" i="16"/>
  <c r="Z24" i="16" s="1"/>
  <c r="BM3" i="16"/>
  <c r="BM24" i="16" s="1"/>
  <c r="AP3" i="16"/>
  <c r="AP24" i="16" s="1"/>
  <c r="Y3" i="16"/>
  <c r="Y24" i="16" s="1"/>
  <c r="S49" i="23"/>
  <c r="R49" i="23" s="1"/>
  <c r="S50" i="23"/>
  <c r="R50" i="23" s="1"/>
  <c r="AG64" i="16"/>
  <c r="AV64" i="16" s="1"/>
  <c r="BM22" i="16" l="1"/>
  <c r="BM23" i="16"/>
  <c r="BM29" i="16"/>
  <c r="BM39" i="16" s="1"/>
  <c r="AB22" i="16"/>
  <c r="AB23" i="16"/>
  <c r="W22" i="16"/>
  <c r="W23" i="16"/>
  <c r="AA22" i="16"/>
  <c r="AA23" i="16"/>
  <c r="U22" i="16"/>
  <c r="U23" i="16"/>
  <c r="AS22" i="16"/>
  <c r="AS29" i="16"/>
  <c r="AS23" i="16"/>
  <c r="Y22" i="16"/>
  <c r="Y23" i="16"/>
  <c r="AP22" i="16"/>
  <c r="AP29" i="16"/>
  <c r="AP23" i="16"/>
  <c r="G22" i="16"/>
  <c r="G23" i="16"/>
  <c r="AR22" i="16"/>
  <c r="AR29" i="16"/>
  <c r="AR23" i="16"/>
  <c r="Z22" i="16"/>
  <c r="Z23" i="16"/>
  <c r="BL22" i="16"/>
  <c r="BL23" i="16"/>
  <c r="BL29" i="16"/>
  <c r="BL39" i="16" s="1"/>
  <c r="T22" i="16"/>
  <c r="T23" i="16"/>
  <c r="AT22" i="16"/>
  <c r="AT29" i="16"/>
  <c r="AT23" i="16"/>
  <c r="AN22" i="16"/>
  <c r="AN23" i="16"/>
  <c r="AN29" i="16"/>
  <c r="C229" i="22"/>
  <c r="C205" i="22"/>
  <c r="C197" i="22"/>
  <c r="C231" i="22"/>
  <c r="C227" i="22"/>
  <c r="C203" i="22"/>
  <c r="C221" i="22"/>
  <c r="C219" i="22"/>
  <c r="C225" i="22"/>
  <c r="C201" i="22"/>
  <c r="C243" i="22"/>
  <c r="C223" i="22"/>
  <c r="C199" i="22"/>
  <c r="C245" i="22"/>
  <c r="C195" i="22"/>
  <c r="C241" i="22"/>
  <c r="C217" i="22"/>
  <c r="C193" i="22"/>
  <c r="C235" i="22"/>
  <c r="C233" i="22"/>
  <c r="C239" i="22"/>
  <c r="C215" i="22"/>
  <c r="C191" i="22"/>
  <c r="C211" i="22"/>
  <c r="C209" i="22"/>
  <c r="C237" i="22"/>
  <c r="C213" i="22"/>
  <c r="C189" i="22"/>
  <c r="C187" i="22"/>
  <c r="C207" i="22"/>
  <c r="BL21" i="16"/>
  <c r="BL8" i="16"/>
  <c r="W21" i="16"/>
  <c r="W8" i="16"/>
  <c r="W7" i="16"/>
  <c r="AA21" i="16"/>
  <c r="AA8" i="16"/>
  <c r="AA7" i="16"/>
  <c r="Y21" i="16"/>
  <c r="Y8" i="16"/>
  <c r="Y7" i="16"/>
  <c r="AS21" i="16"/>
  <c r="AS8" i="16"/>
  <c r="U21" i="16"/>
  <c r="U7" i="16"/>
  <c r="U8" i="16"/>
  <c r="G21" i="16"/>
  <c r="G8" i="16"/>
  <c r="G7" i="16"/>
  <c r="AP21" i="16"/>
  <c r="AP8" i="16"/>
  <c r="BM21" i="16"/>
  <c r="BM8" i="16"/>
  <c r="T21" i="16"/>
  <c r="T8" i="16"/>
  <c r="T7" i="16"/>
  <c r="AR21" i="16"/>
  <c r="AR8" i="16"/>
  <c r="AB21" i="16"/>
  <c r="AB8" i="16"/>
  <c r="AB7" i="16"/>
  <c r="Z21" i="16"/>
  <c r="Z8" i="16"/>
  <c r="Z7" i="16"/>
  <c r="AT21" i="16"/>
  <c r="AT8" i="16"/>
  <c r="AN21" i="16"/>
  <c r="AN8" i="16"/>
  <c r="AN7" i="16"/>
  <c r="B235" i="22"/>
  <c r="B241" i="22"/>
  <c r="B245" i="22"/>
  <c r="B239" i="22"/>
  <c r="B237" i="22"/>
  <c r="B243" i="22"/>
  <c r="T235" i="22"/>
  <c r="T239" i="22"/>
  <c r="T241" i="22"/>
  <c r="T245" i="22"/>
  <c r="T243" i="22"/>
  <c r="S235" i="22"/>
  <c r="S241" i="22"/>
  <c r="S243" i="22"/>
  <c r="S239" i="22"/>
  <c r="S245" i="22"/>
  <c r="AQ3" i="16"/>
  <c r="AQ24" i="16" s="1"/>
  <c r="BM3" i="21"/>
  <c r="BF45" i="16"/>
  <c r="BR3" i="21"/>
  <c r="CU45" i="16"/>
  <c r="Z57" i="16"/>
  <c r="Z58" i="16"/>
  <c r="Z54" i="16"/>
  <c r="Z64" i="16"/>
  <c r="Z56" i="16"/>
  <c r="Z55" i="16"/>
  <c r="AN56" i="16"/>
  <c r="AN64" i="16"/>
  <c r="AN57" i="16"/>
  <c r="AN58" i="16"/>
  <c r="AN54" i="16"/>
  <c r="AN55" i="16"/>
  <c r="AA58" i="16"/>
  <c r="AA56" i="16"/>
  <c r="AA54" i="16"/>
  <c r="AA64" i="16"/>
  <c r="AA57" i="16"/>
  <c r="AA55" i="16"/>
  <c r="Y64" i="16"/>
  <c r="Y56" i="16"/>
  <c r="Y57" i="16"/>
  <c r="Y58" i="16"/>
  <c r="Y55" i="16"/>
  <c r="Y54" i="16"/>
  <c r="AP58" i="16"/>
  <c r="AP54" i="16"/>
  <c r="AP55" i="16"/>
  <c r="AP56" i="16"/>
  <c r="AP64" i="16"/>
  <c r="AP57" i="16"/>
  <c r="BL56" i="16"/>
  <c r="BL58" i="16"/>
  <c r="BL54" i="16"/>
  <c r="BL57" i="16"/>
  <c r="BL55" i="16"/>
  <c r="BL64" i="16"/>
  <c r="T55" i="16"/>
  <c r="T64" i="16"/>
  <c r="T56" i="16"/>
  <c r="T57" i="16"/>
  <c r="T58" i="16"/>
  <c r="T54" i="16"/>
  <c r="G64" i="16"/>
  <c r="G57" i="16"/>
  <c r="G55" i="16"/>
  <c r="G56" i="16"/>
  <c r="G58" i="16"/>
  <c r="G54" i="16"/>
  <c r="BM58" i="16"/>
  <c r="BM56" i="16"/>
  <c r="BM54" i="16"/>
  <c r="BM64" i="16"/>
  <c r="BM57" i="16"/>
  <c r="BM55" i="16"/>
  <c r="U64" i="16"/>
  <c r="U56" i="16"/>
  <c r="U57" i="16"/>
  <c r="U58" i="16"/>
  <c r="U54" i="16"/>
  <c r="U55" i="16"/>
  <c r="AS64" i="16"/>
  <c r="AS57" i="16"/>
  <c r="AS58" i="16"/>
  <c r="AS54" i="16"/>
  <c r="AS55" i="16"/>
  <c r="AS56" i="16"/>
  <c r="AT58" i="16"/>
  <c r="AT54" i="16"/>
  <c r="AT55" i="16"/>
  <c r="AT56" i="16"/>
  <c r="AT64" i="16"/>
  <c r="AT57" i="16"/>
  <c r="AR56" i="16"/>
  <c r="AR57" i="16"/>
  <c r="AR64" i="16"/>
  <c r="AR58" i="16"/>
  <c r="AR54" i="16"/>
  <c r="AR55" i="16"/>
  <c r="W58" i="16"/>
  <c r="W54" i="16"/>
  <c r="W55" i="16"/>
  <c r="W64" i="16"/>
  <c r="W57" i="16"/>
  <c r="W56" i="16"/>
  <c r="AB55" i="16"/>
  <c r="AB64" i="16"/>
  <c r="AB57" i="16"/>
  <c r="AB58" i="16"/>
  <c r="AB56" i="16"/>
  <c r="AB54" i="16"/>
  <c r="BE45" i="16"/>
  <c r="BL3" i="21"/>
  <c r="Y29" i="16"/>
  <c r="Y30" i="16"/>
  <c r="Y32" i="16"/>
  <c r="Y9" i="16"/>
  <c r="Y45" i="16"/>
  <c r="Y4" i="16"/>
  <c r="Y14" i="16"/>
  <c r="Y15" i="16"/>
  <c r="Y31" i="16"/>
  <c r="Y5" i="16"/>
  <c r="Y39" i="16"/>
  <c r="Y47" i="16"/>
  <c r="Y48" i="16"/>
  <c r="Y46" i="16"/>
  <c r="Y20" i="16"/>
  <c r="Y6" i="16"/>
  <c r="Y33" i="16"/>
  <c r="Y16" i="16"/>
  <c r="Z39" i="16"/>
  <c r="Z31" i="16"/>
  <c r="Z33" i="16"/>
  <c r="Z14" i="16"/>
  <c r="Z6" i="16"/>
  <c r="Z4" i="16"/>
  <c r="Z48" i="16"/>
  <c r="Z46" i="16"/>
  <c r="Z30" i="16"/>
  <c r="Z16" i="16"/>
  <c r="Z32" i="16"/>
  <c r="Z5" i="16"/>
  <c r="Z45" i="16"/>
  <c r="Z20" i="16"/>
  <c r="Z9" i="16"/>
  <c r="Z15" i="16"/>
  <c r="Z47" i="16"/>
  <c r="Z29" i="16"/>
  <c r="AT47" i="16"/>
  <c r="AT33" i="16"/>
  <c r="AT48" i="16"/>
  <c r="AT39" i="16"/>
  <c r="AT30" i="16"/>
  <c r="AT45" i="16"/>
  <c r="AT31" i="16"/>
  <c r="AT32" i="16"/>
  <c r="AT46" i="16"/>
  <c r="AT14" i="16"/>
  <c r="AT9" i="16"/>
  <c r="AT6" i="16"/>
  <c r="AT15" i="16"/>
  <c r="AT4" i="16"/>
  <c r="AT20" i="16"/>
  <c r="AT7" i="16"/>
  <c r="AT16" i="16"/>
  <c r="AT5" i="16"/>
  <c r="W31" i="16"/>
  <c r="W20" i="16"/>
  <c r="W33" i="16"/>
  <c r="W14" i="16"/>
  <c r="W32" i="16"/>
  <c r="W15" i="16"/>
  <c r="W16" i="16"/>
  <c r="W48" i="16"/>
  <c r="W30" i="16"/>
  <c r="W6" i="16"/>
  <c r="W5" i="16"/>
  <c r="W45" i="16"/>
  <c r="W39" i="16"/>
  <c r="W9" i="16"/>
  <c r="W46" i="16"/>
  <c r="W47" i="16"/>
  <c r="W29" i="16"/>
  <c r="W4" i="16"/>
  <c r="BC3" i="16"/>
  <c r="BC24" i="16" s="1"/>
  <c r="AB39" i="16"/>
  <c r="AB46" i="16"/>
  <c r="AB16" i="16"/>
  <c r="AB15" i="16"/>
  <c r="AB32" i="16"/>
  <c r="AB9" i="16"/>
  <c r="AB29" i="16"/>
  <c r="AB20" i="16"/>
  <c r="BI29" i="16" s="1"/>
  <c r="AB33" i="16"/>
  <c r="AB14" i="16"/>
  <c r="AB6" i="16"/>
  <c r="AB4" i="16"/>
  <c r="AB5" i="16"/>
  <c r="AB47" i="16"/>
  <c r="AB31" i="16"/>
  <c r="AB45" i="16"/>
  <c r="AB30" i="16"/>
  <c r="AB48" i="16"/>
  <c r="AP47" i="16"/>
  <c r="AP33" i="16"/>
  <c r="AP48" i="16"/>
  <c r="AP39" i="16"/>
  <c r="AP30" i="16"/>
  <c r="AP45" i="16"/>
  <c r="AP31" i="16"/>
  <c r="AP32" i="16"/>
  <c r="AP46" i="16"/>
  <c r="AP14" i="16"/>
  <c r="AP20" i="16"/>
  <c r="AP16" i="16"/>
  <c r="AP15" i="16"/>
  <c r="AP6" i="16"/>
  <c r="AP7" i="16"/>
  <c r="AP9" i="16"/>
  <c r="AP5" i="16"/>
  <c r="AP4" i="16"/>
  <c r="BL45" i="16"/>
  <c r="BL15" i="16"/>
  <c r="BL46" i="16"/>
  <c r="BL16" i="16"/>
  <c r="BL32" i="16"/>
  <c r="BL9" i="16"/>
  <c r="BL33" i="16"/>
  <c r="BL14" i="16"/>
  <c r="BL7" i="16"/>
  <c r="BL30" i="16"/>
  <c r="BL4" i="16"/>
  <c r="BL31" i="16"/>
  <c r="BL6" i="16"/>
  <c r="BL47" i="16"/>
  <c r="BL5" i="16"/>
  <c r="BL20" i="16"/>
  <c r="BL48" i="16"/>
  <c r="T20" i="16"/>
  <c r="T14" i="16"/>
  <c r="T48" i="16"/>
  <c r="T4" i="16"/>
  <c r="T32" i="16"/>
  <c r="T9" i="16"/>
  <c r="T47" i="16"/>
  <c r="T45" i="16"/>
  <c r="T39" i="16"/>
  <c r="T46" i="16"/>
  <c r="T33" i="16"/>
  <c r="T31" i="16"/>
  <c r="T30" i="16"/>
  <c r="T5" i="16"/>
  <c r="T6" i="16"/>
  <c r="T29" i="16"/>
  <c r="T16" i="16"/>
  <c r="T15" i="16"/>
  <c r="AN45" i="16"/>
  <c r="AN31" i="16"/>
  <c r="AN46" i="16"/>
  <c r="AN32" i="16"/>
  <c r="AN47" i="16"/>
  <c r="AN33" i="16"/>
  <c r="AN30" i="16"/>
  <c r="AN48" i="16"/>
  <c r="AN39" i="16"/>
  <c r="AN9" i="16"/>
  <c r="AN14" i="16"/>
  <c r="AN20" i="16"/>
  <c r="AN16" i="16"/>
  <c r="AN4" i="16"/>
  <c r="AN5" i="16"/>
  <c r="AN15" i="16"/>
  <c r="AN6" i="16"/>
  <c r="AA39" i="16"/>
  <c r="AA33" i="16"/>
  <c r="AA14" i="16"/>
  <c r="AA32" i="16"/>
  <c r="AA45" i="16"/>
  <c r="AA16" i="16"/>
  <c r="AA6" i="16"/>
  <c r="AA31" i="16"/>
  <c r="AA20" i="16"/>
  <c r="AA30" i="16"/>
  <c r="AA46" i="16"/>
  <c r="AA47" i="16"/>
  <c r="AA48" i="16"/>
  <c r="AA29" i="16"/>
  <c r="AA5" i="16"/>
  <c r="AA9" i="16"/>
  <c r="AA15" i="16"/>
  <c r="AA4" i="16"/>
  <c r="AS46" i="16"/>
  <c r="AS32" i="16"/>
  <c r="AS47" i="16"/>
  <c r="AS33" i="16"/>
  <c r="AS48" i="16"/>
  <c r="AS39" i="16"/>
  <c r="AS30" i="16"/>
  <c r="AS31" i="16"/>
  <c r="AS45" i="16"/>
  <c r="AS4" i="16"/>
  <c r="AS16" i="16"/>
  <c r="AS6" i="16"/>
  <c r="AS20" i="16"/>
  <c r="AS14" i="16"/>
  <c r="AS7" i="16"/>
  <c r="AS9" i="16"/>
  <c r="AS15" i="16"/>
  <c r="AS5" i="16"/>
  <c r="AR45" i="16"/>
  <c r="AR31" i="16"/>
  <c r="AR46" i="16"/>
  <c r="AR32" i="16"/>
  <c r="AR47" i="16"/>
  <c r="AR33" i="16"/>
  <c r="AR30" i="16"/>
  <c r="AR39" i="16"/>
  <c r="AR48" i="16"/>
  <c r="AR16" i="16"/>
  <c r="AR4" i="16"/>
  <c r="AR5" i="16"/>
  <c r="AR6" i="16"/>
  <c r="AR20" i="16"/>
  <c r="AR7" i="16"/>
  <c r="AR15" i="16"/>
  <c r="AR9" i="16"/>
  <c r="AR14" i="16"/>
  <c r="AO3" i="16"/>
  <c r="AO24" i="16" s="1"/>
  <c r="BM48" i="16"/>
  <c r="BM5" i="16"/>
  <c r="BM32" i="16"/>
  <c r="BM9" i="16"/>
  <c r="BM46" i="16"/>
  <c r="BM16" i="16"/>
  <c r="BM7" i="16"/>
  <c r="BM30" i="16"/>
  <c r="BM4" i="16"/>
  <c r="BM33" i="16"/>
  <c r="BM14" i="16"/>
  <c r="BM47" i="16"/>
  <c r="BM20" i="16"/>
  <c r="BM31" i="16"/>
  <c r="BM6" i="16"/>
  <c r="BM45" i="16"/>
  <c r="BM15" i="16"/>
  <c r="V3" i="16"/>
  <c r="V24" i="16" s="1"/>
  <c r="U29" i="16"/>
  <c r="U30" i="16"/>
  <c r="U20" i="16"/>
  <c r="U39" i="16"/>
  <c r="U16" i="16"/>
  <c r="U4" i="16"/>
  <c r="U14" i="16"/>
  <c r="U15" i="16"/>
  <c r="U45" i="16"/>
  <c r="U6" i="16"/>
  <c r="U9" i="16"/>
  <c r="U32" i="16"/>
  <c r="U47" i="16"/>
  <c r="U48" i="16"/>
  <c r="U46" i="16"/>
  <c r="U31" i="16"/>
  <c r="U5" i="16"/>
  <c r="U33" i="16"/>
  <c r="G45" i="16"/>
  <c r="G31" i="16"/>
  <c r="G16" i="16"/>
  <c r="G48" i="16"/>
  <c r="G39" i="16"/>
  <c r="G30" i="16"/>
  <c r="G15" i="16"/>
  <c r="G46" i="16"/>
  <c r="G20" i="16"/>
  <c r="G32" i="16"/>
  <c r="G29" i="16"/>
  <c r="G33" i="16"/>
  <c r="G14" i="16"/>
  <c r="G6" i="16"/>
  <c r="G47" i="16"/>
  <c r="G4" i="16"/>
  <c r="G5" i="16"/>
  <c r="G9" i="16"/>
  <c r="B223" i="22"/>
  <c r="B199" i="22"/>
  <c r="B187" i="22"/>
  <c r="B211" i="22"/>
  <c r="S233" i="22"/>
  <c r="S231" i="22"/>
  <c r="S229" i="22"/>
  <c r="T229" i="22"/>
  <c r="T231" i="22"/>
  <c r="T233" i="22"/>
  <c r="T197" i="22"/>
  <c r="T207" i="22"/>
  <c r="T215" i="22" s="1"/>
  <c r="T217" i="22"/>
  <c r="T225" i="22" s="1"/>
  <c r="S207" i="22"/>
  <c r="S215" i="22" s="1"/>
  <c r="S197" i="22"/>
  <c r="S217" i="22"/>
  <c r="S225" i="22" s="1"/>
  <c r="S163" i="22"/>
  <c r="S167" i="22" s="1"/>
  <c r="S171" i="22"/>
  <c r="S187" i="22"/>
  <c r="S179" i="22"/>
  <c r="T163" i="22"/>
  <c r="T167" i="22" s="1"/>
  <c r="T171" i="22"/>
  <c r="T187" i="22"/>
  <c r="T179" i="22"/>
  <c r="C3" i="16"/>
  <c r="C24" i="16" s="1"/>
  <c r="E3" i="16"/>
  <c r="E24" i="16" s="1"/>
  <c r="H3" i="16"/>
  <c r="H24" i="16" s="1"/>
  <c r="B3" i="16"/>
  <c r="B24" i="16" s="1"/>
  <c r="U45" i="23"/>
  <c r="U44" i="23"/>
  <c r="U43" i="23"/>
  <c r="T45" i="23"/>
  <c r="T44" i="23"/>
  <c r="T43" i="23"/>
  <c r="U42" i="23"/>
  <c r="S42" i="23"/>
  <c r="R42" i="23" s="1"/>
  <c r="U81" i="23"/>
  <c r="U80" i="23"/>
  <c r="U79" i="23"/>
  <c r="B22" i="16" l="1"/>
  <c r="B23" i="16"/>
  <c r="V22" i="16"/>
  <c r="V23" i="16"/>
  <c r="H22" i="16"/>
  <c r="H23" i="16"/>
  <c r="E22" i="16"/>
  <c r="E23" i="16"/>
  <c r="C22" i="16"/>
  <c r="C23" i="16"/>
  <c r="AO22" i="16"/>
  <c r="AO23" i="16"/>
  <c r="AO29" i="16"/>
  <c r="BC22" i="16"/>
  <c r="BC29" i="16"/>
  <c r="BC23" i="16"/>
  <c r="AQ29" i="16"/>
  <c r="AQ23" i="16"/>
  <c r="AQ8" i="16"/>
  <c r="AQ22" i="16"/>
  <c r="H21" i="16"/>
  <c r="H8" i="16"/>
  <c r="H7" i="16"/>
  <c r="C21" i="16"/>
  <c r="C8" i="16"/>
  <c r="C7" i="16"/>
  <c r="B21" i="16"/>
  <c r="B8" i="16"/>
  <c r="BC21" i="16"/>
  <c r="BC8" i="16"/>
  <c r="AO21" i="16"/>
  <c r="AO8" i="16"/>
  <c r="AO7" i="16"/>
  <c r="E21" i="16"/>
  <c r="E7" i="16"/>
  <c r="E8" i="16"/>
  <c r="V21" i="16"/>
  <c r="V8" i="16"/>
  <c r="V7" i="16"/>
  <c r="AQ55" i="16"/>
  <c r="AQ21" i="16"/>
  <c r="CE45" i="16"/>
  <c r="AQ14" i="16"/>
  <c r="AQ15" i="16"/>
  <c r="AQ47" i="16"/>
  <c r="AQ30" i="16"/>
  <c r="AQ20" i="16"/>
  <c r="AQ45" i="16"/>
  <c r="AQ7" i="16"/>
  <c r="AQ6" i="16"/>
  <c r="AQ32" i="16"/>
  <c r="AQ48" i="16"/>
  <c r="AQ5" i="16"/>
  <c r="AQ16" i="16"/>
  <c r="AQ31" i="16"/>
  <c r="AQ4" i="16"/>
  <c r="AQ9" i="16"/>
  <c r="AQ33" i="16"/>
  <c r="AQ46" i="16"/>
  <c r="AQ39" i="16"/>
  <c r="AQ54" i="16"/>
  <c r="S43" i="23"/>
  <c r="CE46" i="16"/>
  <c r="CE47" i="16"/>
  <c r="CE48" i="16" s="1"/>
  <c r="AQ57" i="16"/>
  <c r="AQ64" i="16"/>
  <c r="AQ58" i="16"/>
  <c r="AQ56" i="16"/>
  <c r="CU47" i="16"/>
  <c r="CU46" i="16"/>
  <c r="CU48" i="16"/>
  <c r="CU64" i="16"/>
  <c r="BF57" i="16"/>
  <c r="BF56" i="16"/>
  <c r="BF64" i="16"/>
  <c r="BF48" i="16"/>
  <c r="BF54" i="16"/>
  <c r="BF55" i="16"/>
  <c r="BF58" i="16"/>
  <c r="BF46" i="16"/>
  <c r="BF47" i="16"/>
  <c r="H57" i="16"/>
  <c r="H56" i="16"/>
  <c r="H55" i="16"/>
  <c r="H54" i="16"/>
  <c r="H58" i="16"/>
  <c r="H64" i="16"/>
  <c r="B58" i="16"/>
  <c r="B64" i="16"/>
  <c r="B57" i="16"/>
  <c r="B55" i="16"/>
  <c r="B56" i="16"/>
  <c r="B54" i="16"/>
  <c r="V57" i="16"/>
  <c r="V58" i="16"/>
  <c r="V54" i="16"/>
  <c r="V64" i="16"/>
  <c r="V56" i="16"/>
  <c r="V55" i="16"/>
  <c r="E58" i="16"/>
  <c r="E64" i="16"/>
  <c r="E55" i="16"/>
  <c r="E54" i="16"/>
  <c r="E56" i="16"/>
  <c r="E57" i="16"/>
  <c r="AO64" i="16"/>
  <c r="AO57" i="16"/>
  <c r="AO54" i="16"/>
  <c r="AO58" i="16"/>
  <c r="AO55" i="16"/>
  <c r="AO56" i="16"/>
  <c r="BI54" i="16"/>
  <c r="BI55" i="16"/>
  <c r="BI58" i="16"/>
  <c r="BI56" i="16"/>
  <c r="BI57" i="16"/>
  <c r="BC57" i="16"/>
  <c r="BC56" i="16"/>
  <c r="BC55" i="16"/>
  <c r="BC54" i="16"/>
  <c r="BC64" i="16"/>
  <c r="BC58" i="16"/>
  <c r="C64" i="16"/>
  <c r="C56" i="16"/>
  <c r="C57" i="16"/>
  <c r="C55" i="16"/>
  <c r="C58" i="16"/>
  <c r="C54" i="16"/>
  <c r="BE48" i="16"/>
  <c r="BE57" i="16"/>
  <c r="BE55" i="16"/>
  <c r="BE46" i="16"/>
  <c r="BE64" i="16"/>
  <c r="BE54" i="16"/>
  <c r="BE47" i="16"/>
  <c r="BE58" i="16"/>
  <c r="BE56" i="16"/>
  <c r="D3" i="16"/>
  <c r="D24" i="16" s="1"/>
  <c r="H47" i="16"/>
  <c r="H15" i="16"/>
  <c r="H14" i="16"/>
  <c r="H45" i="16"/>
  <c r="H33" i="16"/>
  <c r="H39" i="16"/>
  <c r="H32" i="16"/>
  <c r="H6" i="16"/>
  <c r="H31" i="16"/>
  <c r="H48" i="16"/>
  <c r="H20" i="16"/>
  <c r="H4" i="16"/>
  <c r="H29" i="16"/>
  <c r="H16" i="16"/>
  <c r="H30" i="16"/>
  <c r="H5" i="16"/>
  <c r="H46" i="16"/>
  <c r="H9" i="16"/>
  <c r="E33" i="16"/>
  <c r="E29" i="16"/>
  <c r="E14" i="16"/>
  <c r="E32" i="16"/>
  <c r="E45" i="16"/>
  <c r="E20" i="16"/>
  <c r="E39" i="16"/>
  <c r="E9" i="16"/>
  <c r="E30" i="16"/>
  <c r="E46" i="16"/>
  <c r="E31" i="16"/>
  <c r="E16" i="16"/>
  <c r="E47" i="16"/>
  <c r="E15" i="16"/>
  <c r="E48" i="16"/>
  <c r="E5" i="16"/>
  <c r="E6" i="16"/>
  <c r="E4" i="16"/>
  <c r="C47" i="16"/>
  <c r="C33" i="16"/>
  <c r="C29" i="16"/>
  <c r="C14" i="16"/>
  <c r="C6" i="16"/>
  <c r="C46" i="16"/>
  <c r="C32" i="16"/>
  <c r="C20" i="16"/>
  <c r="C48" i="16"/>
  <c r="C30" i="16"/>
  <c r="C45" i="16"/>
  <c r="C16" i="16"/>
  <c r="C9" i="16"/>
  <c r="C39" i="16"/>
  <c r="C15" i="16"/>
  <c r="C31" i="16"/>
  <c r="C5" i="16"/>
  <c r="C4" i="16"/>
  <c r="V15" i="16"/>
  <c r="V46" i="16"/>
  <c r="V33" i="16"/>
  <c r="V4" i="16"/>
  <c r="V5" i="16"/>
  <c r="V9" i="16"/>
  <c r="V16" i="16"/>
  <c r="V48" i="16"/>
  <c r="V45" i="16"/>
  <c r="V32" i="16"/>
  <c r="V29" i="16"/>
  <c r="V30" i="16"/>
  <c r="V47" i="16"/>
  <c r="V6" i="16"/>
  <c r="V39" i="16"/>
  <c r="V31" i="16"/>
  <c r="V20" i="16"/>
  <c r="V14" i="16"/>
  <c r="AO46" i="16"/>
  <c r="AO32" i="16"/>
  <c r="AO47" i="16"/>
  <c r="AO33" i="16"/>
  <c r="AO48" i="16"/>
  <c r="AO39" i="16"/>
  <c r="AO30" i="16"/>
  <c r="AO45" i="16"/>
  <c r="AO31" i="16"/>
  <c r="AO20" i="16"/>
  <c r="AO14" i="16"/>
  <c r="AO5" i="16"/>
  <c r="AO15" i="16"/>
  <c r="AO9" i="16"/>
  <c r="AO16" i="16"/>
  <c r="AO6" i="16"/>
  <c r="AO4" i="16"/>
  <c r="BC15" i="16"/>
  <c r="BC45" i="16"/>
  <c r="BC20" i="16"/>
  <c r="BC48" i="16"/>
  <c r="BC16" i="16"/>
  <c r="BC39" i="16"/>
  <c r="BC6" i="16"/>
  <c r="BC14" i="16"/>
  <c r="BC4" i="16"/>
  <c r="BC9" i="16"/>
  <c r="BC46" i="16"/>
  <c r="BC32" i="16"/>
  <c r="BC30" i="16"/>
  <c r="BC33" i="16"/>
  <c r="BC5" i="16"/>
  <c r="BC31" i="16"/>
  <c r="BC47" i="16"/>
  <c r="BC7" i="16"/>
  <c r="B46" i="16"/>
  <c r="B32" i="16"/>
  <c r="B15" i="16"/>
  <c r="B9" i="16"/>
  <c r="B33" i="16"/>
  <c r="B45" i="16"/>
  <c r="B31" i="16"/>
  <c r="B29" i="16"/>
  <c r="B47" i="16"/>
  <c r="B20" i="16"/>
  <c r="B14" i="16"/>
  <c r="B4" i="16"/>
  <c r="B48" i="16"/>
  <c r="B39" i="16"/>
  <c r="B30" i="16"/>
  <c r="B16" i="16"/>
  <c r="B7" i="16"/>
  <c r="B5" i="16"/>
  <c r="B6" i="16"/>
  <c r="CI3" i="16"/>
  <c r="CI24" i="16" s="1"/>
  <c r="CG3" i="16"/>
  <c r="CG24" i="16" s="1"/>
  <c r="CK3" i="16"/>
  <c r="CK24" i="16" s="1"/>
  <c r="CJ3" i="16"/>
  <c r="CJ24" i="16" s="1"/>
  <c r="CH3" i="16"/>
  <c r="CH24" i="16" s="1"/>
  <c r="S45" i="23"/>
  <c r="T223" i="22"/>
  <c r="T219" i="22"/>
  <c r="T221" i="22"/>
  <c r="S223" i="22"/>
  <c r="S219" i="22"/>
  <c r="S221" i="22"/>
  <c r="S213" i="22"/>
  <c r="S209" i="22"/>
  <c r="S211" i="22"/>
  <c r="S199" i="22"/>
  <c r="S201" i="22"/>
  <c r="S205" i="22"/>
  <c r="S203" i="22"/>
  <c r="T213" i="22"/>
  <c r="T209" i="22"/>
  <c r="T211" i="22"/>
  <c r="T199" i="22"/>
  <c r="T201" i="22"/>
  <c r="T205" i="22"/>
  <c r="T203" i="22"/>
  <c r="T169" i="22"/>
  <c r="S189" i="22"/>
  <c r="S195" i="22"/>
  <c r="S193" i="22"/>
  <c r="S191" i="22"/>
  <c r="T195" i="22"/>
  <c r="T193" i="22"/>
  <c r="T191" i="22"/>
  <c r="T189" i="22"/>
  <c r="T165" i="22"/>
  <c r="T175" i="22"/>
  <c r="T173" i="22"/>
  <c r="T177" i="22"/>
  <c r="S169" i="22"/>
  <c r="S165" i="22"/>
  <c r="T185" i="22"/>
  <c r="T183" i="22"/>
  <c r="T181" i="22"/>
  <c r="S181" i="22"/>
  <c r="S185" i="22"/>
  <c r="S183" i="22"/>
  <c r="S177" i="22"/>
  <c r="S175" i="22"/>
  <c r="S173" i="22"/>
  <c r="K3" i="16"/>
  <c r="K24" i="16" s="1"/>
  <c r="I3" i="16"/>
  <c r="I24" i="16" s="1"/>
  <c r="M3" i="16"/>
  <c r="M24" i="16" s="1"/>
  <c r="S44" i="23"/>
  <c r="CK22" i="16" l="1"/>
  <c r="CK23" i="16"/>
  <c r="CK29" i="16"/>
  <c r="M22" i="16"/>
  <c r="M23" i="16"/>
  <c r="CH22" i="16"/>
  <c r="CH29" i="16"/>
  <c r="CH23" i="16"/>
  <c r="I22" i="16"/>
  <c r="I23" i="16"/>
  <c r="CJ22" i="16"/>
  <c r="CJ23" i="16"/>
  <c r="CJ29" i="16"/>
  <c r="K22" i="16"/>
  <c r="K23" i="16"/>
  <c r="CG22" i="16"/>
  <c r="CG29" i="16"/>
  <c r="CG23" i="16"/>
  <c r="D22" i="16"/>
  <c r="D23" i="16"/>
  <c r="CI22" i="16"/>
  <c r="CI23" i="16"/>
  <c r="CI29" i="16"/>
  <c r="M21" i="16"/>
  <c r="M8" i="16"/>
  <c r="M7" i="16"/>
  <c r="CH21" i="16"/>
  <c r="CH8" i="16"/>
  <c r="CI21" i="16"/>
  <c r="CI8" i="16"/>
  <c r="I21" i="16"/>
  <c r="I8" i="16"/>
  <c r="I7" i="16"/>
  <c r="CJ21" i="16"/>
  <c r="CJ8" i="16"/>
  <c r="D8" i="16"/>
  <c r="D7" i="16"/>
  <c r="CK21" i="16"/>
  <c r="CK8" i="16"/>
  <c r="K21" i="16"/>
  <c r="K7" i="16"/>
  <c r="K8" i="16"/>
  <c r="CG21" i="16"/>
  <c r="CG8" i="16"/>
  <c r="D39" i="16"/>
  <c r="D21" i="16"/>
  <c r="D48" i="16"/>
  <c r="D9" i="16"/>
  <c r="D4" i="16"/>
  <c r="D15" i="16"/>
  <c r="D30" i="16"/>
  <c r="D47" i="16"/>
  <c r="D32" i="16"/>
  <c r="D31" i="16"/>
  <c r="D33" i="16"/>
  <c r="D29" i="16"/>
  <c r="D16" i="16"/>
  <c r="D45" i="16"/>
  <c r="D14" i="16"/>
  <c r="D6" i="16"/>
  <c r="D20" i="16"/>
  <c r="D5" i="16"/>
  <c r="D46" i="16"/>
  <c r="CH58" i="16"/>
  <c r="CH56" i="16"/>
  <c r="CH54" i="16"/>
  <c r="CH64" i="16"/>
  <c r="CH57" i="16"/>
  <c r="CH55" i="16"/>
  <c r="K64" i="16"/>
  <c r="K56" i="16"/>
  <c r="K54" i="16"/>
  <c r="K57" i="16"/>
  <c r="K55" i="16"/>
  <c r="K58" i="16"/>
  <c r="CK58" i="16"/>
  <c r="CK56" i="16"/>
  <c r="CK54" i="16"/>
  <c r="CK64" i="16"/>
  <c r="CK57" i="16"/>
  <c r="CK55" i="16"/>
  <c r="CI64" i="16"/>
  <c r="CI57" i="16"/>
  <c r="CI55" i="16"/>
  <c r="CI56" i="16"/>
  <c r="CI54" i="16"/>
  <c r="CI58" i="16"/>
  <c r="I58" i="16"/>
  <c r="I64" i="16"/>
  <c r="I56" i="16"/>
  <c r="I57" i="16"/>
  <c r="I54" i="16"/>
  <c r="I55" i="16"/>
  <c r="CG58" i="16"/>
  <c r="CG56" i="16"/>
  <c r="CG54" i="16"/>
  <c r="CG64" i="16"/>
  <c r="CG57" i="16"/>
  <c r="CG55" i="16"/>
  <c r="M58" i="16"/>
  <c r="M64" i="16"/>
  <c r="M55" i="16"/>
  <c r="M56" i="16"/>
  <c r="M57" i="16"/>
  <c r="M54" i="16"/>
  <c r="CJ64" i="16"/>
  <c r="CJ57" i="16"/>
  <c r="CJ55" i="16"/>
  <c r="CJ58" i="16"/>
  <c r="CJ56" i="16"/>
  <c r="CJ54" i="16"/>
  <c r="D57" i="16"/>
  <c r="D56" i="16"/>
  <c r="D55" i="16"/>
  <c r="D54" i="16"/>
  <c r="D58" i="16"/>
  <c r="D64" i="16"/>
  <c r="K47" i="16"/>
  <c r="K33" i="16"/>
  <c r="K29" i="16"/>
  <c r="K14" i="16"/>
  <c r="K46" i="16"/>
  <c r="K32" i="16"/>
  <c r="K20" i="16"/>
  <c r="K48" i="16"/>
  <c r="K30" i="16"/>
  <c r="K6" i="16"/>
  <c r="K39" i="16"/>
  <c r="K15" i="16"/>
  <c r="K31" i="16"/>
  <c r="K45" i="16"/>
  <c r="K16" i="16"/>
  <c r="K5" i="16"/>
  <c r="K4" i="16"/>
  <c r="K9" i="16"/>
  <c r="J3" i="16"/>
  <c r="J24" i="16" s="1"/>
  <c r="I39" i="16"/>
  <c r="I15" i="16"/>
  <c r="I45" i="16"/>
  <c r="I4" i="16"/>
  <c r="I9" i="16"/>
  <c r="I46" i="16"/>
  <c r="I29" i="16"/>
  <c r="I14" i="16"/>
  <c r="I33" i="16"/>
  <c r="I32" i="16"/>
  <c r="I20" i="16"/>
  <c r="I31" i="16"/>
  <c r="I47" i="16"/>
  <c r="I48" i="16"/>
  <c r="I5" i="16"/>
  <c r="I16" i="16"/>
  <c r="I30" i="16"/>
  <c r="I6" i="16"/>
  <c r="M39" i="16"/>
  <c r="M29" i="16"/>
  <c r="M14" i="16"/>
  <c r="M33" i="16"/>
  <c r="M5" i="16"/>
  <c r="M30" i="16"/>
  <c r="M20" i="16"/>
  <c r="M45" i="16"/>
  <c r="M46" i="16"/>
  <c r="M16" i="16"/>
  <c r="M31" i="16"/>
  <c r="M32" i="16"/>
  <c r="M48" i="16"/>
  <c r="M15" i="16"/>
  <c r="M4" i="16"/>
  <c r="M9" i="16"/>
  <c r="M47" i="16"/>
  <c r="M6" i="16"/>
  <c r="CK46" i="16"/>
  <c r="CK30" i="16"/>
  <c r="CK15" i="16"/>
  <c r="CK48" i="16"/>
  <c r="CK32" i="16"/>
  <c r="CK20" i="16"/>
  <c r="CK39" i="16"/>
  <c r="CK31" i="16"/>
  <c r="CK16" i="16"/>
  <c r="CK7" i="16"/>
  <c r="CK47" i="16"/>
  <c r="CK14" i="16"/>
  <c r="CK5" i="16"/>
  <c r="CK45" i="16"/>
  <c r="CK33" i="16"/>
  <c r="CK6" i="16"/>
  <c r="CK9" i="16"/>
  <c r="CK4" i="16"/>
  <c r="CG46" i="16"/>
  <c r="CG30" i="16"/>
  <c r="CG15" i="16"/>
  <c r="CG7" i="16"/>
  <c r="CG48" i="16"/>
  <c r="CG32" i="16"/>
  <c r="CG20" i="16"/>
  <c r="CG47" i="16"/>
  <c r="CG9" i="16"/>
  <c r="CG39" i="16"/>
  <c r="CG31" i="16"/>
  <c r="CG16" i="16"/>
  <c r="CG5" i="16"/>
  <c r="CG4" i="16"/>
  <c r="CG45" i="16"/>
  <c r="CG33" i="16"/>
  <c r="CG14" i="16"/>
  <c r="CG6" i="16"/>
  <c r="CJ47" i="16"/>
  <c r="CJ39" i="16"/>
  <c r="CJ31" i="16"/>
  <c r="CJ16" i="16"/>
  <c r="CJ9" i="16"/>
  <c r="CJ7" i="16"/>
  <c r="CJ6" i="16"/>
  <c r="CJ5" i="16"/>
  <c r="CJ4" i="16"/>
  <c r="CJ45" i="16"/>
  <c r="CJ33" i="16"/>
  <c r="CJ48" i="16"/>
  <c r="CJ32" i="16"/>
  <c r="CJ20" i="16"/>
  <c r="CJ30" i="16"/>
  <c r="CJ15" i="16"/>
  <c r="CJ14" i="16"/>
  <c r="CJ46" i="16"/>
  <c r="CH45" i="16"/>
  <c r="CH33" i="16"/>
  <c r="CH14" i="16"/>
  <c r="CH47" i="16"/>
  <c r="CH39" i="16"/>
  <c r="CH31" i="16"/>
  <c r="CH16" i="16"/>
  <c r="CH30" i="16"/>
  <c r="CH5" i="16"/>
  <c r="CH46" i="16"/>
  <c r="CH7" i="16"/>
  <c r="CH32" i="16"/>
  <c r="CH20" i="16"/>
  <c r="CH9" i="16"/>
  <c r="CH4" i="16"/>
  <c r="CH48" i="16"/>
  <c r="CH15" i="16"/>
  <c r="CH6" i="16"/>
  <c r="CI48" i="16"/>
  <c r="CI32" i="16"/>
  <c r="CI20" i="16"/>
  <c r="CI46" i="16"/>
  <c r="CI30" i="16"/>
  <c r="CI45" i="16"/>
  <c r="CI33" i="16"/>
  <c r="CI15" i="16"/>
  <c r="CI14" i="16"/>
  <c r="CI6" i="16"/>
  <c r="CI9" i="16"/>
  <c r="CI4" i="16"/>
  <c r="CI47" i="16"/>
  <c r="CI5" i="16"/>
  <c r="CI39" i="16"/>
  <c r="CI31" i="16"/>
  <c r="CI16" i="16"/>
  <c r="CI7" i="16"/>
  <c r="CP3" i="16"/>
  <c r="CP24" i="16" s="1"/>
  <c r="CN3" i="16"/>
  <c r="CN24" i="16" s="1"/>
  <c r="CM3" i="16"/>
  <c r="CM24" i="16" s="1"/>
  <c r="CO3" i="16"/>
  <c r="CO24" i="16" s="1"/>
  <c r="CQ3" i="16"/>
  <c r="CQ24" i="16" s="1"/>
  <c r="BH3" i="21"/>
  <c r="CN22" i="16" l="1"/>
  <c r="CN29" i="16"/>
  <c r="CN23" i="16"/>
  <c r="J22" i="16"/>
  <c r="J23" i="16"/>
  <c r="CP22" i="16"/>
  <c r="CP29" i="16"/>
  <c r="CP23" i="16"/>
  <c r="CQ22" i="16"/>
  <c r="CQ29" i="16"/>
  <c r="CQ23" i="16"/>
  <c r="CO22" i="16"/>
  <c r="CO29" i="16"/>
  <c r="CO23" i="16"/>
  <c r="CM22" i="16"/>
  <c r="CM23" i="16"/>
  <c r="CM29" i="16"/>
  <c r="CM21" i="16"/>
  <c r="CM8" i="16"/>
  <c r="CN21" i="16"/>
  <c r="CN8" i="16"/>
  <c r="CO21" i="16"/>
  <c r="CO8" i="16"/>
  <c r="CQ21" i="16"/>
  <c r="CQ8" i="16"/>
  <c r="CP21" i="16"/>
  <c r="CP8" i="16"/>
  <c r="J21" i="16"/>
  <c r="J8" i="16"/>
  <c r="J7" i="16"/>
  <c r="CP58" i="16"/>
  <c r="CP56" i="16"/>
  <c r="CP54" i="16"/>
  <c r="CP57" i="16"/>
  <c r="CP55" i="16"/>
  <c r="CP64" i="16"/>
  <c r="CQ58" i="16"/>
  <c r="CQ56" i="16"/>
  <c r="CQ54" i="16"/>
  <c r="CQ64" i="16"/>
  <c r="CQ57" i="16"/>
  <c r="CQ55" i="16"/>
  <c r="CM58" i="16"/>
  <c r="CM56" i="16"/>
  <c r="CM54" i="16"/>
  <c r="CM64" i="16"/>
  <c r="CM57" i="16"/>
  <c r="CM55" i="16"/>
  <c r="J64" i="16"/>
  <c r="J57" i="16"/>
  <c r="J54" i="16"/>
  <c r="J58" i="16"/>
  <c r="J55" i="16"/>
  <c r="J56" i="16"/>
  <c r="CO64" i="16"/>
  <c r="CO57" i="16"/>
  <c r="CO55" i="16"/>
  <c r="CO58" i="16"/>
  <c r="CO56" i="16"/>
  <c r="CO54" i="16"/>
  <c r="CN64" i="16"/>
  <c r="CN57" i="16"/>
  <c r="CN55" i="16"/>
  <c r="CN54" i="16"/>
  <c r="CN58" i="16"/>
  <c r="CN56" i="16"/>
  <c r="J45" i="16"/>
  <c r="J31" i="16"/>
  <c r="J29" i="16"/>
  <c r="J48" i="16"/>
  <c r="J39" i="16"/>
  <c r="J30" i="16"/>
  <c r="J16" i="16"/>
  <c r="J9" i="16"/>
  <c r="J46" i="16"/>
  <c r="J15" i="16"/>
  <c r="J32" i="16"/>
  <c r="J47" i="16"/>
  <c r="J33" i="16"/>
  <c r="J14" i="16"/>
  <c r="J20" i="16"/>
  <c r="J5" i="16"/>
  <c r="J4" i="16"/>
  <c r="J6" i="16"/>
  <c r="CP47" i="16"/>
  <c r="CP30" i="16"/>
  <c r="CP16" i="16"/>
  <c r="CP7" i="16"/>
  <c r="CP45" i="16"/>
  <c r="CP32" i="16"/>
  <c r="CP14" i="16"/>
  <c r="CP31" i="16"/>
  <c r="CP20" i="16"/>
  <c r="CP48" i="16"/>
  <c r="CP39" i="16"/>
  <c r="CP6" i="16"/>
  <c r="CP5" i="16"/>
  <c r="CP4" i="16"/>
  <c r="CP46" i="16"/>
  <c r="CP33" i="16"/>
  <c r="CP9" i="16"/>
  <c r="CP15" i="16"/>
  <c r="CM46" i="16"/>
  <c r="CM33" i="16"/>
  <c r="CM15" i="16"/>
  <c r="CM6" i="16"/>
  <c r="CM48" i="16"/>
  <c r="CM39" i="16"/>
  <c r="CM31" i="16"/>
  <c r="CM20" i="16"/>
  <c r="CM30" i="16"/>
  <c r="CM16" i="16"/>
  <c r="CM5" i="16"/>
  <c r="CM4" i="16"/>
  <c r="CM47" i="16"/>
  <c r="CM45" i="16"/>
  <c r="CM32" i="16"/>
  <c r="CM14" i="16"/>
  <c r="CM9" i="16"/>
  <c r="CM7" i="16"/>
  <c r="CO48" i="16"/>
  <c r="CO39" i="16"/>
  <c r="CO31" i="16"/>
  <c r="CO20" i="16"/>
  <c r="CO9" i="16"/>
  <c r="CO4" i="16"/>
  <c r="CO46" i="16"/>
  <c r="CO33" i="16"/>
  <c r="CO15" i="16"/>
  <c r="CO14" i="16"/>
  <c r="CO45" i="16"/>
  <c r="CO32" i="16"/>
  <c r="CO30" i="16"/>
  <c r="CO16" i="16"/>
  <c r="CO7" i="16"/>
  <c r="CO6" i="16"/>
  <c r="CO5" i="16"/>
  <c r="CO47" i="16"/>
  <c r="CQ46" i="16"/>
  <c r="CQ33" i="16"/>
  <c r="CQ15" i="16"/>
  <c r="CQ6" i="16"/>
  <c r="CQ48" i="16"/>
  <c r="CQ39" i="16"/>
  <c r="CQ31" i="16"/>
  <c r="CQ20" i="16"/>
  <c r="CQ47" i="16"/>
  <c r="CQ30" i="16"/>
  <c r="CQ16" i="16"/>
  <c r="CQ9" i="16"/>
  <c r="CQ7" i="16"/>
  <c r="CQ14" i="16"/>
  <c r="CQ45" i="16"/>
  <c r="CQ32" i="16"/>
  <c r="CQ5" i="16"/>
  <c r="CQ4" i="16"/>
  <c r="CN45" i="16"/>
  <c r="CN32" i="16"/>
  <c r="CN14" i="16"/>
  <c r="CN5" i="16"/>
  <c r="CN47" i="16"/>
  <c r="CN30" i="16"/>
  <c r="CN16" i="16"/>
  <c r="CN46" i="16"/>
  <c r="CN33" i="16"/>
  <c r="CN9" i="16"/>
  <c r="CN7" i="16"/>
  <c r="CN6" i="16"/>
  <c r="CN15" i="16"/>
  <c r="CN48" i="16"/>
  <c r="CN39" i="16"/>
  <c r="CN4" i="16"/>
  <c r="CN31" i="16"/>
  <c r="CN20" i="16"/>
  <c r="BN64" i="16"/>
  <c r="AL64" i="16"/>
  <c r="AK64" i="16"/>
  <c r="AG54" i="16"/>
  <c r="AV54" i="16" s="1"/>
  <c r="AZ57" i="16" l="1"/>
  <c r="AX57" i="16"/>
  <c r="BB57" i="16"/>
  <c r="AY57" i="16"/>
  <c r="BA57" i="16"/>
  <c r="AX56" i="16"/>
  <c r="BB56" i="16"/>
  <c r="AZ56" i="16"/>
  <c r="BA56" i="16"/>
  <c r="AY56" i="16"/>
  <c r="AX58" i="16"/>
  <c r="BB58" i="16"/>
  <c r="AZ58" i="16"/>
  <c r="BA58" i="16"/>
  <c r="AY58" i="16"/>
  <c r="AZ54" i="16"/>
  <c r="BA54" i="16"/>
  <c r="AX54" i="16"/>
  <c r="BB54" i="16"/>
  <c r="AY54" i="16"/>
  <c r="AZ55" i="16"/>
  <c r="AX55" i="16"/>
  <c r="BB55" i="16"/>
  <c r="AY55" i="16"/>
  <c r="BA55" i="16"/>
  <c r="AH54" i="16"/>
  <c r="AU57" i="16"/>
  <c r="AU54" i="16"/>
  <c r="AU58" i="16"/>
  <c r="AU55" i="16"/>
  <c r="AU56" i="16"/>
  <c r="AI64" i="16"/>
  <c r="AI54" i="16"/>
  <c r="AH64" i="16" l="1"/>
  <c r="AV47" i="16" l="1"/>
  <c r="AV48" i="16" s="1"/>
  <c r="AM46" i="16"/>
  <c r="AJ46" i="16" l="1"/>
  <c r="AK45" i="16"/>
  <c r="AG45" i="16"/>
  <c r="AV45" i="16"/>
  <c r="BN45" i="16"/>
  <c r="AI48" i="16"/>
  <c r="AJ45" i="16"/>
  <c r="AL45" i="16"/>
  <c r="F171" i="22" l="1"/>
  <c r="F177" i="22" s="1"/>
  <c r="AH45" i="16"/>
  <c r="AI45" i="16"/>
  <c r="F163" i="22"/>
  <c r="B130" i="24"/>
  <c r="CJ121" i="24"/>
  <c r="F173" i="22" l="1"/>
  <c r="F175" i="22"/>
  <c r="F167" i="22"/>
  <c r="F169" i="22"/>
  <c r="F165" i="22"/>
  <c r="W3" i="22" l="1"/>
  <c r="AK39" i="16" l="1"/>
  <c r="BQ39" i="16"/>
  <c r="BN39" i="16"/>
  <c r="X105" i="22"/>
  <c r="X107" i="22"/>
  <c r="X109" i="22"/>
  <c r="X111" i="22"/>
  <c r="W53" i="22"/>
  <c r="W57" i="22" s="1"/>
  <c r="W55" i="22" l="1"/>
  <c r="W61" i="22"/>
  <c r="W59" i="22"/>
  <c r="AE3" i="22"/>
  <c r="V141" i="22" l="1"/>
  <c r="V131" i="22"/>
  <c r="V121" i="22"/>
  <c r="V111" i="22"/>
  <c r="W5" i="22"/>
  <c r="V151" i="22" l="1"/>
  <c r="V115" i="22"/>
  <c r="V135" i="22"/>
  <c r="V145" i="22"/>
  <c r="V107" i="22"/>
  <c r="V117" i="22"/>
  <c r="V127" i="22"/>
  <c r="V137" i="22"/>
  <c r="V147" i="22"/>
  <c r="V105" i="22"/>
  <c r="V125" i="22"/>
  <c r="V109" i="22"/>
  <c r="V119" i="22"/>
  <c r="V129" i="22"/>
  <c r="V139" i="22"/>
  <c r="V149" i="22"/>
  <c r="W7" i="22"/>
  <c r="W9" i="22"/>
  <c r="W11" i="22"/>
  <c r="D147" i="22" l="1"/>
  <c r="D139" i="22"/>
  <c r="D131" i="22"/>
  <c r="D123" i="22"/>
  <c r="D115" i="22"/>
  <c r="D121" i="22"/>
  <c r="D141" i="22"/>
  <c r="D125" i="22"/>
  <c r="D145" i="22"/>
  <c r="D137" i="22"/>
  <c r="D129" i="22"/>
  <c r="D113" i="22"/>
  <c r="D149" i="22"/>
  <c r="D109" i="22"/>
  <c r="D151" i="22"/>
  <c r="D143" i="22"/>
  <c r="D135" i="22"/>
  <c r="D127" i="22"/>
  <c r="D119" i="22"/>
  <c r="D111" i="22"/>
  <c r="D133" i="22"/>
  <c r="D117" i="22"/>
  <c r="D107" i="22"/>
  <c r="D105" i="22"/>
  <c r="AG13" i="22"/>
  <c r="AI3" i="22"/>
  <c r="AG15" i="22" l="1"/>
  <c r="AJ15" i="22"/>
  <c r="AI5" i="22"/>
  <c r="AJ19" i="22"/>
  <c r="AJ21" i="22"/>
  <c r="AJ17" i="22"/>
  <c r="AI9" i="22"/>
  <c r="AI7" i="22"/>
  <c r="AI11" i="22"/>
  <c r="AG17" i="22"/>
  <c r="AG19" i="22"/>
  <c r="AG21" i="22"/>
  <c r="U38" i="23"/>
  <c r="U37" i="23"/>
  <c r="U36" i="23"/>
  <c r="U35" i="23"/>
  <c r="U34" i="23"/>
  <c r="U17" i="23"/>
  <c r="U16" i="23"/>
  <c r="U15" i="23"/>
  <c r="U14" i="23"/>
  <c r="U13" i="23"/>
  <c r="U9" i="23"/>
  <c r="U8" i="23"/>
  <c r="U7" i="23"/>
  <c r="U6" i="23"/>
  <c r="U5" i="23"/>
  <c r="T38" i="23" l="1"/>
  <c r="T37" i="23"/>
  <c r="T36" i="23"/>
  <c r="T35" i="23"/>
  <c r="T34" i="23"/>
  <c r="T17" i="23"/>
  <c r="T16" i="23"/>
  <c r="T15" i="23"/>
  <c r="T13" i="23"/>
  <c r="T9" i="23"/>
  <c r="T8" i="23"/>
  <c r="T7" i="23"/>
  <c r="T6" i="23"/>
  <c r="T5" i="23"/>
  <c r="S5" i="23" l="1"/>
  <c r="R5" i="23" s="1"/>
  <c r="S13" i="23"/>
  <c r="R13" i="23" s="1"/>
  <c r="S15" i="23"/>
  <c r="R15" i="23" s="1"/>
  <c r="S14" i="23"/>
  <c r="R14" i="23" s="1"/>
  <c r="CE9" i="16"/>
  <c r="CE3" i="16"/>
  <c r="CE6" i="16"/>
  <c r="CE4" i="16"/>
  <c r="CE5" i="16"/>
  <c r="S37" i="23"/>
  <c r="R37" i="23" s="1"/>
  <c r="S38" i="23"/>
  <c r="R38" i="23" s="1"/>
  <c r="R44" i="23"/>
  <c r="R45" i="23"/>
  <c r="R43" i="23"/>
  <c r="S36" i="23"/>
  <c r="R36" i="23" s="1"/>
  <c r="S7" i="23"/>
  <c r="R7" i="23" s="1"/>
  <c r="S34" i="23"/>
  <c r="R34" i="23" s="1"/>
  <c r="S35" i="23"/>
  <c r="R35" i="23" s="1"/>
  <c r="S17" i="23"/>
  <c r="R17" i="23" s="1"/>
  <c r="S16" i="23"/>
  <c r="R16" i="23" s="1"/>
  <c r="S6" i="23"/>
  <c r="R6" i="23" s="1"/>
  <c r="S8" i="23"/>
  <c r="R8" i="23" s="1"/>
  <c r="S9" i="23"/>
  <c r="R9" i="23" s="1"/>
  <c r="C63" i="22" l="1"/>
  <c r="C185" i="22"/>
  <c r="C183" i="22"/>
  <c r="C181" i="22"/>
  <c r="C179" i="22"/>
  <c r="C171" i="22"/>
  <c r="C177" i="22"/>
  <c r="C165" i="22"/>
  <c r="C175" i="22"/>
  <c r="C173" i="22"/>
  <c r="C169" i="22"/>
  <c r="C167" i="22"/>
  <c r="C163" i="22"/>
  <c r="C161" i="22"/>
  <c r="C159" i="22"/>
  <c r="C151" i="22"/>
  <c r="C141" i="22"/>
  <c r="C131" i="22"/>
  <c r="C121" i="22"/>
  <c r="C137" i="22"/>
  <c r="C153" i="22"/>
  <c r="C135" i="22"/>
  <c r="C125" i="22"/>
  <c r="C157" i="22"/>
  <c r="C149" i="22"/>
  <c r="C139" i="22"/>
  <c r="C129" i="22"/>
  <c r="C147" i="22"/>
  <c r="C127" i="22"/>
  <c r="C145" i="22"/>
  <c r="C155" i="22"/>
  <c r="C119" i="22"/>
  <c r="C111" i="22"/>
  <c r="C107" i="22"/>
  <c r="C115" i="22"/>
  <c r="C109" i="22"/>
  <c r="C117" i="22"/>
  <c r="C105" i="22"/>
  <c r="C133" i="22"/>
  <c r="C113" i="22"/>
  <c r="C123" i="22"/>
  <c r="C143" i="22"/>
  <c r="C103" i="22"/>
  <c r="CE7" i="16"/>
  <c r="CE8" i="16"/>
  <c r="B155" i="22"/>
  <c r="B161" i="22"/>
  <c r="B159" i="22"/>
  <c r="B157" i="22"/>
  <c r="B153" i="22"/>
  <c r="B151" i="22"/>
  <c r="B115" i="22"/>
  <c r="B127" i="22"/>
  <c r="B103" i="22"/>
  <c r="B139" i="22"/>
  <c r="B13" i="22"/>
  <c r="B45" i="22"/>
  <c r="B37" i="22"/>
  <c r="B29" i="22"/>
  <c r="B21" i="22"/>
  <c r="B11" i="22"/>
  <c r="B3" i="22"/>
  <c r="B15" i="22"/>
  <c r="B51" i="22"/>
  <c r="B43" i="22"/>
  <c r="B35" i="22"/>
  <c r="B27" i="22"/>
  <c r="B19" i="22"/>
  <c r="B9" i="22"/>
  <c r="B5" i="22"/>
  <c r="B49" i="22"/>
  <c r="B41" i="22"/>
  <c r="B33" i="22"/>
  <c r="B25" i="22"/>
  <c r="B17" i="22"/>
  <c r="B7" i="22"/>
  <c r="B47" i="22"/>
  <c r="B39" i="22"/>
  <c r="B31" i="22"/>
  <c r="B23" i="22"/>
  <c r="B163" i="22"/>
  <c r="B169" i="22"/>
  <c r="B177" i="22"/>
  <c r="B165" i="22"/>
  <c r="B171" i="22"/>
  <c r="B185" i="22"/>
  <c r="B167" i="22"/>
  <c r="B179" i="22"/>
  <c r="B183" i="22"/>
  <c r="B175" i="22"/>
  <c r="B181" i="22"/>
  <c r="B173" i="22"/>
  <c r="C75" i="22"/>
  <c r="C79" i="22"/>
  <c r="C77" i="22"/>
  <c r="C65" i="22"/>
  <c r="C67" i="22"/>
  <c r="C81" i="22"/>
  <c r="C73" i="22"/>
  <c r="C69" i="22"/>
  <c r="C71" i="22"/>
  <c r="C57" i="22"/>
  <c r="C61" i="22"/>
  <c r="C59" i="22"/>
  <c r="C53" i="22"/>
  <c r="C55" i="22"/>
  <c r="C51" i="22"/>
  <c r="C43" i="22"/>
  <c r="C49" i="22"/>
  <c r="C47" i="22"/>
  <c r="C45" i="22"/>
  <c r="C41" i="22"/>
  <c r="C39" i="22"/>
  <c r="C37" i="22"/>
  <c r="C35" i="22"/>
  <c r="C33" i="22"/>
  <c r="C23" i="22"/>
  <c r="C25" i="22"/>
  <c r="C13" i="22"/>
  <c r="C31" i="22"/>
  <c r="C21" i="22"/>
  <c r="C3" i="22"/>
  <c r="C17" i="22"/>
  <c r="C29" i="22"/>
  <c r="C19" i="22"/>
  <c r="C5" i="22"/>
  <c r="C27" i="22"/>
  <c r="C11" i="22"/>
  <c r="C9" i="22"/>
  <c r="L23" i="22"/>
  <c r="L31" i="22" l="1"/>
  <c r="L29" i="22"/>
  <c r="L27" i="22"/>
  <c r="L25" i="22"/>
  <c r="L13" i="22"/>
  <c r="L41" i="22" l="1"/>
  <c r="L39" i="22"/>
  <c r="L35" i="22"/>
  <c r="L37" i="22"/>
  <c r="AF19" i="22"/>
  <c r="AF21" i="22"/>
  <c r="AF17" i="22"/>
  <c r="AF15" i="22"/>
  <c r="L21" i="22"/>
  <c r="L15" i="22"/>
  <c r="L19" i="22"/>
  <c r="L17" i="22"/>
  <c r="AE11" i="22" l="1"/>
  <c r="AE9" i="22"/>
  <c r="AE7" i="22"/>
  <c r="AE5" i="22"/>
  <c r="M11" i="22"/>
  <c r="M9" i="22"/>
  <c r="M7" i="22"/>
  <c r="M5" i="22"/>
  <c r="BX15" i="16"/>
  <c r="BX14" i="16"/>
  <c r="O75" i="22" l="1"/>
  <c r="O77" i="22"/>
  <c r="O81" i="22"/>
  <c r="O79" i="22"/>
  <c r="P81" i="22"/>
  <c r="P79" i="22"/>
  <c r="P77" i="22"/>
  <c r="P75" i="22"/>
  <c r="BY16" i="16"/>
  <c r="T35" i="2" l="1"/>
  <c r="T36" i="2"/>
  <c r="AH9" i="16" s="1"/>
  <c r="T37" i="2"/>
  <c r="U35" i="2" l="1"/>
  <c r="AV9" i="16"/>
  <c r="AG9" i="16"/>
  <c r="AG47" i="16" s="1"/>
  <c r="AG48" i="16" s="1"/>
  <c r="U39" i="2"/>
  <c r="AI9" i="16" s="1"/>
  <c r="U36" i="2"/>
  <c r="V3" i="22" l="1"/>
  <c r="U3" i="22"/>
  <c r="V5" i="22" l="1"/>
  <c r="V7" i="22"/>
  <c r="V9" i="22"/>
  <c r="V11" i="22"/>
  <c r="U11" i="22"/>
  <c r="U9" i="22"/>
  <c r="U7" i="22"/>
  <c r="U5" i="22"/>
  <c r="F73" i="22" l="1"/>
  <c r="F63" i="22"/>
  <c r="F53" i="22"/>
  <c r="F23" i="22"/>
  <c r="O23" i="22"/>
  <c r="M103" i="22"/>
  <c r="M113" i="22"/>
  <c r="M123" i="22"/>
  <c r="M133" i="22"/>
  <c r="M143" i="22"/>
  <c r="M13" i="22"/>
  <c r="H23" i="22"/>
  <c r="E43" i="22"/>
  <c r="E13" i="22"/>
  <c r="E3" i="22"/>
  <c r="D73" i="22"/>
  <c r="D63" i="22"/>
  <c r="D43" i="22"/>
  <c r="D33" i="22"/>
  <c r="D23" i="22"/>
  <c r="D13" i="22"/>
  <c r="D3" i="22"/>
  <c r="M141" i="22" l="1"/>
  <c r="M139" i="22"/>
  <c r="M135" i="22"/>
  <c r="M137" i="22"/>
  <c r="M147" i="22"/>
  <c r="M149" i="22"/>
  <c r="M145" i="22"/>
  <c r="M151" i="22"/>
  <c r="M131" i="22"/>
  <c r="M129" i="22"/>
  <c r="M127" i="22"/>
  <c r="M125" i="22"/>
  <c r="M121" i="22"/>
  <c r="M119" i="22"/>
  <c r="M117" i="22"/>
  <c r="M115" i="22"/>
  <c r="M111" i="22"/>
  <c r="M109" i="22"/>
  <c r="M105" i="22"/>
  <c r="M107" i="22"/>
  <c r="M91" i="22"/>
  <c r="M89" i="22"/>
  <c r="M87" i="22"/>
  <c r="D91" i="22"/>
  <c r="D89" i="22"/>
  <c r="D87" i="22"/>
  <c r="F85" i="22"/>
  <c r="F87" i="22"/>
  <c r="F89" i="22"/>
  <c r="F91" i="22"/>
  <c r="D81" i="22"/>
  <c r="D79" i="22"/>
  <c r="D77" i="22"/>
  <c r="D75" i="22"/>
  <c r="M75" i="22"/>
  <c r="M77" i="22"/>
  <c r="M81" i="22"/>
  <c r="M79" i="22"/>
  <c r="F75" i="22"/>
  <c r="F81" i="22"/>
  <c r="F77" i="22"/>
  <c r="F79" i="22"/>
  <c r="H75" i="22"/>
  <c r="H81" i="22"/>
  <c r="H77" i="22"/>
  <c r="H79" i="22"/>
  <c r="D67" i="22"/>
  <c r="D65" i="22"/>
  <c r="D69" i="22"/>
  <c r="D71" i="22"/>
  <c r="F67" i="22"/>
  <c r="F65" i="22"/>
  <c r="F71" i="22"/>
  <c r="F69" i="22"/>
  <c r="M71" i="22"/>
  <c r="M67" i="22"/>
  <c r="M69" i="22"/>
  <c r="M65" i="22"/>
  <c r="D61" i="22"/>
  <c r="D59" i="22"/>
  <c r="D55" i="22"/>
  <c r="D57" i="22"/>
  <c r="M61" i="22"/>
  <c r="M59" i="22"/>
  <c r="M57" i="22"/>
  <c r="M55" i="22"/>
  <c r="F55" i="22"/>
  <c r="F61" i="22"/>
  <c r="F57" i="22"/>
  <c r="F59" i="22"/>
  <c r="M51" i="22"/>
  <c r="M49" i="22"/>
  <c r="M47" i="22"/>
  <c r="M45" i="22"/>
  <c r="E51" i="22"/>
  <c r="E49" i="22"/>
  <c r="E47" i="22"/>
  <c r="E45" i="22"/>
  <c r="D51" i="22"/>
  <c r="D49" i="22"/>
  <c r="D47" i="22"/>
  <c r="D45" i="22"/>
  <c r="D41" i="22"/>
  <c r="D39" i="22"/>
  <c r="D37" i="22"/>
  <c r="D35" i="22"/>
  <c r="M35" i="22"/>
  <c r="M37" i="22"/>
  <c r="M39" i="22"/>
  <c r="M41" i="22"/>
  <c r="M25" i="22"/>
  <c r="M27" i="22"/>
  <c r="M29" i="22"/>
  <c r="M31" i="22"/>
  <c r="O31" i="22"/>
  <c r="O29" i="22"/>
  <c r="O27" i="22"/>
  <c r="O25" i="22"/>
  <c r="D31" i="22"/>
  <c r="D29" i="22"/>
  <c r="D27" i="22"/>
  <c r="D25" i="22"/>
  <c r="H25" i="22"/>
  <c r="H27" i="22"/>
  <c r="H29" i="22"/>
  <c r="H31" i="22"/>
  <c r="F31" i="22"/>
  <c r="F29" i="22"/>
  <c r="F27" i="22"/>
  <c r="F25" i="22"/>
  <c r="E21" i="22"/>
  <c r="E19" i="22"/>
  <c r="E15" i="22"/>
  <c r="E17" i="22"/>
  <c r="M15" i="22"/>
  <c r="M17" i="22"/>
  <c r="M19" i="22"/>
  <c r="M21" i="22"/>
  <c r="D21" i="22"/>
  <c r="D19" i="22"/>
  <c r="D17" i="22"/>
  <c r="D15" i="22"/>
  <c r="D11" i="22"/>
  <c r="D9" i="22"/>
  <c r="D7" i="22"/>
  <c r="D5" i="22"/>
  <c r="E11" i="22"/>
  <c r="E9" i="22"/>
  <c r="E7" i="22"/>
  <c r="E5" i="22"/>
  <c r="Q105" i="22" l="1"/>
  <c r="Q107" i="22"/>
  <c r="Q109" i="22"/>
  <c r="Q111" i="22"/>
  <c r="Q135" i="22"/>
  <c r="G143" i="22"/>
  <c r="G133" i="22"/>
  <c r="G123" i="22"/>
  <c r="G113" i="22"/>
  <c r="G103" i="22"/>
  <c r="CM99" i="8"/>
  <c r="C7" i="22"/>
  <c r="C15" i="22"/>
  <c r="G141" i="22" l="1"/>
  <c r="G139" i="22"/>
  <c r="G137" i="22"/>
  <c r="G135" i="22"/>
  <c r="G147" i="22"/>
  <c r="G149" i="22"/>
  <c r="G145" i="22"/>
  <c r="G151" i="22"/>
  <c r="Q147" i="22"/>
  <c r="Q145" i="22"/>
  <c r="Q151" i="22"/>
  <c r="Q149" i="22"/>
  <c r="G125" i="22"/>
  <c r="G127" i="22"/>
  <c r="G131" i="22"/>
  <c r="G129" i="22"/>
  <c r="Q125" i="22"/>
  <c r="Q127" i="22"/>
  <c r="Q131" i="22"/>
  <c r="Q129" i="22"/>
  <c r="G115" i="22"/>
  <c r="G117" i="22"/>
  <c r="G119" i="22"/>
  <c r="G121" i="22"/>
  <c r="Q121" i="22"/>
  <c r="Q119" i="22"/>
  <c r="Q117" i="22"/>
  <c r="Q115" i="22"/>
  <c r="G105" i="22"/>
  <c r="G107" i="22"/>
  <c r="G109" i="22"/>
  <c r="G111" i="22"/>
  <c r="CE16" i="16"/>
  <c r="CE15" i="16"/>
  <c r="CE14" i="16"/>
  <c r="C62" i="9" l="1"/>
  <c r="C92" i="9"/>
  <c r="C84" i="9"/>
  <c r="C80" i="9"/>
  <c r="L3" i="21" l="1"/>
  <c r="F3" i="21"/>
  <c r="B53" i="22"/>
  <c r="B79" i="22"/>
  <c r="B61" i="22"/>
  <c r="B63" i="22"/>
  <c r="B67" i="22"/>
  <c r="B81" i="22"/>
  <c r="B73" i="22"/>
  <c r="B59" i="22"/>
  <c r="B55" i="22"/>
  <c r="B75" i="22"/>
  <c r="B71" i="22"/>
  <c r="B65" i="22"/>
  <c r="B77" i="22"/>
  <c r="B69" i="22"/>
  <c r="B57" i="22"/>
  <c r="C3" i="21"/>
  <c r="B3" i="21"/>
  <c r="G3" i="21"/>
  <c r="H3" i="21"/>
  <c r="I3" i="21"/>
  <c r="K3" i="21"/>
  <c r="O3" i="21"/>
  <c r="R3" i="21"/>
  <c r="N3" i="21"/>
  <c r="P3" i="21"/>
  <c r="Q3" i="21"/>
  <c r="J3" i="21"/>
  <c r="AY3" i="21"/>
  <c r="AX3" i="21"/>
  <c r="AW3" i="21"/>
  <c r="AZ3" i="21"/>
  <c r="BF3" i="21"/>
  <c r="BA3" i="21"/>
  <c r="BD3" i="21"/>
  <c r="BE3" i="21"/>
  <c r="BG3" i="21"/>
  <c r="AH3" i="21" l="1"/>
  <c r="Y3" i="21"/>
  <c r="T123" i="22"/>
  <c r="T3" i="22"/>
  <c r="T83" i="22"/>
  <c r="T73" i="22"/>
  <c r="T103" i="22"/>
  <c r="T133" i="22"/>
  <c r="T13" i="22"/>
  <c r="T33" i="22"/>
  <c r="T23" i="22"/>
  <c r="T113" i="22"/>
  <c r="T143" i="22"/>
  <c r="T43" i="22"/>
  <c r="T63" i="22"/>
  <c r="T53" i="22"/>
  <c r="S113" i="22"/>
  <c r="S63" i="22"/>
  <c r="S65" i="22" s="1"/>
  <c r="S23" i="22"/>
  <c r="S143" i="22"/>
  <c r="S103" i="22"/>
  <c r="S53" i="22"/>
  <c r="S13" i="22"/>
  <c r="S133" i="22"/>
  <c r="S83" i="22"/>
  <c r="S43" i="22"/>
  <c r="S3" i="22"/>
  <c r="S123" i="22"/>
  <c r="S73" i="22"/>
  <c r="S33" i="22"/>
  <c r="X3" i="21"/>
  <c r="AC3" i="21"/>
  <c r="AD3" i="21"/>
  <c r="AF3" i="21"/>
  <c r="AB3" i="21"/>
  <c r="AE3" i="21"/>
  <c r="S101" i="22" l="1"/>
  <c r="S99" i="22"/>
  <c r="S97" i="22"/>
  <c r="S95" i="22"/>
  <c r="T101" i="22"/>
  <c r="T99" i="22"/>
  <c r="T97" i="22"/>
  <c r="T95" i="22"/>
  <c r="T71" i="22"/>
  <c r="T69" i="22"/>
  <c r="T67" i="22"/>
  <c r="T65" i="22"/>
  <c r="S155" i="22"/>
  <c r="S161" i="22"/>
  <c r="S159" i="22"/>
  <c r="S157" i="22"/>
  <c r="T161" i="22"/>
  <c r="T159" i="22"/>
  <c r="T157" i="22"/>
  <c r="T155" i="22"/>
  <c r="S137" i="22"/>
  <c r="S135" i="22"/>
  <c r="S141" i="22"/>
  <c r="S139" i="22"/>
  <c r="T137" i="22"/>
  <c r="T135" i="22"/>
  <c r="T141" i="22"/>
  <c r="T139" i="22"/>
  <c r="T151" i="22"/>
  <c r="T149" i="22"/>
  <c r="T147" i="22"/>
  <c r="T145" i="22"/>
  <c r="S145" i="22"/>
  <c r="S151" i="22"/>
  <c r="S149" i="22"/>
  <c r="S147" i="22"/>
  <c r="S131" i="22"/>
  <c r="S129" i="22"/>
  <c r="S127" i="22"/>
  <c r="S125" i="22"/>
  <c r="T125" i="22"/>
  <c r="T127" i="22"/>
  <c r="T131" i="22"/>
  <c r="T129" i="22"/>
  <c r="S115" i="22"/>
  <c r="S117" i="22"/>
  <c r="S119" i="22"/>
  <c r="S121" i="22"/>
  <c r="T121" i="22"/>
  <c r="T119" i="22"/>
  <c r="T117" i="22"/>
  <c r="T115" i="22"/>
  <c r="S111" i="22"/>
  <c r="S109" i="22"/>
  <c r="S107" i="22"/>
  <c r="S105" i="22"/>
  <c r="T105" i="22"/>
  <c r="T107" i="22"/>
  <c r="T109" i="22"/>
  <c r="T111" i="22"/>
  <c r="S91" i="22"/>
  <c r="S89" i="22"/>
  <c r="S87" i="22"/>
  <c r="S85" i="22"/>
  <c r="T85" i="22"/>
  <c r="T87" i="22"/>
  <c r="T91" i="22"/>
  <c r="T89" i="22"/>
  <c r="T81" i="22"/>
  <c r="T79" i="22"/>
  <c r="T75" i="22"/>
  <c r="T77" i="22"/>
  <c r="S75" i="22"/>
  <c r="S81" i="22"/>
  <c r="S77" i="22"/>
  <c r="S79" i="22"/>
  <c r="S67" i="22"/>
  <c r="S69" i="22"/>
  <c r="S71" i="22"/>
  <c r="S61" i="22"/>
  <c r="S59" i="22"/>
  <c r="S55" i="22"/>
  <c r="S57" i="22"/>
  <c r="T55" i="22"/>
  <c r="T57" i="22"/>
  <c r="T59" i="22"/>
  <c r="T61" i="22"/>
  <c r="S45" i="22"/>
  <c r="S49" i="22"/>
  <c r="S47" i="22"/>
  <c r="S51" i="22"/>
  <c r="T51" i="22"/>
  <c r="T49" i="22"/>
  <c r="T47" i="22"/>
  <c r="T45" i="22"/>
  <c r="S41" i="22"/>
  <c r="S39" i="22"/>
  <c r="S35" i="22"/>
  <c r="S37" i="22"/>
  <c r="T35" i="22"/>
  <c r="T39" i="22"/>
  <c r="T37" i="22"/>
  <c r="T41" i="22"/>
  <c r="S31" i="22"/>
  <c r="S29" i="22"/>
  <c r="S27" i="22"/>
  <c r="S25" i="22"/>
  <c r="T25" i="22"/>
  <c r="T27" i="22"/>
  <c r="T29" i="22"/>
  <c r="T31" i="22"/>
  <c r="T19" i="22"/>
  <c r="T15" i="22"/>
  <c r="T17" i="22"/>
  <c r="T21" i="22"/>
  <c r="S21" i="22"/>
  <c r="S19" i="22"/>
  <c r="S17" i="22"/>
  <c r="S15" i="22"/>
  <c r="T5" i="22"/>
  <c r="T7" i="22"/>
  <c r="T9" i="22"/>
  <c r="T11" i="22"/>
  <c r="S11" i="22"/>
  <c r="S9" i="22"/>
  <c r="S7" i="22"/>
  <c r="S5" i="22"/>
  <c r="AS3" i="21"/>
  <c r="AT3" i="21"/>
  <c r="AP3" i="21"/>
  <c r="AL3" i="21"/>
  <c r="AR3" i="21"/>
  <c r="AQ3" i="21"/>
  <c r="V3" i="21"/>
  <c r="W3" i="21"/>
  <c r="U3" i="21"/>
  <c r="AM3" i="21" l="1"/>
  <c r="AK3" i="21"/>
  <c r="AJ3" i="21"/>
  <c r="AI3" i="21"/>
  <c r="G73" i="22" l="1"/>
  <c r="N73" i="22"/>
  <c r="N63" i="22"/>
  <c r="G63" i="22"/>
  <c r="N53" i="22"/>
  <c r="G43" i="22"/>
  <c r="G33" i="22"/>
  <c r="G23" i="22"/>
  <c r="G13" i="22"/>
  <c r="N85" i="22" l="1"/>
  <c r="N87" i="22"/>
  <c r="N91" i="22"/>
  <c r="N89" i="22"/>
  <c r="I91" i="22"/>
  <c r="I89" i="22"/>
  <c r="I87" i="22"/>
  <c r="N81" i="22"/>
  <c r="N75" i="22"/>
  <c r="N79" i="22"/>
  <c r="N77" i="22"/>
  <c r="I81" i="22"/>
  <c r="I79" i="22"/>
  <c r="I77" i="22"/>
  <c r="I75" i="22"/>
  <c r="G81" i="22"/>
  <c r="G79" i="22"/>
  <c r="G75" i="22"/>
  <c r="G77" i="22"/>
  <c r="G71" i="22"/>
  <c r="G67" i="22"/>
  <c r="G69" i="22"/>
  <c r="G65" i="22"/>
  <c r="N67" i="22"/>
  <c r="N65" i="22"/>
  <c r="N71" i="22"/>
  <c r="N69" i="22"/>
  <c r="I65" i="22"/>
  <c r="I71" i="22"/>
  <c r="I69" i="22"/>
  <c r="I67" i="22"/>
  <c r="G61" i="22"/>
  <c r="G59" i="22"/>
  <c r="G57" i="22"/>
  <c r="G55" i="22"/>
  <c r="I55" i="22"/>
  <c r="I57" i="22"/>
  <c r="I61" i="22"/>
  <c r="I59" i="22"/>
  <c r="N55" i="22"/>
  <c r="N61" i="22"/>
  <c r="N57" i="22"/>
  <c r="N59" i="22"/>
  <c r="G51" i="22"/>
  <c r="G49" i="22"/>
  <c r="G47" i="22"/>
  <c r="G45" i="22"/>
  <c r="G41" i="22"/>
  <c r="G39" i="22"/>
  <c r="G37" i="22"/>
  <c r="G35" i="22"/>
  <c r="G31" i="22"/>
  <c r="G29" i="22"/>
  <c r="G27" i="22"/>
  <c r="G25" i="22"/>
  <c r="G21" i="22"/>
  <c r="G19" i="22"/>
  <c r="G17" i="22"/>
  <c r="G15" i="22"/>
  <c r="G3" i="22"/>
  <c r="G11" i="22" l="1"/>
  <c r="G9" i="22"/>
  <c r="G7" i="22"/>
  <c r="G5" i="22"/>
  <c r="U77" i="23"/>
  <c r="U66" i="23"/>
  <c r="U65" i="23"/>
  <c r="U64" i="23"/>
  <c r="U63" i="23"/>
  <c r="U61" i="23"/>
  <c r="U60" i="23"/>
  <c r="U58" i="23"/>
  <c r="U57" i="23"/>
  <c r="BJ3" i="21"/>
  <c r="BI3" i="21"/>
  <c r="C16" i="2" l="1"/>
  <c r="C17" i="2" l="1"/>
  <c r="C18" i="2" l="1"/>
  <c r="M8" i="9" l="1"/>
  <c r="M7" i="9"/>
  <c r="M6" i="9"/>
  <c r="M5" i="9"/>
  <c r="M4" i="9"/>
  <c r="L8" i="9"/>
  <c r="L7" i="9"/>
  <c r="L6" i="9"/>
  <c r="L5" i="9"/>
  <c r="L4" i="9"/>
  <c r="K8" i="9" l="1"/>
  <c r="K7" i="9"/>
  <c r="K6" i="9"/>
  <c r="K5" i="9"/>
  <c r="K4" i="9"/>
  <c r="AV16" i="16" l="1"/>
  <c r="AU16" i="16"/>
  <c r="AH16" i="16"/>
  <c r="AG16" i="16"/>
  <c r="AE16" i="16"/>
  <c r="AC16" i="16"/>
  <c r="AV15" i="16"/>
  <c r="AU15" i="16"/>
  <c r="AJ15" i="16"/>
  <c r="AI15" i="16"/>
  <c r="AH15" i="16"/>
  <c r="AG15" i="16"/>
  <c r="AE15" i="16"/>
  <c r="S15" i="16"/>
  <c r="S16" i="16" s="1"/>
  <c r="R15" i="16"/>
  <c r="R16" i="16" s="1"/>
  <c r="Q15" i="16"/>
  <c r="Q16" i="16" s="1"/>
  <c r="P15" i="16"/>
  <c r="P16" i="16" s="1"/>
  <c r="O15" i="16"/>
  <c r="O16" i="16" s="1"/>
  <c r="N15" i="16"/>
  <c r="N16" i="16" s="1"/>
  <c r="BW15" i="16"/>
  <c r="AU14" i="16"/>
  <c r="AL14" i="16"/>
  <c r="AJ14" i="16"/>
  <c r="AH14" i="16"/>
  <c r="AI55" i="16" l="1"/>
  <c r="AI58" i="16"/>
  <c r="AI56" i="16"/>
  <c r="AI57" i="16"/>
  <c r="AG56" i="16"/>
  <c r="AV56" i="16" s="1"/>
  <c r="AG57" i="16"/>
  <c r="AV57" i="16" s="1"/>
  <c r="AG55" i="16"/>
  <c r="AV55" i="16" s="1"/>
  <c r="AG58" i="16"/>
  <c r="AV58" i="16" s="1"/>
  <c r="AH56" i="16"/>
  <c r="AH58" i="16"/>
  <c r="AH57" i="16"/>
  <c r="AH55" i="16"/>
  <c r="N20" i="16"/>
  <c r="N23" i="16" s="1"/>
  <c r="P20" i="16"/>
  <c r="P23" i="16" s="1"/>
  <c r="R20" i="16"/>
  <c r="R23" i="16" s="1"/>
  <c r="O20" i="16"/>
  <c r="O23" i="16" s="1"/>
  <c r="Q20" i="16"/>
  <c r="Q23" i="16" s="1"/>
  <c r="S20" i="16"/>
  <c r="S23" i="16" s="1"/>
  <c r="S21" i="16" l="1"/>
  <c r="S24" i="16" s="1"/>
  <c r="S22" i="16"/>
  <c r="Q21" i="16"/>
  <c r="Q24" i="16" s="1"/>
  <c r="Q22" i="16"/>
  <c r="P21" i="16"/>
  <c r="P24" i="16" s="1"/>
  <c r="P22" i="16"/>
  <c r="O21" i="16"/>
  <c r="O24" i="16" s="1"/>
  <c r="O22" i="16"/>
  <c r="R21" i="16"/>
  <c r="R24" i="16" s="1"/>
  <c r="R22" i="16"/>
  <c r="N21" i="16"/>
  <c r="N24" i="16" s="1"/>
  <c r="N22" i="16"/>
  <c r="K5" i="2"/>
  <c r="B67" i="11" l="1"/>
  <c r="BI31" i="16" l="1"/>
  <c r="BI32" i="16"/>
  <c r="BI30" i="16"/>
  <c r="BI33" i="16"/>
  <c r="F14" i="9"/>
  <c r="G14" i="9" s="1"/>
  <c r="G15" i="9" s="1"/>
  <c r="F153" i="22" s="1"/>
  <c r="F4" i="9"/>
  <c r="E4" i="9"/>
  <c r="D4" i="9"/>
  <c r="BA32" i="16" l="1"/>
  <c r="AX32" i="16"/>
  <c r="BB32" i="16"/>
  <c r="AY32" i="16"/>
  <c r="AZ32" i="16"/>
  <c r="AZ33" i="16"/>
  <c r="BA33" i="16"/>
  <c r="AX33" i="16"/>
  <c r="BB33" i="16"/>
  <c r="AY33" i="16"/>
  <c r="AG33" i="16"/>
  <c r="AG32" i="16"/>
  <c r="AG31" i="16"/>
  <c r="AG30" i="16"/>
  <c r="AY30" i="16"/>
  <c r="AZ30" i="16"/>
  <c r="BA30" i="16"/>
  <c r="AX30" i="16"/>
  <c r="BB30" i="16"/>
  <c r="AG39" i="16"/>
  <c r="AV39" i="16" s="1"/>
  <c r="AX31" i="16"/>
  <c r="BB31" i="16"/>
  <c r="AY31" i="16"/>
  <c r="AZ31" i="16"/>
  <c r="BA31" i="16"/>
  <c r="I4" i="9"/>
  <c r="AI29" i="16" s="1"/>
  <c r="CM105" i="8"/>
  <c r="CM103" i="8"/>
  <c r="CM101" i="8"/>
  <c r="CM97" i="8"/>
  <c r="AI33" i="16" l="1"/>
  <c r="AI31" i="16"/>
  <c r="AI30" i="16"/>
  <c r="AI32" i="16"/>
  <c r="AV33" i="16"/>
  <c r="AV32" i="16"/>
  <c r="AV31" i="16"/>
  <c r="AV30" i="16"/>
  <c r="N4" i="9"/>
  <c r="AU29" i="16" s="1"/>
  <c r="N5" i="9"/>
  <c r="AU30" i="16" s="1"/>
  <c r="N6" i="9"/>
  <c r="AU31" i="16" s="1"/>
  <c r="N7" i="9"/>
  <c r="AU32" i="16" s="1"/>
  <c r="N8" i="9"/>
  <c r="AU33" i="16" s="1"/>
  <c r="G4" i="9"/>
  <c r="I14" i="9"/>
  <c r="F157" i="22" l="1"/>
  <c r="F155" i="22"/>
  <c r="F161" i="22"/>
  <c r="F159" i="22"/>
  <c r="AH29" i="16"/>
  <c r="F113" i="22"/>
  <c r="F123" i="22"/>
  <c r="F143" i="22"/>
  <c r="F103" i="22"/>
  <c r="F133" i="22"/>
  <c r="AI39" i="16"/>
  <c r="AH39" i="16"/>
  <c r="AH31" i="16" l="1"/>
  <c r="AH30" i="16"/>
  <c r="AH33" i="16"/>
  <c r="AH32" i="16"/>
  <c r="F147" i="22"/>
  <c r="F145" i="22"/>
  <c r="F151" i="22"/>
  <c r="F149" i="22"/>
  <c r="F141" i="22"/>
  <c r="F139" i="22"/>
  <c r="F137" i="22"/>
  <c r="F135" i="22"/>
  <c r="F121" i="22"/>
  <c r="F119" i="22"/>
  <c r="F117" i="22"/>
  <c r="F115" i="22"/>
  <c r="F131" i="22"/>
  <c r="F125" i="22"/>
  <c r="F127" i="22"/>
  <c r="F129" i="22"/>
  <c r="F111" i="22"/>
  <c r="F109" i="22"/>
  <c r="F105" i="22"/>
  <c r="F107" i="22"/>
  <c r="E15" i="2" l="1"/>
  <c r="E16" i="2"/>
  <c r="AG3" i="16" l="1"/>
  <c r="AV3" i="16"/>
  <c r="N14" i="2"/>
  <c r="N13" i="2"/>
  <c r="BT5" i="16" s="1"/>
  <c r="N18" i="2"/>
  <c r="N17" i="2"/>
  <c r="N8" i="2"/>
  <c r="K9" i="2"/>
  <c r="L9" i="2" s="1"/>
  <c r="K4" i="2"/>
  <c r="K3" i="2"/>
  <c r="E21" i="2"/>
  <c r="F21" i="2" s="1"/>
  <c r="AF3" i="16" s="1"/>
  <c r="E12" i="2"/>
  <c r="E17" i="2"/>
  <c r="AG4" i="16" l="1"/>
  <c r="AV4" i="16"/>
  <c r="AK3" i="16"/>
  <c r="CJ116" i="4" l="1"/>
  <c r="N6" i="2" l="1"/>
  <c r="AM5" i="16" l="1"/>
  <c r="N12" i="2"/>
  <c r="T8" i="2" l="1"/>
  <c r="BO48" i="16" l="1"/>
  <c r="BO8" i="16"/>
  <c r="BO7" i="16"/>
  <c r="BO5" i="16"/>
  <c r="N5" i="2" l="1"/>
  <c r="N4" i="2"/>
  <c r="N22" i="2"/>
  <c r="O22" i="2" s="1"/>
  <c r="N16" i="2"/>
  <c r="AL5" i="16" l="1"/>
  <c r="AG5" i="16"/>
  <c r="AV5" i="16"/>
  <c r="AK5" i="16"/>
  <c r="E10" i="2"/>
  <c r="E14" i="2"/>
  <c r="E11" i="2"/>
  <c r="E8" i="2"/>
  <c r="E9" i="2"/>
  <c r="AL3" i="16" l="1"/>
  <c r="BN3" i="16"/>
  <c r="AJ3" i="16"/>
  <c r="E13" i="2"/>
  <c r="AM3" i="16" l="1"/>
  <c r="T5" i="2"/>
  <c r="T4" i="2"/>
  <c r="T3" i="2"/>
  <c r="N3" i="2"/>
  <c r="AJ5" i="16" l="1"/>
  <c r="AV6" i="16"/>
  <c r="AG6" i="16"/>
  <c r="AG8" i="16" l="1"/>
  <c r="AG7" i="16"/>
  <c r="AV7" i="16"/>
  <c r="AV8" i="16"/>
  <c r="L7" i="2"/>
  <c r="L3" i="2"/>
  <c r="F43" i="22" s="1"/>
  <c r="L4" i="2"/>
  <c r="AI4" i="16" s="1"/>
  <c r="F45" i="22" l="1"/>
  <c r="F47" i="22"/>
  <c r="F49" i="22"/>
  <c r="F51" i="22"/>
  <c r="U7" i="2"/>
  <c r="U3" i="2"/>
  <c r="U4" i="2"/>
  <c r="F33" i="22" l="1"/>
  <c r="F35" i="22" s="1"/>
  <c r="AH7" i="16"/>
  <c r="AH8" i="16"/>
  <c r="AI8" i="16"/>
  <c r="AI7" i="16"/>
  <c r="O20" i="2"/>
  <c r="AF5" i="16"/>
  <c r="F39" i="22" l="1"/>
  <c r="F37" i="22"/>
  <c r="F41" i="22"/>
  <c r="AI5" i="16"/>
  <c r="O16" i="2"/>
  <c r="F16" i="2"/>
  <c r="F15" i="2"/>
  <c r="F19" i="2"/>
  <c r="O17" i="2"/>
  <c r="F3" i="22" l="1"/>
  <c r="F9" i="22" s="1"/>
  <c r="AH3" i="16"/>
  <c r="F13" i="22"/>
  <c r="F17" i="22" s="1"/>
  <c r="AH5" i="16"/>
  <c r="AI3" i="16"/>
  <c r="F5" i="22" l="1"/>
  <c r="F7" i="22"/>
  <c r="F11" i="22"/>
  <c r="F15" i="22"/>
  <c r="F19" i="22"/>
  <c r="F21"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Digital Arts, Inc.</author>
    <author>tc={D848ACB0-F665-4426-AEC8-7CC2CC7C7AD2}</author>
    <author>tc={ED8D52B3-42DE-4409-AD4D-DC14827B0DFC}</author>
    <author>tc={FD274CB9-E466-43E9-82A9-1C6623CF14D0}</author>
    <author>tc={E5A30E04-6B5F-4852-88CB-EA50627C3BF2}</author>
    <author>tc={BC611A97-A442-4EF7-905B-0353708992CF}</author>
    <author>tc={03BB8207-030D-467E-99DE-B8AB4B58B895}</author>
    <author>tc={3D8F59D5-E452-45E4-8BDF-8BC94C17C245}</author>
    <author>tc={96834C5E-35EA-4055-B4BD-12866215DA38}</author>
    <author>tc={E104A90A-A201-40BE-A346-560CC78C9659}</author>
  </authors>
  <commentList>
    <comment ref="B2" authorId="0" shapeId="0" xr:uid="{00000000-0006-0000-0D00-000001000000}">
      <text>
        <r>
          <rPr>
            <sz val="9"/>
            <color indexed="81"/>
            <rFont val="MS P ゴシック"/>
            <family val="3"/>
            <charset val="128"/>
          </rPr>
          <t>整数
iF@Cloud = "1";
iFオンプレ = "2";
iFBC = "3";
D-SPA = "4";
mF@Cloud = "5";
mFオンプレ = "6";
mFMA = "7";
FC@Cloud = "8";
FCオンプレ = "9";
Desk@Cloud = "10";</t>
        </r>
      </text>
    </comment>
    <comment ref="A3" authorId="0" shapeId="0" xr:uid="{00000000-0006-0000-0D00-000002000000}">
      <text>
        <r>
          <rPr>
            <sz val="9"/>
            <color indexed="81"/>
            <rFont val="MS P ゴシック"/>
            <family val="3"/>
            <charset val="128"/>
          </rPr>
          <t>i-FILTERオンプレ</t>
        </r>
      </text>
    </comment>
    <comment ref="A5" authorId="0" shapeId="0" xr:uid="{00000000-0006-0000-0D00-000003000000}">
      <text>
        <r>
          <rPr>
            <sz val="9"/>
            <color indexed="81"/>
            <rFont val="MS P ゴシック"/>
            <family val="3"/>
            <charset val="128"/>
          </rPr>
          <t>i-FILTERオンプレ</t>
        </r>
      </text>
    </comment>
    <comment ref="A7" authorId="0" shapeId="0" xr:uid="{00000000-0006-0000-0D00-000004000000}">
      <text>
        <r>
          <rPr>
            <sz val="9"/>
            <color indexed="81"/>
            <rFont val="MS P ゴシック"/>
            <family val="3"/>
            <charset val="128"/>
          </rPr>
          <t>i-FILTERオンプレ</t>
        </r>
      </text>
    </comment>
    <comment ref="A9" authorId="0" shapeId="0" xr:uid="{00000000-0006-0000-0D00-000005000000}">
      <text>
        <r>
          <rPr>
            <sz val="9"/>
            <color indexed="81"/>
            <rFont val="MS P ゴシック"/>
            <family val="3"/>
            <charset val="128"/>
          </rPr>
          <t>i-FILTERオンプレ</t>
        </r>
      </text>
    </comment>
    <comment ref="A11" authorId="0" shapeId="0" xr:uid="{00000000-0006-0000-0D00-000006000000}">
      <text>
        <r>
          <rPr>
            <sz val="9"/>
            <color indexed="81"/>
            <rFont val="MS P ゴシック"/>
            <family val="3"/>
            <charset val="128"/>
          </rPr>
          <t>i-FILTERオンプレ</t>
        </r>
      </text>
    </comment>
    <comment ref="A13" authorId="0" shapeId="0" xr:uid="{00000000-0006-0000-0D00-000007000000}">
      <text>
        <r>
          <rPr>
            <sz val="9"/>
            <color indexed="81"/>
            <rFont val="MS P ゴシック"/>
            <family val="3"/>
            <charset val="128"/>
          </rPr>
          <t>m-FILTERオンプレ</t>
        </r>
      </text>
    </comment>
    <comment ref="A15" authorId="0" shapeId="0" xr:uid="{00000000-0006-0000-0D00-000008000000}">
      <text>
        <r>
          <rPr>
            <sz val="9"/>
            <color indexed="81"/>
            <rFont val="MS P ゴシック"/>
            <family val="3"/>
            <charset val="128"/>
          </rPr>
          <t>m-FILTERオンプレ</t>
        </r>
      </text>
    </comment>
    <comment ref="A17" authorId="0" shapeId="0" xr:uid="{00000000-0006-0000-0D00-000009000000}">
      <text>
        <r>
          <rPr>
            <sz val="9"/>
            <color indexed="81"/>
            <rFont val="MS P ゴシック"/>
            <family val="3"/>
            <charset val="128"/>
          </rPr>
          <t>m-FILTERオンプレ</t>
        </r>
      </text>
    </comment>
    <comment ref="A19" authorId="0" shapeId="0" xr:uid="{00000000-0006-0000-0D00-00000A000000}">
      <text>
        <r>
          <rPr>
            <sz val="9"/>
            <color indexed="81"/>
            <rFont val="MS P ゴシック"/>
            <family val="3"/>
            <charset val="128"/>
          </rPr>
          <t>m-FILTERオンプレ</t>
        </r>
      </text>
    </comment>
    <comment ref="A21" authorId="0" shapeId="0" xr:uid="{00000000-0006-0000-0D00-00000B000000}">
      <text>
        <r>
          <rPr>
            <sz val="9"/>
            <color indexed="81"/>
            <rFont val="MS P ゴシック"/>
            <family val="3"/>
            <charset val="128"/>
          </rPr>
          <t>m-FILTERオンプレ</t>
        </r>
      </text>
    </comment>
    <comment ref="A23" authorId="0" shapeId="0" xr:uid="{00000000-0006-0000-0D00-00000C000000}">
      <text>
        <r>
          <rPr>
            <sz val="9"/>
            <color indexed="81"/>
            <rFont val="MS P ゴシック"/>
            <family val="3"/>
            <charset val="128"/>
          </rPr>
          <t>FinalCode VA</t>
        </r>
      </text>
    </comment>
    <comment ref="A25" authorId="0" shapeId="0" xr:uid="{00000000-0006-0000-0D00-00000D000000}">
      <text>
        <r>
          <rPr>
            <sz val="9"/>
            <color indexed="81"/>
            <rFont val="MS P ゴシック"/>
            <family val="3"/>
            <charset val="128"/>
          </rPr>
          <t>FinalCode VA</t>
        </r>
      </text>
    </comment>
    <comment ref="A27" authorId="0" shapeId="0" xr:uid="{00000000-0006-0000-0D00-00000E000000}">
      <text>
        <r>
          <rPr>
            <sz val="9"/>
            <color indexed="81"/>
            <rFont val="MS P ゴシック"/>
            <family val="3"/>
            <charset val="128"/>
          </rPr>
          <t>FinalCode VA</t>
        </r>
      </text>
    </comment>
    <comment ref="A29" authorId="0" shapeId="0" xr:uid="{00000000-0006-0000-0D00-00000F000000}">
      <text>
        <r>
          <rPr>
            <sz val="9"/>
            <color indexed="81"/>
            <rFont val="MS P ゴシック"/>
            <family val="3"/>
            <charset val="128"/>
          </rPr>
          <t>FinalCode VA</t>
        </r>
      </text>
    </comment>
    <comment ref="A31" authorId="0" shapeId="0" xr:uid="{00000000-0006-0000-0D00-000010000000}">
      <text>
        <r>
          <rPr>
            <sz val="9"/>
            <color indexed="81"/>
            <rFont val="MS P ゴシック"/>
            <family val="3"/>
            <charset val="128"/>
          </rPr>
          <t>FinalCode VA</t>
        </r>
      </text>
    </comment>
    <comment ref="A33" authorId="0" shapeId="0" xr:uid="{00000000-0006-0000-0D00-000011000000}">
      <text>
        <r>
          <rPr>
            <sz val="9"/>
            <color indexed="81"/>
            <rFont val="MS P ゴシック"/>
            <family val="3"/>
            <charset val="128"/>
          </rPr>
          <t>MailAdviser</t>
        </r>
      </text>
    </comment>
    <comment ref="A35" authorId="0" shapeId="0" xr:uid="{00000000-0006-0000-0D00-000012000000}">
      <text>
        <r>
          <rPr>
            <sz val="9"/>
            <color indexed="81"/>
            <rFont val="MS P ゴシック"/>
            <family val="3"/>
            <charset val="128"/>
          </rPr>
          <t>MailAdviser</t>
        </r>
      </text>
    </comment>
    <comment ref="A37" authorId="0" shapeId="0" xr:uid="{00000000-0006-0000-0D00-000013000000}">
      <text>
        <r>
          <rPr>
            <sz val="9"/>
            <color indexed="81"/>
            <rFont val="MS P ゴシック"/>
            <family val="3"/>
            <charset val="128"/>
          </rPr>
          <t>MailAdviser</t>
        </r>
      </text>
    </comment>
    <comment ref="A39" authorId="0" shapeId="0" xr:uid="{00000000-0006-0000-0D00-000014000000}">
      <text>
        <r>
          <rPr>
            <sz val="9"/>
            <color indexed="81"/>
            <rFont val="MS P ゴシック"/>
            <family val="3"/>
            <charset val="128"/>
          </rPr>
          <t>MailAdviser</t>
        </r>
      </text>
    </comment>
    <comment ref="A41" authorId="0" shapeId="0" xr:uid="{00000000-0006-0000-0D00-000015000000}">
      <text>
        <r>
          <rPr>
            <sz val="9"/>
            <color indexed="81"/>
            <rFont val="MS P ゴシック"/>
            <family val="3"/>
            <charset val="128"/>
          </rPr>
          <t>MailAdviser</t>
        </r>
      </text>
    </comment>
    <comment ref="B42" authorId="0" shapeId="0" xr:uid="{00000000-0006-0000-0D00-000016000000}">
      <text>
        <r>
          <rPr>
            <sz val="9"/>
            <color indexed="81"/>
            <rFont val="MS P ゴシック"/>
            <family val="3"/>
            <charset val="128"/>
          </rPr>
          <t>整数
iF@Cloud = "1";
iFオンプレ = "2";
iFBC = "3";
D-SPA = "4";
mF@Cloud = "5";
mFオンプレ = "6";
mFMA = "7";
FC@Cloud = "8";
FCオンプレ = "9";
Desk@Cloud = "10";</t>
        </r>
      </text>
    </comment>
    <comment ref="A43" authorId="0" shapeId="0" xr:uid="{00000000-0006-0000-0D00-000017000000}">
      <text>
        <r>
          <rPr>
            <sz val="9"/>
            <color indexed="81"/>
            <rFont val="MS P ゴシック"/>
            <family val="3"/>
            <charset val="128"/>
          </rPr>
          <t>iFBC</t>
        </r>
      </text>
    </comment>
    <comment ref="A45" authorId="0" shapeId="0" xr:uid="{00000000-0006-0000-0D00-000018000000}">
      <text>
        <r>
          <rPr>
            <sz val="9"/>
            <color indexed="81"/>
            <rFont val="MS P ゴシック"/>
            <family val="3"/>
            <charset val="128"/>
          </rPr>
          <t>iFBC</t>
        </r>
      </text>
    </comment>
    <comment ref="A47" authorId="0" shapeId="0" xr:uid="{00000000-0006-0000-0D00-000019000000}">
      <text>
        <r>
          <rPr>
            <sz val="9"/>
            <color indexed="81"/>
            <rFont val="MS P ゴシック"/>
            <family val="3"/>
            <charset val="128"/>
          </rPr>
          <t>iFBC</t>
        </r>
      </text>
    </comment>
    <comment ref="A49" authorId="0" shapeId="0" xr:uid="{00000000-0006-0000-0D00-00001A000000}">
      <text>
        <r>
          <rPr>
            <sz val="9"/>
            <color indexed="81"/>
            <rFont val="MS P ゴシック"/>
            <family val="3"/>
            <charset val="128"/>
          </rPr>
          <t>iFBC</t>
        </r>
      </text>
    </comment>
    <comment ref="A51" authorId="0" shapeId="0" xr:uid="{00000000-0006-0000-0D00-00001B000000}">
      <text>
        <r>
          <rPr>
            <sz val="9"/>
            <color indexed="81"/>
            <rFont val="MS P ゴシック"/>
            <family val="3"/>
            <charset val="128"/>
          </rPr>
          <t>iFBC</t>
        </r>
      </text>
    </comment>
    <comment ref="B52" authorId="0" shapeId="0" xr:uid="{00000000-0006-0000-0D00-00001C000000}">
      <text>
        <r>
          <rPr>
            <sz val="9"/>
            <color indexed="81"/>
            <rFont val="MS P ゴシック"/>
            <family val="3"/>
            <charset val="128"/>
          </rPr>
          <t>整数
iF@Cloud = "1";
iFオンプレ = "2";
iFBC = "3";
D-SPA = "4";
mF@Cloud = "5";
mFオンプレ = "6";
mFMA = "7";
FC@Cloud = "8";
FCオンプレ = "9";
Desk@Cloud = "10";</t>
        </r>
      </text>
    </comment>
    <comment ref="A53" authorId="0" shapeId="0" xr:uid="{00000000-0006-0000-0D00-00001D000000}">
      <text>
        <r>
          <rPr>
            <sz val="9"/>
            <color indexed="81"/>
            <rFont val="MS P ゴシック"/>
            <family val="3"/>
            <charset val="128"/>
          </rPr>
          <t>iF@Cloud</t>
        </r>
      </text>
    </comment>
    <comment ref="A55" authorId="0" shapeId="0" xr:uid="{00000000-0006-0000-0D00-00001E000000}">
      <text>
        <r>
          <rPr>
            <sz val="9"/>
            <color indexed="81"/>
            <rFont val="MS P ゴシック"/>
            <family val="3"/>
            <charset val="128"/>
          </rPr>
          <t>iF@Cloud</t>
        </r>
      </text>
    </comment>
    <comment ref="A57" authorId="0" shapeId="0" xr:uid="{00000000-0006-0000-0D00-00001F000000}">
      <text>
        <r>
          <rPr>
            <sz val="9"/>
            <color indexed="81"/>
            <rFont val="MS P ゴシック"/>
            <family val="3"/>
            <charset val="128"/>
          </rPr>
          <t>iF@Cloud</t>
        </r>
      </text>
    </comment>
    <comment ref="A59" authorId="0" shapeId="0" xr:uid="{00000000-0006-0000-0D00-000020000000}">
      <text>
        <r>
          <rPr>
            <sz val="9"/>
            <color indexed="81"/>
            <rFont val="MS P ゴシック"/>
            <family val="3"/>
            <charset val="128"/>
          </rPr>
          <t>iF@Cloud</t>
        </r>
      </text>
    </comment>
    <comment ref="A61" authorId="0" shapeId="0" xr:uid="{00000000-0006-0000-0D00-000021000000}">
      <text>
        <r>
          <rPr>
            <sz val="9"/>
            <color indexed="81"/>
            <rFont val="MS P ゴシック"/>
            <family val="3"/>
            <charset val="128"/>
          </rPr>
          <t>iF@Cloud</t>
        </r>
      </text>
    </comment>
    <comment ref="A63" authorId="0" shapeId="0" xr:uid="{00000000-0006-0000-0D00-000022000000}">
      <text>
        <r>
          <rPr>
            <sz val="9"/>
            <color indexed="81"/>
            <rFont val="MS P ゴシック"/>
            <family val="3"/>
            <charset val="128"/>
          </rPr>
          <t>mF@Cloud</t>
        </r>
      </text>
    </comment>
    <comment ref="A65" authorId="0" shapeId="0" xr:uid="{00000000-0006-0000-0D00-000023000000}">
      <text>
        <r>
          <rPr>
            <sz val="9"/>
            <color indexed="81"/>
            <rFont val="MS P ゴシック"/>
            <family val="3"/>
            <charset val="128"/>
          </rPr>
          <t>mF@Cloud</t>
        </r>
      </text>
    </comment>
    <comment ref="A67" authorId="0" shapeId="0" xr:uid="{00000000-0006-0000-0D00-000024000000}">
      <text>
        <r>
          <rPr>
            <sz val="9"/>
            <color indexed="81"/>
            <rFont val="MS P ゴシック"/>
            <family val="3"/>
            <charset val="128"/>
          </rPr>
          <t>mF@Cloud</t>
        </r>
      </text>
    </comment>
    <comment ref="A69" authorId="0" shapeId="0" xr:uid="{00000000-0006-0000-0D00-000025000000}">
      <text>
        <r>
          <rPr>
            <sz val="9"/>
            <color indexed="81"/>
            <rFont val="MS P ゴシック"/>
            <family val="3"/>
            <charset val="128"/>
          </rPr>
          <t>mF@Cloud</t>
        </r>
      </text>
    </comment>
    <comment ref="A71" authorId="0" shapeId="0" xr:uid="{00000000-0006-0000-0D00-000026000000}">
      <text>
        <r>
          <rPr>
            <sz val="9"/>
            <color indexed="81"/>
            <rFont val="MS P ゴシック"/>
            <family val="3"/>
            <charset val="128"/>
          </rPr>
          <t>mF@Cloud</t>
        </r>
      </text>
    </comment>
    <comment ref="A73" authorId="0" shapeId="0" xr:uid="{00000000-0006-0000-0D00-000027000000}">
      <text>
        <r>
          <rPr>
            <sz val="9"/>
            <color indexed="81"/>
            <rFont val="MS P ゴシック"/>
            <family val="3"/>
            <charset val="128"/>
          </rPr>
          <t>FinalCode＠Cloud</t>
        </r>
      </text>
    </comment>
    <comment ref="A75" authorId="0" shapeId="0" xr:uid="{00000000-0006-0000-0D00-000028000000}">
      <text>
        <r>
          <rPr>
            <sz val="9"/>
            <color indexed="81"/>
            <rFont val="MS P ゴシック"/>
            <family val="3"/>
            <charset val="128"/>
          </rPr>
          <t>FinalCode＠Cloud</t>
        </r>
      </text>
    </comment>
    <comment ref="A77" authorId="0" shapeId="0" xr:uid="{00000000-0006-0000-0D00-000029000000}">
      <text>
        <r>
          <rPr>
            <sz val="9"/>
            <color indexed="81"/>
            <rFont val="MS P ゴシック"/>
            <family val="3"/>
            <charset val="128"/>
          </rPr>
          <t>FinalCode＠Cloud</t>
        </r>
      </text>
    </comment>
    <comment ref="A79" authorId="0" shapeId="0" xr:uid="{00000000-0006-0000-0D00-00002A000000}">
      <text>
        <r>
          <rPr>
            <sz val="9"/>
            <color indexed="81"/>
            <rFont val="MS P ゴシック"/>
            <family val="3"/>
            <charset val="128"/>
          </rPr>
          <t>FinalCode＠Cloud</t>
        </r>
      </text>
    </comment>
    <comment ref="A81" authorId="0" shapeId="0" xr:uid="{00000000-0006-0000-0D00-00002B000000}">
      <text>
        <r>
          <rPr>
            <sz val="9"/>
            <color indexed="81"/>
            <rFont val="MS P ゴシック"/>
            <family val="3"/>
            <charset val="128"/>
          </rPr>
          <t>FinalCode＠Cloud</t>
        </r>
      </text>
    </comment>
    <comment ref="B82" authorId="0" shapeId="0" xr:uid="{00000000-0006-0000-0D00-00002C000000}">
      <text>
        <r>
          <rPr>
            <sz val="9"/>
            <color indexed="81"/>
            <rFont val="MS P ゴシック"/>
            <family val="3"/>
            <charset val="128"/>
          </rPr>
          <t>整数
iF@Cloud = "1";
iFオンプレ = "2";
iFBC = "3";
D-SPA = "4";
mF@Cloud = "5";
mFオンプレ = "6";
mFMA = "7";
FC@Cloud = "8";
FCオンプレ = "9";
Desk@Cloud = "10";</t>
        </r>
      </text>
    </comment>
    <comment ref="A83" authorId="0" shapeId="0" xr:uid="{00000000-0006-0000-0D00-00002D000000}">
      <text>
        <r>
          <rPr>
            <sz val="9"/>
            <color indexed="81"/>
            <rFont val="MS P ゴシック"/>
            <family val="3"/>
            <charset val="128"/>
          </rPr>
          <t>Desk</t>
        </r>
      </text>
    </comment>
    <comment ref="AY83" authorId="1" shapeId="0" xr:uid="{00000000-0006-0000-0D00-00002E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100倍した後の値を渡す</t>
      </text>
    </comment>
    <comment ref="A85" authorId="0" shapeId="0" xr:uid="{00000000-0006-0000-0D00-00002F000000}">
      <text>
        <r>
          <rPr>
            <sz val="9"/>
            <color indexed="81"/>
            <rFont val="MS P ゴシック"/>
            <family val="3"/>
            <charset val="128"/>
          </rPr>
          <t>Desk</t>
        </r>
      </text>
    </comment>
    <comment ref="A87" authorId="0" shapeId="0" xr:uid="{00000000-0006-0000-0D00-000030000000}">
      <text>
        <r>
          <rPr>
            <sz val="9"/>
            <color indexed="81"/>
            <rFont val="MS P ゴシック"/>
            <family val="3"/>
            <charset val="128"/>
          </rPr>
          <t>Desk</t>
        </r>
      </text>
    </comment>
    <comment ref="A89" authorId="0" shapeId="0" xr:uid="{00000000-0006-0000-0D00-000031000000}">
      <text>
        <r>
          <rPr>
            <sz val="9"/>
            <color indexed="81"/>
            <rFont val="MS P ゴシック"/>
            <family val="3"/>
            <charset val="128"/>
          </rPr>
          <t>Desk</t>
        </r>
      </text>
    </comment>
    <comment ref="A91" authorId="0" shapeId="0" xr:uid="{00000000-0006-0000-0D00-000032000000}">
      <text>
        <r>
          <rPr>
            <sz val="9"/>
            <color indexed="81"/>
            <rFont val="MS P ゴシック"/>
            <family val="3"/>
            <charset val="128"/>
          </rPr>
          <t>Desk</t>
        </r>
      </text>
    </comment>
    <comment ref="B92" authorId="0" shapeId="0" xr:uid="{00000000-0006-0000-0D00-000033000000}">
      <text>
        <r>
          <rPr>
            <sz val="9"/>
            <color indexed="81"/>
            <rFont val="MS P ゴシック"/>
            <family val="3"/>
            <charset val="128"/>
          </rPr>
          <t>整数
iF@Cloud = "1";
iFオンプレ = "2";
iFBC = "3";
D-SPA = "4";
mF@Cloud = "5";
mFオンプレ = "6";
mFMA = "7";
FC@Cloud = "8";
FCオンプレ = "9";
Desk@Cloud = "10";</t>
        </r>
      </text>
    </comment>
    <comment ref="A93" authorId="0" shapeId="0" xr:uid="{00000000-0006-0000-0D00-000034000000}">
      <text>
        <r>
          <rPr>
            <sz val="9"/>
            <color indexed="81"/>
            <rFont val="MS P ゴシック"/>
            <family val="3"/>
            <charset val="128"/>
          </rPr>
          <t>Desk Event</t>
        </r>
      </text>
    </comment>
    <comment ref="I93" authorId="2" shapeId="0" xr:uid="{00000000-0006-0000-0D00-000035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Webinar試用版の有無で最後に直す
一旦試用版あり、試用版潰したら関数変わるため注意</t>
      </text>
    </comment>
    <comment ref="M93" authorId="3" shapeId="0" xr:uid="{00000000-0006-0000-0D00-000036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Webinar試用版の有無で最後に直す
一旦試用版あり、試用版潰したら関数変わるため注意
⇒試用版なしのため変更
</t>
      </text>
    </comment>
    <comment ref="N93" authorId="4" shapeId="0" xr:uid="{00000000-0006-0000-0D00-000037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試用版なしのため変更</t>
      </text>
    </comment>
    <comment ref="AK93" authorId="5" shapeId="0" xr:uid="{00000000-0006-0000-0D00-000038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試用版なし</t>
      </text>
    </comment>
    <comment ref="AV93" authorId="6" shapeId="0" xr:uid="{00000000-0006-0000-0D00-000039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【保屋松さん確認】
・期間延長の最大はいくつか？
※項目上Max11か月しか入らない
【作業メモ】
取り込みエラーが出たら中間シートに処理して値だけ渡す</t>
      </text>
    </comment>
    <comment ref="AX93" authorId="7" shapeId="0" xr:uid="{00000000-0006-0000-0D00-00003A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【井出さん確認】
Webinarアーカイブについて渡す値は
・入力された数字そのまま
・入力＊100された数値
か確認</t>
      </text>
    </comment>
    <comment ref="A95" authorId="0" shapeId="0" xr:uid="{00000000-0006-0000-0D00-00003B000000}">
      <text>
        <r>
          <rPr>
            <sz val="9"/>
            <color indexed="81"/>
            <rFont val="MS P ゴシック"/>
            <family val="3"/>
            <charset val="128"/>
          </rPr>
          <t>Desk Event</t>
        </r>
      </text>
    </comment>
    <comment ref="A97" authorId="0" shapeId="0" xr:uid="{00000000-0006-0000-0D00-00003C000000}">
      <text>
        <r>
          <rPr>
            <sz val="9"/>
            <color indexed="81"/>
            <rFont val="MS P ゴシック"/>
            <family val="3"/>
            <charset val="128"/>
          </rPr>
          <t>Desk Event</t>
        </r>
      </text>
    </comment>
    <comment ref="A99" authorId="0" shapeId="0" xr:uid="{00000000-0006-0000-0D00-00003D000000}">
      <text>
        <r>
          <rPr>
            <sz val="9"/>
            <color indexed="81"/>
            <rFont val="MS P ゴシック"/>
            <family val="3"/>
            <charset val="128"/>
          </rPr>
          <t>Desk Event</t>
        </r>
      </text>
    </comment>
    <comment ref="A101" authorId="0" shapeId="0" xr:uid="{00000000-0006-0000-0D00-00003E000000}">
      <text>
        <r>
          <rPr>
            <sz val="9"/>
            <color indexed="81"/>
            <rFont val="MS P ゴシック"/>
            <family val="3"/>
            <charset val="128"/>
          </rPr>
          <t>Desk Event</t>
        </r>
      </text>
    </comment>
    <comment ref="B102" authorId="0" shapeId="0" xr:uid="{00000000-0006-0000-0D00-00003F000000}">
      <text>
        <r>
          <rPr>
            <sz val="9"/>
            <color indexed="81"/>
            <rFont val="MS P ゴシック"/>
            <family val="3"/>
            <charset val="128"/>
          </rPr>
          <t>整数
iF@Cloud = "1";
iFオンプレ = "2";
iFBC = "3";
D-SPA = "4";
mF@Cloud = "5";
mFオンプレ = "6";
mFMA = "7";
FC@Cloud = "8";
FCオンプレ = "9";
Desk@Cloud = "10";</t>
        </r>
      </text>
    </comment>
    <comment ref="A103" authorId="0" shapeId="0" xr:uid="{00000000-0006-0000-0D00-000040000000}">
      <text>
        <r>
          <rPr>
            <sz val="9"/>
            <color indexed="81"/>
            <rFont val="MS P ゴシック"/>
            <family val="3"/>
            <charset val="128"/>
          </rPr>
          <t>D-SPA(1)</t>
        </r>
      </text>
    </comment>
    <comment ref="A105" authorId="0" shapeId="0" xr:uid="{00000000-0006-0000-0D00-000041000000}">
      <text>
        <r>
          <rPr>
            <sz val="9"/>
            <color indexed="81"/>
            <rFont val="MS P ゴシック"/>
            <family val="3"/>
            <charset val="128"/>
          </rPr>
          <t>D-SPA(1)</t>
        </r>
      </text>
    </comment>
    <comment ref="A107" authorId="0" shapeId="0" xr:uid="{00000000-0006-0000-0D00-000042000000}">
      <text>
        <r>
          <rPr>
            <sz val="9"/>
            <color indexed="81"/>
            <rFont val="MS P ゴシック"/>
            <family val="3"/>
            <charset val="128"/>
          </rPr>
          <t>D-SPA(1)</t>
        </r>
      </text>
    </comment>
    <comment ref="A109" authorId="0" shapeId="0" xr:uid="{00000000-0006-0000-0D00-000043000000}">
      <text>
        <r>
          <rPr>
            <sz val="9"/>
            <color indexed="81"/>
            <rFont val="MS P ゴシック"/>
            <family val="3"/>
            <charset val="128"/>
          </rPr>
          <t>D-SPA(1)</t>
        </r>
      </text>
    </comment>
    <comment ref="A111" authorId="0" shapeId="0" xr:uid="{00000000-0006-0000-0D00-000044000000}">
      <text>
        <r>
          <rPr>
            <sz val="9"/>
            <color indexed="81"/>
            <rFont val="MS P ゴシック"/>
            <family val="3"/>
            <charset val="128"/>
          </rPr>
          <t>D-SPA(1)</t>
        </r>
      </text>
    </comment>
    <comment ref="A113" authorId="0" shapeId="0" xr:uid="{00000000-0006-0000-0D00-000045000000}">
      <text>
        <r>
          <rPr>
            <sz val="9"/>
            <color indexed="81"/>
            <rFont val="MS P ゴシック"/>
            <family val="3"/>
            <charset val="128"/>
          </rPr>
          <t>D-SPA(2)</t>
        </r>
      </text>
    </comment>
    <comment ref="A115" authorId="0" shapeId="0" xr:uid="{00000000-0006-0000-0D00-000046000000}">
      <text>
        <r>
          <rPr>
            <sz val="9"/>
            <color indexed="81"/>
            <rFont val="MS P ゴシック"/>
            <family val="3"/>
            <charset val="128"/>
          </rPr>
          <t>D-SPA(2)</t>
        </r>
      </text>
    </comment>
    <comment ref="A117" authorId="0" shapeId="0" xr:uid="{00000000-0006-0000-0D00-000047000000}">
      <text>
        <r>
          <rPr>
            <sz val="9"/>
            <color indexed="81"/>
            <rFont val="MS P ゴシック"/>
            <family val="3"/>
            <charset val="128"/>
          </rPr>
          <t>D-SPA(2)</t>
        </r>
      </text>
    </comment>
    <comment ref="A119" authorId="0" shapeId="0" xr:uid="{00000000-0006-0000-0D00-000048000000}">
      <text>
        <r>
          <rPr>
            <sz val="9"/>
            <color indexed="81"/>
            <rFont val="MS P ゴシック"/>
            <family val="3"/>
            <charset val="128"/>
          </rPr>
          <t>D-SPA(2)</t>
        </r>
      </text>
    </comment>
    <comment ref="A121" authorId="0" shapeId="0" xr:uid="{00000000-0006-0000-0D00-000049000000}">
      <text>
        <r>
          <rPr>
            <sz val="9"/>
            <color indexed="81"/>
            <rFont val="MS P ゴシック"/>
            <family val="3"/>
            <charset val="128"/>
          </rPr>
          <t>D-SPA(2)</t>
        </r>
      </text>
    </comment>
    <comment ref="A123" authorId="0" shapeId="0" xr:uid="{00000000-0006-0000-0D00-00004A000000}">
      <text>
        <r>
          <rPr>
            <sz val="9"/>
            <color indexed="81"/>
            <rFont val="MS P ゴシック"/>
            <family val="3"/>
            <charset val="128"/>
          </rPr>
          <t>D-SPA(3)</t>
        </r>
      </text>
    </comment>
    <comment ref="A125" authorId="0" shapeId="0" xr:uid="{00000000-0006-0000-0D00-00004B000000}">
      <text>
        <r>
          <rPr>
            <sz val="9"/>
            <color indexed="81"/>
            <rFont val="MS P ゴシック"/>
            <family val="3"/>
            <charset val="128"/>
          </rPr>
          <t>D-SPA(3)</t>
        </r>
      </text>
    </comment>
    <comment ref="A127" authorId="0" shapeId="0" xr:uid="{00000000-0006-0000-0D00-00004C000000}">
      <text>
        <r>
          <rPr>
            <sz val="9"/>
            <color indexed="81"/>
            <rFont val="MS P ゴシック"/>
            <family val="3"/>
            <charset val="128"/>
          </rPr>
          <t>D-SPA(3)</t>
        </r>
      </text>
    </comment>
    <comment ref="A129" authorId="0" shapeId="0" xr:uid="{00000000-0006-0000-0D00-00004D000000}">
      <text>
        <r>
          <rPr>
            <sz val="9"/>
            <color indexed="81"/>
            <rFont val="MS P ゴシック"/>
            <family val="3"/>
            <charset val="128"/>
          </rPr>
          <t>D-SPA(3)</t>
        </r>
      </text>
    </comment>
    <comment ref="A131" authorId="0" shapeId="0" xr:uid="{00000000-0006-0000-0D00-00004E000000}">
      <text>
        <r>
          <rPr>
            <sz val="9"/>
            <color indexed="81"/>
            <rFont val="MS P ゴシック"/>
            <family val="3"/>
            <charset val="128"/>
          </rPr>
          <t>D-SPA(3)</t>
        </r>
      </text>
    </comment>
    <comment ref="A133" authorId="0" shapeId="0" xr:uid="{00000000-0006-0000-0D00-00004F000000}">
      <text>
        <r>
          <rPr>
            <sz val="9"/>
            <color indexed="81"/>
            <rFont val="MS P ゴシック"/>
            <family val="3"/>
            <charset val="128"/>
          </rPr>
          <t>D-SPA(4)</t>
        </r>
      </text>
    </comment>
    <comment ref="A135" authorId="0" shapeId="0" xr:uid="{00000000-0006-0000-0D00-000050000000}">
      <text>
        <r>
          <rPr>
            <sz val="9"/>
            <color indexed="81"/>
            <rFont val="MS P ゴシック"/>
            <family val="3"/>
            <charset val="128"/>
          </rPr>
          <t>D-SPA(4)</t>
        </r>
      </text>
    </comment>
    <comment ref="A137" authorId="0" shapeId="0" xr:uid="{00000000-0006-0000-0D00-000051000000}">
      <text>
        <r>
          <rPr>
            <sz val="9"/>
            <color indexed="81"/>
            <rFont val="MS P ゴシック"/>
            <family val="3"/>
            <charset val="128"/>
          </rPr>
          <t>D-SPA(4)</t>
        </r>
      </text>
    </comment>
    <comment ref="A139" authorId="0" shapeId="0" xr:uid="{00000000-0006-0000-0D00-000052000000}">
      <text>
        <r>
          <rPr>
            <sz val="9"/>
            <color indexed="81"/>
            <rFont val="MS P ゴシック"/>
            <family val="3"/>
            <charset val="128"/>
          </rPr>
          <t>D-SPA(4)</t>
        </r>
      </text>
    </comment>
    <comment ref="A141" authorId="0" shapeId="0" xr:uid="{00000000-0006-0000-0D00-000053000000}">
      <text>
        <r>
          <rPr>
            <sz val="9"/>
            <color indexed="81"/>
            <rFont val="MS P ゴシック"/>
            <family val="3"/>
            <charset val="128"/>
          </rPr>
          <t>D-SPA(4)</t>
        </r>
      </text>
    </comment>
    <comment ref="B142" authorId="0" shapeId="0" xr:uid="{00000000-0006-0000-0D00-000054000000}">
      <text>
        <r>
          <rPr>
            <sz val="9"/>
            <color indexed="81"/>
            <rFont val="MS P ゴシック"/>
            <family val="3"/>
            <charset val="128"/>
          </rPr>
          <t>整数
iF@Cloud = "1";
iFオンプレ = "2";
iFBC = "3";
D-SPA = "4";
mF@Cloud = "5";
mFオンプレ = "6";
mFMA = "7";
FC@Cloud = "8";
FCオンプレ = "9";
Desk@Cloud = "10";</t>
        </r>
      </text>
    </comment>
    <comment ref="A143" authorId="0" shapeId="0" xr:uid="{00000000-0006-0000-0D00-000055000000}">
      <text>
        <r>
          <rPr>
            <sz val="9"/>
            <color indexed="81"/>
            <rFont val="MS P ゴシック"/>
            <family val="3"/>
            <charset val="128"/>
          </rPr>
          <t>D-SPA(5)</t>
        </r>
      </text>
    </comment>
    <comment ref="A145" authorId="0" shapeId="0" xr:uid="{00000000-0006-0000-0D00-000056000000}">
      <text>
        <r>
          <rPr>
            <sz val="9"/>
            <color indexed="81"/>
            <rFont val="MS P ゴシック"/>
            <family val="3"/>
            <charset val="128"/>
          </rPr>
          <t>D-SPA(5)</t>
        </r>
      </text>
    </comment>
    <comment ref="A147" authorId="0" shapeId="0" xr:uid="{00000000-0006-0000-0D00-000057000000}">
      <text>
        <r>
          <rPr>
            <sz val="9"/>
            <color indexed="81"/>
            <rFont val="MS P ゴシック"/>
            <family val="3"/>
            <charset val="128"/>
          </rPr>
          <t>D-SPA(5)</t>
        </r>
      </text>
    </comment>
    <comment ref="A149" authorId="0" shapeId="0" xr:uid="{00000000-0006-0000-0D00-000058000000}">
      <text>
        <r>
          <rPr>
            <sz val="9"/>
            <color indexed="81"/>
            <rFont val="MS P ゴシック"/>
            <family val="3"/>
            <charset val="128"/>
          </rPr>
          <t>D-SPA(5)</t>
        </r>
      </text>
    </comment>
    <comment ref="A151" authorId="0" shapeId="0" xr:uid="{00000000-0006-0000-0D00-000059000000}">
      <text>
        <r>
          <rPr>
            <sz val="9"/>
            <color indexed="81"/>
            <rFont val="MS P ゴシック"/>
            <family val="3"/>
            <charset val="128"/>
          </rPr>
          <t>D-SPA(5)</t>
        </r>
      </text>
    </comment>
    <comment ref="B152" authorId="0" shapeId="0" xr:uid="{00000000-0006-0000-0D00-00005A000000}">
      <text>
        <r>
          <rPr>
            <sz val="9"/>
            <color indexed="81"/>
            <rFont val="MS P ゴシック"/>
            <family val="3"/>
            <charset val="128"/>
          </rPr>
          <t>整数
iF@Cloud = "1";
iFオンプレ = "2";
iFBC = "3";
D-SPA = "4";
mF@Cloud = "5";
mFオンプレ = "6";
mFMA = "7";
FC@Cloud = "8";
FCオンプレ = "9";
Desk@Cloud = "10";</t>
        </r>
      </text>
    </comment>
    <comment ref="A153" authorId="0" shapeId="0" xr:uid="{00000000-0006-0000-0D00-00005B000000}">
      <text>
        <r>
          <rPr>
            <sz val="9"/>
            <color indexed="81"/>
            <rFont val="MS P ゴシック"/>
            <family val="3"/>
            <charset val="128"/>
          </rPr>
          <t>D-SPA(SWOP)</t>
        </r>
      </text>
    </comment>
    <comment ref="B154" authorId="0" shapeId="0" xr:uid="{00000000-0006-0000-0D00-00005C000000}">
      <text>
        <r>
          <rPr>
            <sz val="9"/>
            <color indexed="81"/>
            <rFont val="MS P ゴシック"/>
            <family val="3"/>
            <charset val="128"/>
          </rPr>
          <t>整数
iF@Cloud = "1";
iFオンプレ = "2";
iFBC = "3";
D-SPA = "4";
mF@Cloud = "5";
mFオンプレ = "6";
mFMA = "7";
FC@Cloud = "8";
FCオンプレ = "9";
Desk@Cloud = "10";</t>
        </r>
      </text>
    </comment>
    <comment ref="A155" authorId="0" shapeId="0" xr:uid="{00000000-0006-0000-0D00-00005D000000}">
      <text>
        <r>
          <rPr>
            <sz val="9"/>
            <color indexed="81"/>
            <rFont val="MS P ゴシック"/>
            <family val="3"/>
            <charset val="128"/>
          </rPr>
          <t>D-SPA(SWOP)</t>
        </r>
      </text>
    </comment>
    <comment ref="B156" authorId="0" shapeId="0" xr:uid="{00000000-0006-0000-0D00-00005E000000}">
      <text>
        <r>
          <rPr>
            <sz val="9"/>
            <color indexed="81"/>
            <rFont val="MS P ゴシック"/>
            <family val="3"/>
            <charset val="128"/>
          </rPr>
          <t>整数
iF@Cloud = "1";
iFオンプレ = "2";
iFBC = "3";
D-SPA = "4";
mF@Cloud = "5";
mFオンプレ = "6";
mFMA = "7";
FC@Cloud = "8";
FCオンプレ = "9";
Desk@Cloud = "10";</t>
        </r>
      </text>
    </comment>
    <comment ref="A157" authorId="0" shapeId="0" xr:uid="{00000000-0006-0000-0D00-00005F000000}">
      <text>
        <r>
          <rPr>
            <sz val="9"/>
            <color indexed="81"/>
            <rFont val="MS P ゴシック"/>
            <family val="3"/>
            <charset val="128"/>
          </rPr>
          <t>D-SPA(SWOP)</t>
        </r>
      </text>
    </comment>
    <comment ref="B158" authorId="0" shapeId="0" xr:uid="{00000000-0006-0000-0D00-000060000000}">
      <text>
        <r>
          <rPr>
            <sz val="9"/>
            <color indexed="81"/>
            <rFont val="MS P ゴシック"/>
            <family val="3"/>
            <charset val="128"/>
          </rPr>
          <t>整数
iF@Cloud = "1";
iFオンプレ = "2";
iFBC = "3";
D-SPA = "4";
mF@Cloud = "5";
mFオンプレ = "6";
mFMA = "7";
FC@Cloud = "8";
FCオンプレ = "9";
Desk@Cloud = "10";</t>
        </r>
      </text>
    </comment>
    <comment ref="A159" authorId="0" shapeId="0" xr:uid="{00000000-0006-0000-0D00-000061000000}">
      <text>
        <r>
          <rPr>
            <sz val="9"/>
            <color indexed="81"/>
            <rFont val="MS P ゴシック"/>
            <family val="3"/>
            <charset val="128"/>
          </rPr>
          <t>D-SPA(SWOP)</t>
        </r>
      </text>
    </comment>
    <comment ref="B160" authorId="0" shapeId="0" xr:uid="{00000000-0006-0000-0D00-000062000000}">
      <text>
        <r>
          <rPr>
            <sz val="9"/>
            <color indexed="81"/>
            <rFont val="MS P ゴシック"/>
            <family val="3"/>
            <charset val="128"/>
          </rPr>
          <t>整数
iF@Cloud = "1";
iFオンプレ = "2";
iFBC = "3";
D-SPA = "4";
mF@Cloud = "5";
mFオンプレ = "6";
mFMA = "7";
FC@Cloud = "8";
FCオンプレ = "9";
Desk@Cloud = "10";</t>
        </r>
      </text>
    </comment>
    <comment ref="A161" authorId="0" shapeId="0" xr:uid="{00000000-0006-0000-0D00-000063000000}">
      <text>
        <r>
          <rPr>
            <sz val="9"/>
            <color indexed="81"/>
            <rFont val="MS P ゴシック"/>
            <family val="3"/>
            <charset val="128"/>
          </rPr>
          <t>D-SPA(SWOP)</t>
        </r>
      </text>
    </comment>
    <comment ref="B162" authorId="0" shapeId="0" xr:uid="{00000000-0006-0000-0D00-000064000000}">
      <text>
        <r>
          <rPr>
            <sz val="9"/>
            <color indexed="81"/>
            <rFont val="MS P ゴシック"/>
            <family val="3"/>
            <charset val="128"/>
          </rPr>
          <t>整数
iF@Cloud = "1";
iFオンプレ = "2";
iFBC = "3";
D-SPA = "4";
mF@Cloud = "5";
mFオンプレ = "6";
mFMA = "7";
FC@Cloud = "8";
FCオンプレ = "9";
Desk@Cloud = "10";</t>
        </r>
      </text>
    </comment>
    <comment ref="A163" authorId="0" shapeId="0" xr:uid="{00000000-0006-0000-0D00-000065000000}">
      <text>
        <r>
          <rPr>
            <sz val="9"/>
            <color indexed="81"/>
            <rFont val="MS P ゴシック"/>
            <family val="3"/>
            <charset val="128"/>
          </rPr>
          <t>i-FILTERオンプレ</t>
        </r>
      </text>
    </comment>
    <comment ref="A165" authorId="0" shapeId="0" xr:uid="{00000000-0006-0000-0D00-000066000000}">
      <text>
        <r>
          <rPr>
            <sz val="9"/>
            <color indexed="81"/>
            <rFont val="MS P ゴシック"/>
            <family val="3"/>
            <charset val="128"/>
          </rPr>
          <t>i-FILTERオンプレ</t>
        </r>
      </text>
    </comment>
    <comment ref="A167" authorId="0" shapeId="0" xr:uid="{00000000-0006-0000-0D00-000067000000}">
      <text>
        <r>
          <rPr>
            <sz val="9"/>
            <color indexed="81"/>
            <rFont val="MS P ゴシック"/>
            <family val="3"/>
            <charset val="128"/>
          </rPr>
          <t>i-FILTERオンプレ</t>
        </r>
      </text>
    </comment>
    <comment ref="A169" authorId="0" shapeId="0" xr:uid="{00000000-0006-0000-0D00-000068000000}">
      <text>
        <r>
          <rPr>
            <sz val="9"/>
            <color indexed="81"/>
            <rFont val="MS P ゴシック"/>
            <family val="3"/>
            <charset val="128"/>
          </rPr>
          <t>i-FILTERオンプレ</t>
        </r>
      </text>
    </comment>
    <comment ref="A171" authorId="0" shapeId="0" xr:uid="{00000000-0006-0000-0D00-000069000000}">
      <text>
        <r>
          <rPr>
            <sz val="9"/>
            <color indexed="81"/>
            <rFont val="MS P ゴシック"/>
            <family val="3"/>
            <charset val="128"/>
          </rPr>
          <t>m-FILTERオンプレ</t>
        </r>
      </text>
    </comment>
    <comment ref="A173" authorId="0" shapeId="0" xr:uid="{00000000-0006-0000-0D00-00006A000000}">
      <text>
        <r>
          <rPr>
            <sz val="9"/>
            <color indexed="81"/>
            <rFont val="MS P ゴシック"/>
            <family val="3"/>
            <charset val="128"/>
          </rPr>
          <t>m-FILTERオンプレ</t>
        </r>
      </text>
    </comment>
    <comment ref="A175" authorId="0" shapeId="0" xr:uid="{00000000-0006-0000-0D00-00006B000000}">
      <text>
        <r>
          <rPr>
            <sz val="9"/>
            <color indexed="81"/>
            <rFont val="MS P ゴシック"/>
            <family val="3"/>
            <charset val="128"/>
          </rPr>
          <t>m-FILTERオンプレ</t>
        </r>
      </text>
    </comment>
    <comment ref="A177" authorId="0" shapeId="0" xr:uid="{00000000-0006-0000-0D00-00006C000000}">
      <text>
        <r>
          <rPr>
            <sz val="9"/>
            <color indexed="81"/>
            <rFont val="MS P ゴシック"/>
            <family val="3"/>
            <charset val="128"/>
          </rPr>
          <t>m-FILTERオンプレ</t>
        </r>
      </text>
    </comment>
    <comment ref="A179" authorId="0" shapeId="0" xr:uid="{00000000-0006-0000-0D00-00006D000000}">
      <text>
        <r>
          <rPr>
            <sz val="9"/>
            <color indexed="81"/>
            <rFont val="MS P ゴシック"/>
            <family val="3"/>
            <charset val="128"/>
          </rPr>
          <t>MailAdviser</t>
        </r>
      </text>
    </comment>
    <comment ref="A181" authorId="0" shapeId="0" xr:uid="{00000000-0006-0000-0D00-00006E000000}">
      <text>
        <r>
          <rPr>
            <sz val="9"/>
            <color indexed="81"/>
            <rFont val="MS P ゴシック"/>
            <family val="3"/>
            <charset val="128"/>
          </rPr>
          <t>MailAdviser</t>
        </r>
      </text>
    </comment>
    <comment ref="A183" authorId="0" shapeId="0" xr:uid="{00000000-0006-0000-0D00-00006F000000}">
      <text>
        <r>
          <rPr>
            <sz val="9"/>
            <color indexed="81"/>
            <rFont val="MS P ゴシック"/>
            <family val="3"/>
            <charset val="128"/>
          </rPr>
          <t>MailAdviser</t>
        </r>
      </text>
    </comment>
    <comment ref="A185" authorId="0" shapeId="0" xr:uid="{00000000-0006-0000-0D00-000070000000}">
      <text>
        <r>
          <rPr>
            <sz val="9"/>
            <color indexed="81"/>
            <rFont val="MS P ゴシック"/>
            <family val="3"/>
            <charset val="128"/>
          </rPr>
          <t>MailAdviser</t>
        </r>
      </text>
    </comment>
    <comment ref="B186" authorId="0" shapeId="0" xr:uid="{00000000-0006-0000-0D00-000071000000}">
      <text>
        <r>
          <rPr>
            <sz val="9"/>
            <color indexed="81"/>
            <rFont val="MS P ゴシック"/>
            <family val="3"/>
            <charset val="128"/>
          </rPr>
          <t>整数
iF@Cloud = "1";
iFオンプレ = "2";
iFBC = "3";
D-SPA = "4";
mF@Cloud = "5";
mFオンプレ = "6";
mFMA = "7";
FC@Cloud = "8";
FCオンプレ = "9";
Desk@Cloud = "10";</t>
        </r>
      </text>
    </comment>
    <comment ref="A187" authorId="0" shapeId="0" xr:uid="{00000000-0006-0000-0D00-000072000000}">
      <text>
        <r>
          <rPr>
            <sz val="9"/>
            <color indexed="81"/>
            <rFont val="MS P ゴシック"/>
            <family val="3"/>
            <charset val="128"/>
          </rPr>
          <t>D-SPA(1)</t>
        </r>
      </text>
    </comment>
    <comment ref="A189" authorId="0" shapeId="0" xr:uid="{00000000-0006-0000-0D00-000073000000}">
      <text>
        <r>
          <rPr>
            <sz val="9"/>
            <color indexed="81"/>
            <rFont val="MS P ゴシック"/>
            <family val="3"/>
            <charset val="128"/>
          </rPr>
          <t>D-SPA(1)</t>
        </r>
      </text>
    </comment>
    <comment ref="A191" authorId="0" shapeId="0" xr:uid="{00000000-0006-0000-0D00-000074000000}">
      <text>
        <r>
          <rPr>
            <sz val="9"/>
            <color indexed="81"/>
            <rFont val="MS P ゴシック"/>
            <family val="3"/>
            <charset val="128"/>
          </rPr>
          <t>D-SPA(1)</t>
        </r>
      </text>
    </comment>
    <comment ref="A193" authorId="0" shapeId="0" xr:uid="{00000000-0006-0000-0D00-000075000000}">
      <text>
        <r>
          <rPr>
            <sz val="9"/>
            <color indexed="81"/>
            <rFont val="MS P ゴシック"/>
            <family val="3"/>
            <charset val="128"/>
          </rPr>
          <t>D-SPA(1)</t>
        </r>
      </text>
    </comment>
    <comment ref="A195" authorId="0" shapeId="0" xr:uid="{00000000-0006-0000-0D00-000076000000}">
      <text>
        <r>
          <rPr>
            <sz val="9"/>
            <color indexed="81"/>
            <rFont val="MS P ゴシック"/>
            <family val="3"/>
            <charset val="128"/>
          </rPr>
          <t>D-SPA(1)</t>
        </r>
      </text>
    </comment>
    <comment ref="A197" authorId="0" shapeId="0" xr:uid="{00000000-0006-0000-0D00-000077000000}">
      <text>
        <r>
          <rPr>
            <sz val="9"/>
            <color indexed="81"/>
            <rFont val="MS P ゴシック"/>
            <family val="3"/>
            <charset val="128"/>
          </rPr>
          <t>D-SPA(2)</t>
        </r>
      </text>
    </comment>
    <comment ref="A199" authorId="0" shapeId="0" xr:uid="{00000000-0006-0000-0D00-000078000000}">
      <text>
        <r>
          <rPr>
            <sz val="9"/>
            <color indexed="81"/>
            <rFont val="MS P ゴシック"/>
            <family val="3"/>
            <charset val="128"/>
          </rPr>
          <t>D-SPA(2)</t>
        </r>
      </text>
    </comment>
    <comment ref="A201" authorId="0" shapeId="0" xr:uid="{00000000-0006-0000-0D00-000079000000}">
      <text>
        <r>
          <rPr>
            <sz val="9"/>
            <color indexed="81"/>
            <rFont val="MS P ゴシック"/>
            <family val="3"/>
            <charset val="128"/>
          </rPr>
          <t>D-SPA(2)</t>
        </r>
      </text>
    </comment>
    <comment ref="A203" authorId="0" shapeId="0" xr:uid="{00000000-0006-0000-0D00-00007A000000}">
      <text>
        <r>
          <rPr>
            <sz val="9"/>
            <color indexed="81"/>
            <rFont val="MS P ゴシック"/>
            <family val="3"/>
            <charset val="128"/>
          </rPr>
          <t>D-SPA(2)</t>
        </r>
      </text>
    </comment>
    <comment ref="A205" authorId="0" shapeId="0" xr:uid="{00000000-0006-0000-0D00-00007B000000}">
      <text>
        <r>
          <rPr>
            <sz val="9"/>
            <color indexed="81"/>
            <rFont val="MS P ゴシック"/>
            <family val="3"/>
            <charset val="128"/>
          </rPr>
          <t>D-SPA(2)</t>
        </r>
      </text>
    </comment>
    <comment ref="A207" authorId="0" shapeId="0" xr:uid="{00000000-0006-0000-0D00-00007C000000}">
      <text>
        <r>
          <rPr>
            <sz val="9"/>
            <color indexed="81"/>
            <rFont val="MS P ゴシック"/>
            <family val="3"/>
            <charset val="128"/>
          </rPr>
          <t>D-SPA(3)</t>
        </r>
      </text>
    </comment>
    <comment ref="A209" authorId="0" shapeId="0" xr:uid="{00000000-0006-0000-0D00-00007D000000}">
      <text>
        <r>
          <rPr>
            <sz val="9"/>
            <color indexed="81"/>
            <rFont val="MS P ゴシック"/>
            <family val="3"/>
            <charset val="128"/>
          </rPr>
          <t>D-SPA(3)</t>
        </r>
      </text>
    </comment>
    <comment ref="A211" authorId="0" shapeId="0" xr:uid="{00000000-0006-0000-0D00-00007E000000}">
      <text>
        <r>
          <rPr>
            <sz val="9"/>
            <color indexed="81"/>
            <rFont val="MS P ゴシック"/>
            <family val="3"/>
            <charset val="128"/>
          </rPr>
          <t>D-SPA(3)</t>
        </r>
      </text>
    </comment>
    <comment ref="A213" authorId="0" shapeId="0" xr:uid="{00000000-0006-0000-0D00-00007F000000}">
      <text>
        <r>
          <rPr>
            <sz val="9"/>
            <color indexed="81"/>
            <rFont val="MS P ゴシック"/>
            <family val="3"/>
            <charset val="128"/>
          </rPr>
          <t>D-SPA(3)</t>
        </r>
      </text>
    </comment>
    <comment ref="A215" authorId="0" shapeId="0" xr:uid="{00000000-0006-0000-0D00-000080000000}">
      <text>
        <r>
          <rPr>
            <sz val="9"/>
            <color indexed="81"/>
            <rFont val="MS P ゴシック"/>
            <family val="3"/>
            <charset val="128"/>
          </rPr>
          <t>D-SPA(3)</t>
        </r>
      </text>
    </comment>
    <comment ref="A217" authorId="0" shapeId="0" xr:uid="{00000000-0006-0000-0D00-000081000000}">
      <text>
        <r>
          <rPr>
            <sz val="9"/>
            <color indexed="81"/>
            <rFont val="MS P ゴシック"/>
            <family val="3"/>
            <charset val="128"/>
          </rPr>
          <t>D-SPA(4)</t>
        </r>
      </text>
    </comment>
    <comment ref="A219" authorId="0" shapeId="0" xr:uid="{00000000-0006-0000-0D00-000082000000}">
      <text>
        <r>
          <rPr>
            <sz val="9"/>
            <color indexed="81"/>
            <rFont val="MS P ゴシック"/>
            <family val="3"/>
            <charset val="128"/>
          </rPr>
          <t>D-SPA(4)</t>
        </r>
      </text>
    </comment>
    <comment ref="A221" authorId="0" shapeId="0" xr:uid="{00000000-0006-0000-0D00-000083000000}">
      <text>
        <r>
          <rPr>
            <sz val="9"/>
            <color indexed="81"/>
            <rFont val="MS P ゴシック"/>
            <family val="3"/>
            <charset val="128"/>
          </rPr>
          <t>D-SPA(4)</t>
        </r>
      </text>
    </comment>
    <comment ref="A223" authorId="0" shapeId="0" xr:uid="{00000000-0006-0000-0D00-000084000000}">
      <text>
        <r>
          <rPr>
            <sz val="9"/>
            <color indexed="81"/>
            <rFont val="MS P ゴシック"/>
            <family val="3"/>
            <charset val="128"/>
          </rPr>
          <t>D-SPA(4)</t>
        </r>
      </text>
    </comment>
    <comment ref="A225" authorId="0" shapeId="0" xr:uid="{00000000-0006-0000-0D00-000085000000}">
      <text>
        <r>
          <rPr>
            <sz val="9"/>
            <color indexed="81"/>
            <rFont val="MS P ゴシック"/>
            <family val="3"/>
            <charset val="128"/>
          </rPr>
          <t>D-SPA(4)</t>
        </r>
      </text>
    </comment>
    <comment ref="A227" authorId="0" shapeId="0" xr:uid="{00000000-0006-0000-0D00-000086000000}">
      <text>
        <r>
          <rPr>
            <sz val="9"/>
            <color indexed="81"/>
            <rFont val="MS P ゴシック"/>
            <family val="3"/>
            <charset val="128"/>
          </rPr>
          <t>D-SPA(5)</t>
        </r>
      </text>
    </comment>
    <comment ref="A229" authorId="0" shapeId="0" xr:uid="{00000000-0006-0000-0D00-000087000000}">
      <text>
        <r>
          <rPr>
            <sz val="9"/>
            <color indexed="81"/>
            <rFont val="MS P ゴシック"/>
            <family val="3"/>
            <charset val="128"/>
          </rPr>
          <t>D-SPA(5)</t>
        </r>
      </text>
    </comment>
    <comment ref="A231" authorId="0" shapeId="0" xr:uid="{00000000-0006-0000-0D00-000088000000}">
      <text>
        <r>
          <rPr>
            <sz val="9"/>
            <color indexed="81"/>
            <rFont val="MS P ゴシック"/>
            <family val="3"/>
            <charset val="128"/>
          </rPr>
          <t>D-SPA(5)</t>
        </r>
      </text>
    </comment>
    <comment ref="A233" authorId="0" shapeId="0" xr:uid="{00000000-0006-0000-0D00-000089000000}">
      <text>
        <r>
          <rPr>
            <sz val="9"/>
            <color indexed="81"/>
            <rFont val="MS P ゴシック"/>
            <family val="3"/>
            <charset val="128"/>
          </rPr>
          <t>D-SPA(5)</t>
        </r>
      </text>
    </comment>
    <comment ref="A235" authorId="0" shapeId="0" xr:uid="{00000000-0006-0000-0D00-00008A000000}">
      <text>
        <r>
          <rPr>
            <sz val="9"/>
            <color indexed="81"/>
            <rFont val="MS P ゴシック"/>
            <family val="3"/>
            <charset val="128"/>
          </rPr>
          <t>D-SPA(5)</t>
        </r>
      </text>
    </comment>
    <comment ref="A237" authorId="0" shapeId="0" xr:uid="{00000000-0006-0000-0D00-00008B000000}">
      <text>
        <r>
          <rPr>
            <sz val="9"/>
            <color indexed="81"/>
            <rFont val="MS P ゴシック"/>
            <family val="3"/>
            <charset val="128"/>
          </rPr>
          <t>D-SPA(SWOP)</t>
        </r>
      </text>
    </comment>
    <comment ref="A239" authorId="0" shapeId="0" xr:uid="{00000000-0006-0000-0D00-00008C000000}">
      <text>
        <r>
          <rPr>
            <sz val="9"/>
            <color indexed="81"/>
            <rFont val="MS P ゴシック"/>
            <family val="3"/>
            <charset val="128"/>
          </rPr>
          <t>D-SPA(SWOP)</t>
        </r>
      </text>
    </comment>
    <comment ref="A241" authorId="0" shapeId="0" xr:uid="{00000000-0006-0000-0D00-00008D000000}">
      <text>
        <r>
          <rPr>
            <sz val="9"/>
            <color indexed="81"/>
            <rFont val="MS P ゴシック"/>
            <family val="3"/>
            <charset val="128"/>
          </rPr>
          <t>D-SPA(SWOP)</t>
        </r>
      </text>
    </comment>
    <comment ref="A243" authorId="0" shapeId="0" xr:uid="{00000000-0006-0000-0D00-00008E000000}">
      <text>
        <r>
          <rPr>
            <sz val="9"/>
            <color indexed="81"/>
            <rFont val="MS P ゴシック"/>
            <family val="3"/>
            <charset val="128"/>
          </rPr>
          <t>D-SPA(SWOP)</t>
        </r>
      </text>
    </comment>
    <comment ref="A245" authorId="0" shapeId="0" xr:uid="{00000000-0006-0000-0D00-00008F000000}">
      <text>
        <r>
          <rPr>
            <sz val="9"/>
            <color indexed="81"/>
            <rFont val="MS P ゴシック"/>
            <family val="3"/>
            <charset val="128"/>
          </rPr>
          <t>D-SPA(SWOP)</t>
        </r>
      </text>
    </comment>
    <comment ref="A247" authorId="0" shapeId="0" xr:uid="{00000000-0006-0000-0D00-000091000000}">
      <text>
        <r>
          <rPr>
            <sz val="9"/>
            <color indexed="81"/>
            <rFont val="MS P ゴシック"/>
            <family val="3"/>
            <charset val="128"/>
          </rPr>
          <t>a-FILTER</t>
        </r>
      </text>
    </comment>
    <comment ref="A249" authorId="0" shapeId="0" xr:uid="{00000000-0006-0000-0D00-000093000000}">
      <text>
        <r>
          <rPr>
            <sz val="9"/>
            <color indexed="81"/>
            <rFont val="MS P ゴシック"/>
            <family val="3"/>
            <charset val="128"/>
          </rPr>
          <t>a-FILTER</t>
        </r>
      </text>
    </comment>
    <comment ref="A251" authorId="0" shapeId="0" xr:uid="{00000000-0006-0000-0D00-000095000000}">
      <text>
        <r>
          <rPr>
            <sz val="9"/>
            <color indexed="81"/>
            <rFont val="MS P ゴシック"/>
            <family val="3"/>
            <charset val="128"/>
          </rPr>
          <t>a-FILTER</t>
        </r>
      </text>
    </comment>
    <comment ref="A253" authorId="0" shapeId="0" xr:uid="{00000000-0006-0000-0D00-000097000000}">
      <text>
        <r>
          <rPr>
            <sz val="9"/>
            <color indexed="81"/>
            <rFont val="MS P ゴシック"/>
            <family val="3"/>
            <charset val="128"/>
          </rPr>
          <t>a-FILTER</t>
        </r>
      </text>
    </comment>
    <comment ref="A255" authorId="0" shapeId="0" xr:uid="{00000000-0006-0000-0D00-000099000000}">
      <text>
        <r>
          <rPr>
            <sz val="9"/>
            <color indexed="81"/>
            <rFont val="MS P ゴシック"/>
            <family val="3"/>
            <charset val="128"/>
          </rPr>
          <t>a-FILTER</t>
        </r>
      </text>
    </comment>
    <comment ref="A257" authorId="0" shapeId="0" xr:uid="{00000000-0006-0000-0D00-00009A000000}">
      <text>
        <r>
          <rPr>
            <sz val="9"/>
            <color indexed="81"/>
            <rFont val="MS P ゴシック"/>
            <family val="3"/>
            <charset val="128"/>
          </rPr>
          <t>f-FILTER</t>
        </r>
      </text>
    </comment>
    <comment ref="S257" authorId="8" shapeId="0" xr:uid="{00000000-0006-0000-0D00-00009B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ここは「中間シート」でなく「お客様情報」シートから取得</t>
      </text>
    </comment>
    <comment ref="T257" authorId="9" shapeId="0" xr:uid="{00000000-0006-0000-0D00-00009C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ここは「中間シート」でなく「お客様情報」シートから取得</t>
      </text>
    </comment>
    <comment ref="A259" authorId="0" shapeId="0" xr:uid="{00000000-0006-0000-0D00-00009D000000}">
      <text>
        <r>
          <rPr>
            <sz val="9"/>
            <color indexed="81"/>
            <rFont val="MS P ゴシック"/>
            <family val="3"/>
            <charset val="128"/>
          </rPr>
          <t>f-FILTER</t>
        </r>
      </text>
    </comment>
    <comment ref="A261" authorId="0" shapeId="0" xr:uid="{00000000-0006-0000-0D00-00009E000000}">
      <text>
        <r>
          <rPr>
            <sz val="9"/>
            <color indexed="81"/>
            <rFont val="MS P ゴシック"/>
            <family val="3"/>
            <charset val="128"/>
          </rPr>
          <t>f-FILTER</t>
        </r>
      </text>
    </comment>
    <comment ref="A263" authorId="0" shapeId="0" xr:uid="{00000000-0006-0000-0D00-00009F000000}">
      <text>
        <r>
          <rPr>
            <sz val="9"/>
            <color indexed="81"/>
            <rFont val="MS P ゴシック"/>
            <family val="3"/>
            <charset val="128"/>
          </rPr>
          <t>f-FILTER</t>
        </r>
      </text>
    </comment>
    <comment ref="A265" authorId="0" shapeId="0" xr:uid="{00000000-0006-0000-0D00-0000A0000000}">
      <text>
        <r>
          <rPr>
            <sz val="9"/>
            <color indexed="81"/>
            <rFont val="MS P ゴシック"/>
            <family val="3"/>
            <charset val="128"/>
          </rPr>
          <t>f-FILTER</t>
        </r>
      </text>
    </comment>
    <comment ref="A267" authorId="0" shapeId="0" xr:uid="{569DA2CB-EDA9-4081-B280-8A891035030E}">
      <text>
        <r>
          <rPr>
            <sz val="9"/>
            <color indexed="81"/>
            <rFont val="MS P ゴシック"/>
            <family val="3"/>
            <charset val="128"/>
          </rPr>
          <t>f-FILTER
代ホダミー用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Digital Arts Inc.</author>
  </authors>
  <commentList>
    <comment ref="A2" authorId="0" shapeId="0" xr:uid="{00000000-0006-0000-0F00-000001000000}">
      <text>
        <r>
          <rPr>
            <b/>
            <sz val="9"/>
            <color indexed="81"/>
            <rFont val="ＭＳ Ｐゴシック"/>
            <family val="3"/>
            <charset val="128"/>
          </rPr>
          <t>Digital Arts Inc.:</t>
        </r>
        <r>
          <rPr>
            <sz val="9"/>
            <color indexed="81"/>
            <rFont val="ＭＳ Ｐゴシック"/>
            <family val="3"/>
            <charset val="128"/>
          </rPr>
          <t xml:space="preserve">
納品先E-Mail(1)の有無で判断</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<sst xmlns="http://schemas.openxmlformats.org/spreadsheetml/2006/main" count="11729" uniqueCount="1622">
  <si>
    <t>年</t>
    <rPh sb="0" eb="1">
      <t>ネン</t>
    </rPh>
    <phoneticPr fontId="14"/>
  </si>
  <si>
    <t>月</t>
    <rPh sb="0" eb="1">
      <t>ツキ</t>
    </rPh>
    <phoneticPr fontId="14"/>
  </si>
  <si>
    <t>日</t>
    <rPh sb="0" eb="1">
      <t>ニチ</t>
    </rPh>
    <phoneticPr fontId="14"/>
  </si>
  <si>
    <t>一次店名</t>
    <rPh sb="0" eb="3">
      <t>イチジテン</t>
    </rPh>
    <rPh sb="3" eb="4">
      <t>メイ</t>
    </rPh>
    <phoneticPr fontId="14"/>
  </si>
  <si>
    <t>サーバー台数</t>
    <rPh sb="4" eb="6">
      <t>ダイスウ</t>
    </rPh>
    <phoneticPr fontId="14"/>
  </si>
  <si>
    <t>1年</t>
    <rPh sb="1" eb="2">
      <t>ネン</t>
    </rPh>
    <phoneticPr fontId="14"/>
  </si>
  <si>
    <t>2年</t>
    <rPh sb="1" eb="2">
      <t>ネン</t>
    </rPh>
    <phoneticPr fontId="14"/>
  </si>
  <si>
    <t>3年</t>
    <rPh sb="1" eb="2">
      <t>ネン</t>
    </rPh>
    <phoneticPr fontId="14"/>
  </si>
  <si>
    <t>4年</t>
    <rPh sb="1" eb="2">
      <t>ネン</t>
    </rPh>
    <phoneticPr fontId="14"/>
  </si>
  <si>
    <t>5年</t>
    <rPh sb="1" eb="2">
      <t>ネン</t>
    </rPh>
    <phoneticPr fontId="14"/>
  </si>
  <si>
    <t>ID</t>
  </si>
  <si>
    <t>都道府県</t>
  </si>
  <si>
    <t>登録者1</t>
  </si>
  <si>
    <t>商品名</t>
  </si>
  <si>
    <t>ＯＳ</t>
  </si>
  <si>
    <t>Ｌ</t>
  </si>
  <si>
    <t>シリアルＮＯ</t>
  </si>
  <si>
    <t>契約期間</t>
  </si>
  <si>
    <t>開始日</t>
  </si>
  <si>
    <t>終了日</t>
  </si>
  <si>
    <t>OP1</t>
  </si>
  <si>
    <t>OP2</t>
  </si>
  <si>
    <t>OP3</t>
  </si>
  <si>
    <t>OP4</t>
  </si>
  <si>
    <t>エンド郵便番号</t>
  </si>
  <si>
    <t>エンド住所</t>
  </si>
  <si>
    <t>エンド部署</t>
  </si>
  <si>
    <t>エンド担当者</t>
  </si>
  <si>
    <t>エンド電話</t>
  </si>
  <si>
    <t>購入区分</t>
  </si>
  <si>
    <t>購入月数</t>
  </si>
  <si>
    <t>●エンドMail</t>
  </si>
  <si>
    <t>m-FILTER Anti-Spam</t>
  </si>
  <si>
    <t>6年</t>
    <rPh sb="1" eb="2">
      <t>ネン</t>
    </rPh>
    <phoneticPr fontId="14"/>
  </si>
  <si>
    <t>7年</t>
    <rPh sb="1" eb="2">
      <t>ネン</t>
    </rPh>
    <phoneticPr fontId="14"/>
  </si>
  <si>
    <t>8年</t>
    <rPh sb="1" eb="2">
      <t>ネン</t>
    </rPh>
    <phoneticPr fontId="14"/>
  </si>
  <si>
    <t>9年</t>
    <rPh sb="1" eb="2">
      <t>ネン</t>
    </rPh>
    <phoneticPr fontId="14"/>
  </si>
  <si>
    <t>10年</t>
    <rPh sb="2" eb="3">
      <t>ネン</t>
    </rPh>
    <phoneticPr fontId="14"/>
  </si>
  <si>
    <t>契約期間</t>
    <rPh sb="0" eb="2">
      <t>ケイヤク</t>
    </rPh>
    <rPh sb="2" eb="4">
      <t>キカン</t>
    </rPh>
    <phoneticPr fontId="14"/>
  </si>
  <si>
    <t>一次店</t>
    <rPh sb="0" eb="3">
      <t>イチジテン</t>
    </rPh>
    <phoneticPr fontId="14"/>
  </si>
  <si>
    <t>社名</t>
    <rPh sb="0" eb="2">
      <t>シャメイ</t>
    </rPh>
    <phoneticPr fontId="14"/>
  </si>
  <si>
    <t>部署名</t>
    <rPh sb="0" eb="3">
      <t>ブショメイ</t>
    </rPh>
    <phoneticPr fontId="14"/>
  </si>
  <si>
    <t>担当者</t>
    <rPh sb="0" eb="3">
      <t>タントウシャ</t>
    </rPh>
    <phoneticPr fontId="14"/>
  </si>
  <si>
    <t>電話</t>
    <rPh sb="0" eb="2">
      <t>デンワ</t>
    </rPh>
    <phoneticPr fontId="14"/>
  </si>
  <si>
    <t>二次店等</t>
    <phoneticPr fontId="14"/>
  </si>
  <si>
    <t>導入販社</t>
    <rPh sb="0" eb="2">
      <t>ドウニュウ</t>
    </rPh>
    <rPh sb="2" eb="4">
      <t>ハンシャ</t>
    </rPh>
    <phoneticPr fontId="14"/>
  </si>
  <si>
    <t>部署名</t>
    <rPh sb="0" eb="3">
      <t>ブショメイ</t>
    </rPh>
    <phoneticPr fontId="15"/>
  </si>
  <si>
    <t>担当者</t>
    <rPh sb="0" eb="3">
      <t>タントウシャ</t>
    </rPh>
    <phoneticPr fontId="15"/>
  </si>
  <si>
    <t>電話</t>
    <rPh sb="0" eb="2">
      <t>デンワ</t>
    </rPh>
    <phoneticPr fontId="15"/>
  </si>
  <si>
    <t>更新案内</t>
    <rPh sb="0" eb="2">
      <t>コウシン</t>
    </rPh>
    <rPh sb="2" eb="4">
      <t>アンナイ</t>
    </rPh>
    <phoneticPr fontId="15"/>
  </si>
  <si>
    <t>i-FILTER Log Search</t>
  </si>
  <si>
    <t>i-FILTER SSL Adapter</t>
  </si>
  <si>
    <t>i-FILTER Info Board</t>
  </si>
  <si>
    <t>m-FILTER情報</t>
    <rPh sb="8" eb="10">
      <t>ジョウホウ</t>
    </rPh>
    <phoneticPr fontId="14"/>
  </si>
  <si>
    <t>m-FILTER MailFilter</t>
  </si>
  <si>
    <t>m-FILTER Archive</t>
  </si>
  <si>
    <t>m-FILTER File Scan</t>
    <phoneticPr fontId="14"/>
  </si>
  <si>
    <t>ユーザー</t>
    <phoneticPr fontId="14"/>
  </si>
  <si>
    <t>m-FILTER</t>
    <phoneticPr fontId="14"/>
  </si>
  <si>
    <t>FAX</t>
    <phoneticPr fontId="15"/>
  </si>
  <si>
    <t>メール</t>
    <phoneticPr fontId="15"/>
  </si>
  <si>
    <t>FAX</t>
    <phoneticPr fontId="14"/>
  </si>
  <si>
    <t>メール</t>
    <phoneticPr fontId="14"/>
  </si>
  <si>
    <t>-(01～03)</t>
  </si>
  <si>
    <t>-(01～04)</t>
  </si>
  <si>
    <t>-(01～05)</t>
  </si>
  <si>
    <t>-(01～06)</t>
  </si>
  <si>
    <t>-(01～07)</t>
  </si>
  <si>
    <t>-(01～08)</t>
  </si>
  <si>
    <t>-(01～09)</t>
  </si>
  <si>
    <t>-(01～10)</t>
  </si>
  <si>
    <t>発注日</t>
    <rPh sb="0" eb="2">
      <t>ハッチュウ</t>
    </rPh>
    <rPh sb="2" eb="3">
      <t>ビ</t>
    </rPh>
    <phoneticPr fontId="14"/>
  </si>
  <si>
    <t>フリガナ</t>
    <phoneticPr fontId="14"/>
  </si>
  <si>
    <t>郵便番号</t>
  </si>
  <si>
    <t>市区町村</t>
  </si>
  <si>
    <t>所在地</t>
    <rPh sb="0" eb="3">
      <t>ショザイチ</t>
    </rPh>
    <phoneticPr fontId="14"/>
  </si>
  <si>
    <t>町名・番地</t>
  </si>
  <si>
    <t>ビル名</t>
  </si>
  <si>
    <t>更新案内</t>
    <rPh sb="0" eb="2">
      <t>コウシン</t>
    </rPh>
    <rPh sb="2" eb="4">
      <t>アンナイ</t>
    </rPh>
    <phoneticPr fontId="14"/>
  </si>
  <si>
    <t>はい</t>
  </si>
  <si>
    <t>種別</t>
    <rPh sb="0" eb="2">
      <t>シュベツ</t>
    </rPh>
    <phoneticPr fontId="17"/>
  </si>
  <si>
    <t>i-FILTER AV Adapter</t>
    <phoneticPr fontId="14"/>
  </si>
  <si>
    <t xml:space="preserve"> ICAP</t>
    <phoneticPr fontId="14"/>
  </si>
  <si>
    <t>-01</t>
  </si>
  <si>
    <t>-(01～02)</t>
  </si>
  <si>
    <t>-(01～11)</t>
  </si>
  <si>
    <t>-(01～12)</t>
  </si>
  <si>
    <t>-(01～13)</t>
  </si>
  <si>
    <t>-(01～14)</t>
  </si>
  <si>
    <t>-(01～15)</t>
  </si>
  <si>
    <t>-(01～16)</t>
  </si>
  <si>
    <t>-(01～17)</t>
  </si>
  <si>
    <t>-(01～18)</t>
  </si>
  <si>
    <t>-(01～19)</t>
  </si>
  <si>
    <t>-(01～20)</t>
  </si>
  <si>
    <t>-(01～21)</t>
  </si>
  <si>
    <t>-(01～22)</t>
  </si>
  <si>
    <t>-(01～23)</t>
  </si>
  <si>
    <t>-(01～24)</t>
  </si>
  <si>
    <t>-(01～25)</t>
  </si>
  <si>
    <t>-(01～26)</t>
  </si>
  <si>
    <t>-(01～27)</t>
  </si>
  <si>
    <t>-(01～28)</t>
  </si>
  <si>
    <t>-(01～29)</t>
  </si>
  <si>
    <t>-(01～30)</t>
  </si>
  <si>
    <t>製品
区分</t>
    <rPh sb="0" eb="2">
      <t>セイヒン</t>
    </rPh>
    <rPh sb="3" eb="5">
      <t>クブン</t>
    </rPh>
    <phoneticPr fontId="17"/>
  </si>
  <si>
    <t>追加</t>
  </si>
  <si>
    <t>D-SPA保守サービス</t>
  </si>
  <si>
    <t>D-SPA設置場所</t>
  </si>
  <si>
    <t>市区郡</t>
  </si>
  <si>
    <t>地番</t>
  </si>
  <si>
    <t>TEL</t>
  </si>
  <si>
    <t>導入販社住所</t>
  </si>
  <si>
    <t>代理ホス：エンド住所</t>
  </si>
  <si>
    <t>設置場所社名</t>
  </si>
  <si>
    <t>代理ホス：フラグ</t>
  </si>
  <si>
    <t>代理ホス：エンド名</t>
  </si>
  <si>
    <t>AV連携製品</t>
  </si>
  <si>
    <t>印刷マニュアル</t>
  </si>
  <si>
    <t>FinalCode管理者メール</t>
  </si>
  <si>
    <t>製品
区分</t>
    <rPh sb="0" eb="2">
      <t>セイヒン</t>
    </rPh>
    <rPh sb="3" eb="5">
      <t>クブン</t>
    </rPh>
    <phoneticPr fontId="14"/>
  </si>
  <si>
    <t>申請
区分</t>
    <rPh sb="0" eb="2">
      <t>シンセイ</t>
    </rPh>
    <rPh sb="3" eb="5">
      <t>クブン</t>
    </rPh>
    <phoneticPr fontId="14"/>
  </si>
  <si>
    <t>MailAdviser情報</t>
    <rPh sb="11" eb="13">
      <t>ジョウホウ</t>
    </rPh>
    <phoneticPr fontId="14"/>
  </si>
  <si>
    <t>B&amp;C情報</t>
    <rPh sb="3" eb="5">
      <t>ジョウホウ</t>
    </rPh>
    <phoneticPr fontId="14"/>
  </si>
  <si>
    <t>三次店等</t>
    <rPh sb="0" eb="1">
      <t>サン</t>
    </rPh>
    <phoneticPr fontId="14"/>
  </si>
  <si>
    <t>年</t>
  </si>
  <si>
    <t>OP7</t>
  </si>
  <si>
    <t>OP5</t>
  </si>
  <si>
    <t>Anti-Spamバージョン</t>
  </si>
  <si>
    <t>納品先Mail1</t>
  </si>
  <si>
    <t>納品先Mail2</t>
  </si>
  <si>
    <t>OP6</t>
  </si>
  <si>
    <t>-</t>
  </si>
  <si>
    <t>●エンド更新案内</t>
  </si>
  <si>
    <t>クリプト便管理ID</t>
    <rPh sb="4" eb="5">
      <t>ビン</t>
    </rPh>
    <rPh sb="5" eb="7">
      <t>カンリ</t>
    </rPh>
    <phoneticPr fontId="14"/>
  </si>
  <si>
    <t>連携製品</t>
    <rPh sb="0" eb="2">
      <t>レンケイ</t>
    </rPh>
    <rPh sb="2" eb="4">
      <t>セイヒン</t>
    </rPh>
    <phoneticPr fontId="14"/>
  </si>
  <si>
    <t>連携製品シリアル</t>
    <rPh sb="0" eb="2">
      <t>レンケイ</t>
    </rPh>
    <rPh sb="2" eb="4">
      <t>セイヒン</t>
    </rPh>
    <phoneticPr fontId="14"/>
  </si>
  <si>
    <t>m-FILTER MailAdviser FC Adapter</t>
    <phoneticPr fontId="14"/>
  </si>
  <si>
    <t>契約
期間</t>
  </si>
  <si>
    <t>契約
期間</t>
    <rPh sb="3" eb="5">
      <t>キカン</t>
    </rPh>
    <phoneticPr fontId="14"/>
  </si>
  <si>
    <t>契約
開始日</t>
  </si>
  <si>
    <t>契約
開始日</t>
    <rPh sb="3" eb="6">
      <t>カイシビ</t>
    </rPh>
    <phoneticPr fontId="14"/>
  </si>
  <si>
    <t>契約
期間</t>
    <rPh sb="3" eb="5">
      <t>キカン</t>
    </rPh>
    <phoneticPr fontId="17"/>
  </si>
  <si>
    <t>機能・オプション選択欄</t>
    <rPh sb="0" eb="2">
      <t>キノウ</t>
    </rPh>
    <rPh sb="8" eb="10">
      <t>センタク</t>
    </rPh>
    <rPh sb="10" eb="11">
      <t>ラン</t>
    </rPh>
    <phoneticPr fontId="17"/>
  </si>
  <si>
    <t>i‐FILTER_ICAP_Server_with_Squid</t>
    <phoneticPr fontId="14"/>
  </si>
  <si>
    <t>i‐FILTER_ICAP_Server</t>
    <phoneticPr fontId="14"/>
  </si>
  <si>
    <t xml:space="preserve"> ICAP</t>
    <phoneticPr fontId="14"/>
  </si>
  <si>
    <t>i‐FILTER_Proxy_Server_Ver.8.x以下</t>
    <phoneticPr fontId="14"/>
  </si>
  <si>
    <t>i-FILTER APT Protection</t>
    <phoneticPr fontId="14"/>
  </si>
  <si>
    <t>m‐FILTER_Ver.3.x以下</t>
    <rPh sb="16" eb="18">
      <t>イカ</t>
    </rPh>
    <phoneticPr fontId="14"/>
  </si>
  <si>
    <t>m‐FILTER_Ver.5</t>
    <phoneticPr fontId="14"/>
  </si>
  <si>
    <t>連携
製品</t>
    <rPh sb="0" eb="2">
      <t>レンケイ</t>
    </rPh>
    <rPh sb="3" eb="5">
      <t>セイヒン</t>
    </rPh>
    <phoneticPr fontId="17"/>
  </si>
  <si>
    <t>i‐FILTER_Ver.10</t>
    <phoneticPr fontId="14"/>
  </si>
  <si>
    <t>i‐FILTER_Ver.9</t>
    <phoneticPr fontId="14"/>
  </si>
  <si>
    <t>i-FILTER Global DataBase</t>
    <phoneticPr fontId="14"/>
  </si>
  <si>
    <t>i-FILTER SSL APT Adapter</t>
    <phoneticPr fontId="14"/>
  </si>
  <si>
    <t>更新</t>
  </si>
  <si>
    <t>新規</t>
  </si>
  <si>
    <t>更新(減数)</t>
  </si>
  <si>
    <t>追加(更新同時)</t>
  </si>
  <si>
    <t>POP環境
での利用</t>
    <rPh sb="3" eb="5">
      <t>カンキョウ</t>
    </rPh>
    <rPh sb="8" eb="10">
      <t>リヨウ</t>
    </rPh>
    <phoneticPr fontId="17"/>
  </si>
  <si>
    <t>メール無害化(POP)</t>
    <phoneticPr fontId="14"/>
  </si>
  <si>
    <t>OP8</t>
    <phoneticPr fontId="14"/>
  </si>
  <si>
    <t>OP9</t>
    <phoneticPr fontId="14"/>
  </si>
  <si>
    <t>File
Scan</t>
    <phoneticPr fontId="17"/>
  </si>
  <si>
    <t>FileZen
Adapter</t>
    <phoneticPr fontId="17"/>
  </si>
  <si>
    <t>FinalCode
保有シリアル</t>
    <phoneticPr fontId="17"/>
  </si>
  <si>
    <t>※は記入必須項目です。</t>
    <rPh sb="2" eb="4">
      <t>キニュウ</t>
    </rPh>
    <rPh sb="4" eb="6">
      <t>ヒッス</t>
    </rPh>
    <rPh sb="6" eb="8">
      <t>コウモク</t>
    </rPh>
    <phoneticPr fontId="14"/>
  </si>
  <si>
    <t>◆納品先情報 （電子メール納品用）</t>
    <rPh sb="1" eb="4">
      <t>ノウヒンサキ</t>
    </rPh>
    <rPh sb="4" eb="6">
      <t>ジョウホウ</t>
    </rPh>
    <rPh sb="8" eb="10">
      <t>デンシ</t>
    </rPh>
    <rPh sb="13" eb="15">
      <t>ノウヒン</t>
    </rPh>
    <rPh sb="15" eb="16">
      <t>ヨウ</t>
    </rPh>
    <phoneticPr fontId="14"/>
  </si>
  <si>
    <t>ご記入いただいたE-mailアドレスへ電子メールにて納品させていただきます。
納品先としてE-mailアドレスを最低1点（2点まで）ご記入ください。</t>
    <rPh sb="1" eb="3">
      <t>キニュウ</t>
    </rPh>
    <rPh sb="19" eb="21">
      <t>デンシ</t>
    </rPh>
    <rPh sb="26" eb="28">
      <t>ノウヒン</t>
    </rPh>
    <rPh sb="39" eb="41">
      <t>ノウヒン</t>
    </rPh>
    <rPh sb="41" eb="42">
      <t>サキ</t>
    </rPh>
    <rPh sb="56" eb="58">
      <t>サイテイ</t>
    </rPh>
    <rPh sb="59" eb="60">
      <t>テン</t>
    </rPh>
    <rPh sb="62" eb="63">
      <t>テン</t>
    </rPh>
    <rPh sb="67" eb="69">
      <t>キニュウ</t>
    </rPh>
    <phoneticPr fontId="14"/>
  </si>
  <si>
    <t>E-mail (2)</t>
  </si>
  <si>
    <t>値</t>
    <rPh sb="0" eb="1">
      <t>アタイ</t>
    </rPh>
    <phoneticPr fontId="14"/>
  </si>
  <si>
    <t>m-FILTER FinalCode Adapter Advanced</t>
    <phoneticPr fontId="14"/>
  </si>
  <si>
    <t>ライセンス購入申請書　（B表）</t>
    <rPh sb="5" eb="7">
      <t>コウニュウ</t>
    </rPh>
    <rPh sb="7" eb="10">
      <t>シンセイショ</t>
    </rPh>
    <rPh sb="13" eb="14">
      <t>ヒョウ</t>
    </rPh>
    <phoneticPr fontId="14"/>
  </si>
  <si>
    <t>バージョンアップ</t>
    <phoneticPr fontId="14"/>
  </si>
  <si>
    <t>更新(バージョンアップ同時)</t>
    <phoneticPr fontId="14"/>
  </si>
  <si>
    <t>追加(更新・バージョンアップ同時)</t>
    <phoneticPr fontId="14"/>
  </si>
  <si>
    <t>追加(更新・バージョンアップ同時)</t>
    <phoneticPr fontId="14"/>
  </si>
  <si>
    <t>保守更新</t>
    <phoneticPr fontId="14"/>
  </si>
  <si>
    <t>保守更新(減数)</t>
    <phoneticPr fontId="14"/>
  </si>
  <si>
    <t>追加</t>
    <phoneticPr fontId="14"/>
  </si>
  <si>
    <t>追加(保守更新同時)</t>
    <phoneticPr fontId="14"/>
  </si>
  <si>
    <t>更新</t>
    <phoneticPr fontId="14"/>
  </si>
  <si>
    <t>更新(減数)</t>
    <phoneticPr fontId="14"/>
  </si>
  <si>
    <t>-----</t>
    <phoneticPr fontId="14"/>
  </si>
  <si>
    <t>追加(更新同時)</t>
    <phoneticPr fontId="14"/>
  </si>
  <si>
    <t>追加(バージョンアップ同時)</t>
    <phoneticPr fontId="14"/>
  </si>
  <si>
    <t xml:space="preserve"> m-FILTER 購入申請欄</t>
    <rPh sb="10" eb="15">
      <t>コウニュウシンセイラン</t>
    </rPh>
    <phoneticPr fontId="17"/>
  </si>
  <si>
    <t xml:space="preserve"> i-FILTER 購入申請欄</t>
    <rPh sb="10" eb="12">
      <t>コウニュウ</t>
    </rPh>
    <rPh sb="12" eb="14">
      <t>シンセイ</t>
    </rPh>
    <rPh sb="14" eb="15">
      <t>ラン</t>
    </rPh>
    <phoneticPr fontId="14"/>
  </si>
  <si>
    <t xml:space="preserve"> i-FILTER ブラウザー&amp;クラウド購入申請欄</t>
    <rPh sb="20" eb="25">
      <t>コウニュウシンセイラン</t>
    </rPh>
    <phoneticPr fontId="14"/>
  </si>
  <si>
    <t>スタンダードライセンス</t>
    <phoneticPr fontId="14"/>
  </si>
  <si>
    <t>アカデミックライセンス</t>
    <phoneticPr fontId="14"/>
  </si>
  <si>
    <t>アカデミックサイトライセンス</t>
    <phoneticPr fontId="14"/>
  </si>
  <si>
    <t>m‐FILTER_Ver.4__Ver.4.82以上</t>
    <rPh sb="24" eb="26">
      <t>イジョウ</t>
    </rPh>
    <phoneticPr fontId="14"/>
  </si>
  <si>
    <t>m‐FILTER_Ver.4__Ver.4.81以下</t>
    <rPh sb="24" eb="26">
      <t>イカ</t>
    </rPh>
    <phoneticPr fontId="14"/>
  </si>
  <si>
    <t>OP10</t>
    <phoneticPr fontId="14"/>
  </si>
  <si>
    <t>Dアラート通知先</t>
    <rPh sb="5" eb="7">
      <t>ツウチ</t>
    </rPh>
    <rPh sb="7" eb="8">
      <t>サキ</t>
    </rPh>
    <phoneticPr fontId="14"/>
  </si>
  <si>
    <t>@Cloud管理者Mail</t>
    <phoneticPr fontId="14"/>
  </si>
  <si>
    <t>@Cloud_iF/mF連携</t>
    <phoneticPr fontId="14"/>
  </si>
  <si>
    <t>@Cloud_mF/FC連携</t>
    <phoneticPr fontId="14"/>
  </si>
  <si>
    <t>i-FILTER</t>
  </si>
  <si>
    <t>スタンダード</t>
    <phoneticPr fontId="14"/>
  </si>
  <si>
    <t>アカデミック</t>
    <phoneticPr fontId="14"/>
  </si>
  <si>
    <t>m-FILTER Ver.5</t>
    <phoneticPr fontId="14"/>
  </si>
  <si>
    <t>m-FILTER Ver.5 アカデミック</t>
    <phoneticPr fontId="14"/>
  </si>
  <si>
    <t>m-FILTER アカデミック</t>
    <phoneticPr fontId="14"/>
  </si>
  <si>
    <t>i‐FILTER_Ver.8.x以下</t>
    <phoneticPr fontId="14"/>
  </si>
  <si>
    <t>i-FILTER アカデミック</t>
  </si>
  <si>
    <t>i-FILTER 学校向けサイトライセンス</t>
  </si>
  <si>
    <t>管理シートAC3</t>
    <rPh sb="0" eb="2">
      <t>カンリ</t>
    </rPh>
    <phoneticPr fontId="14"/>
  </si>
  <si>
    <t>管理シートAC7</t>
    <rPh sb="0" eb="2">
      <t>カンリ</t>
    </rPh>
    <phoneticPr fontId="14"/>
  </si>
  <si>
    <t>i-FILTER 学校向けサイトライセンス Ver.10（優待）</t>
    <phoneticPr fontId="14"/>
  </si>
  <si>
    <t>i-FILTER Ver.10 アカデミック</t>
    <phoneticPr fontId="14"/>
  </si>
  <si>
    <t>i-FILTER Ver.10</t>
    <phoneticPr fontId="14"/>
  </si>
  <si>
    <t>契約
期間</t>
    <rPh sb="0" eb="2">
      <t>ケイヤク</t>
    </rPh>
    <rPh sb="3" eb="5">
      <t>キカン</t>
    </rPh>
    <phoneticPr fontId="17"/>
  </si>
  <si>
    <t>契約
開始日</t>
    <rPh sb="0" eb="2">
      <t>ケイヤク</t>
    </rPh>
    <rPh sb="3" eb="6">
      <t>カイシビ</t>
    </rPh>
    <phoneticPr fontId="17"/>
  </si>
  <si>
    <t>ﾗｲｾ
ﾝｽ数</t>
    <phoneticPr fontId="17"/>
  </si>
  <si>
    <t>サーバ
台数</t>
    <rPh sb="4" eb="6">
      <t>ダイスウ</t>
    </rPh>
    <phoneticPr fontId="17"/>
  </si>
  <si>
    <t>月1日</t>
    <rPh sb="0" eb="1">
      <t>ツキ</t>
    </rPh>
    <rPh sb="2" eb="3">
      <t>ヒ</t>
    </rPh>
    <phoneticPr fontId="14"/>
  </si>
  <si>
    <t>保有シ
リアル</t>
    <rPh sb="0" eb="2">
      <t>ホユウ</t>
    </rPh>
    <phoneticPr fontId="17"/>
  </si>
  <si>
    <t>Global
DataBase</t>
    <phoneticPr fontId="17"/>
  </si>
  <si>
    <t>ﾗｲｾ
ﾝｽ数</t>
    <phoneticPr fontId="17"/>
  </si>
  <si>
    <t>AV
Adapter</t>
    <phoneticPr fontId="17"/>
  </si>
  <si>
    <t>APT
Protection</t>
    <phoneticPr fontId="17"/>
  </si>
  <si>
    <t>SSL APT
Adapter</t>
    <phoneticPr fontId="17"/>
  </si>
  <si>
    <t>Info
Board</t>
    <phoneticPr fontId="17"/>
  </si>
  <si>
    <t>Log
Search</t>
    <phoneticPr fontId="14"/>
  </si>
  <si>
    <t>SSL
Adapter</t>
    <phoneticPr fontId="14"/>
  </si>
  <si>
    <t>ライセ
ンス数</t>
    <rPh sb="6" eb="7">
      <t>スウ</t>
    </rPh>
    <phoneticPr fontId="17"/>
  </si>
  <si>
    <t>Mail
Filter</t>
    <phoneticPr fontId="17"/>
  </si>
  <si>
    <t>Archive</t>
    <phoneticPr fontId="17"/>
  </si>
  <si>
    <t>Anti
Spam</t>
    <phoneticPr fontId="17"/>
  </si>
  <si>
    <t>FinalCode
Adapter</t>
    <phoneticPr fontId="17"/>
  </si>
  <si>
    <t>Finalcode
保有シリアル</t>
    <phoneticPr fontId="17"/>
  </si>
  <si>
    <t>Ver.8.x以下
オプション</t>
    <phoneticPr fontId="14"/>
  </si>
  <si>
    <t>機能・オプション選択欄</t>
    <phoneticPr fontId="17"/>
  </si>
  <si>
    <t>ライセ
ンス数</t>
    <rPh sb="6" eb="7">
      <t>スウ</t>
    </rPh>
    <phoneticPr fontId="14"/>
  </si>
  <si>
    <t>管理
者数</t>
    <phoneticPr fontId="17"/>
  </si>
  <si>
    <t>試用版
利用有無</t>
    <rPh sb="0" eb="3">
      <t>シヨウバン</t>
    </rPh>
    <rPh sb="4" eb="5">
      <t>リ</t>
    </rPh>
    <rPh sb="5" eb="6">
      <t>ヨウ</t>
    </rPh>
    <rPh sb="6" eb="8">
      <t>ウム</t>
    </rPh>
    <phoneticPr fontId="14"/>
  </si>
  <si>
    <t>月1日</t>
    <rPh sb="2" eb="3">
      <t>ヒ</t>
    </rPh>
    <phoneticPr fontId="17"/>
  </si>
  <si>
    <r>
      <t>保有シ
リアル</t>
    </r>
    <r>
      <rPr>
        <b/>
        <vertAlign val="superscript"/>
        <sz val="8"/>
        <color theme="1"/>
        <rFont val="MS UI Gothic"/>
        <family val="3"/>
        <charset val="128"/>
      </rPr>
      <t>*</t>
    </r>
    <phoneticPr fontId="17"/>
  </si>
  <si>
    <t>製品区分</t>
    <rPh sb="0" eb="2">
      <t>セイヒン</t>
    </rPh>
    <rPh sb="2" eb="4">
      <t>クブン</t>
    </rPh>
    <phoneticPr fontId="14"/>
  </si>
  <si>
    <t>申請区分</t>
    <rPh sb="0" eb="2">
      <t>シンセイ</t>
    </rPh>
    <rPh sb="2" eb="4">
      <t>クブン</t>
    </rPh>
    <phoneticPr fontId="14"/>
  </si>
  <si>
    <t>エディション移行</t>
  </si>
  <si>
    <t>◆エディション移行時のご確認事項</t>
    <rPh sb="9" eb="10">
      <t>ジ</t>
    </rPh>
    <rPh sb="12" eb="14">
      <t>カクニン</t>
    </rPh>
    <rPh sb="14" eb="16">
      <t>ジコウ</t>
    </rPh>
    <phoneticPr fontId="14"/>
  </si>
  <si>
    <t>追加（更新・エディション移行同時）</t>
  </si>
  <si>
    <t>試用版
利用有無</t>
    <rPh sb="0" eb="3">
      <t>シヨウバン</t>
    </rPh>
    <rPh sb="4" eb="6">
      <t>リヨウ</t>
    </rPh>
    <rPh sb="6" eb="8">
      <t>ウム</t>
    </rPh>
    <phoneticPr fontId="14"/>
  </si>
  <si>
    <t>契約
期間</t>
    <rPh sb="0" eb="2">
      <t>ケイヤク</t>
    </rPh>
    <rPh sb="3" eb="5">
      <t>キカン</t>
    </rPh>
    <phoneticPr fontId="14"/>
  </si>
  <si>
    <t>契約
開始日</t>
    <rPh sb="0" eb="2">
      <t>ケイヤク</t>
    </rPh>
    <rPh sb="3" eb="6">
      <t>カイシビ</t>
    </rPh>
    <phoneticPr fontId="14"/>
  </si>
  <si>
    <r>
      <t>管理者登録用
メールアドレス</t>
    </r>
    <r>
      <rPr>
        <b/>
        <vertAlign val="superscript"/>
        <sz val="8"/>
        <color theme="1"/>
        <rFont val="MS UI Gothic"/>
        <family val="3"/>
        <charset val="128"/>
      </rPr>
      <t>*1</t>
    </r>
    <rPh sb="0" eb="3">
      <t>カンリシャ</t>
    </rPh>
    <rPh sb="3" eb="6">
      <t>トウロクヨウ</t>
    </rPh>
    <phoneticPr fontId="14"/>
  </si>
  <si>
    <t>m-FILTER
Adapter</t>
    <phoneticPr fontId="14"/>
  </si>
  <si>
    <t>オフライン
閲覧</t>
    <rPh sb="6" eb="8">
      <t>エツラン</t>
    </rPh>
    <phoneticPr fontId="14"/>
  </si>
  <si>
    <r>
      <t>API</t>
    </r>
    <r>
      <rPr>
        <b/>
        <vertAlign val="superscript"/>
        <sz val="8"/>
        <color theme="1"/>
        <rFont val="ＭＳ Ｐゴシック"/>
        <family val="3"/>
        <charset val="128"/>
        <scheme val="minor"/>
      </rPr>
      <t>*2</t>
    </r>
    <phoneticPr fontId="14"/>
  </si>
  <si>
    <t>はい/いいえ</t>
    <phoneticPr fontId="14"/>
  </si>
  <si>
    <t>FinalCode Ver.6 VA</t>
    <phoneticPr fontId="14"/>
  </si>
  <si>
    <t>追加（エディション移行同時）</t>
  </si>
  <si>
    <t>※「i-FILTER」Ver.9以上は64bitアプリケーションです。32bit OS上では動作いたしません</t>
    <rPh sb="16" eb="18">
      <t>イジョウ</t>
    </rPh>
    <phoneticPr fontId="14"/>
  </si>
  <si>
    <t>※「FinalCode Adapter Advanced」はVer.4.6以降、「クリプト便 Adapter」「クリプト便 for m-FILTER」はVer.4以降の「m-FILTER MailFilter」ご利用時にご購入いただけます</t>
    <rPh sb="37" eb="39">
      <t>イコウ</t>
    </rPh>
    <rPh sb="45" eb="46">
      <t>ビン</t>
    </rPh>
    <rPh sb="60" eb="61">
      <t>ビン</t>
    </rPh>
    <rPh sb="81" eb="83">
      <t>イコウ</t>
    </rPh>
    <rPh sb="106" eb="109">
      <t>リヨウジ</t>
    </rPh>
    <rPh sb="111" eb="113">
      <t>コウニュウ</t>
    </rPh>
    <phoneticPr fontId="17"/>
  </si>
  <si>
    <t>※購入ﾗｲｾﾝｽ数はご利用端末（iOS, Android, Windows）の合計数です。※管理者数分の企業パスワードを発行し、管理画面は管理者別になります</t>
    <rPh sb="46" eb="49">
      <t>カンリシャ</t>
    </rPh>
    <rPh sb="49" eb="50">
      <t>スウ</t>
    </rPh>
    <rPh sb="50" eb="51">
      <t>ブン</t>
    </rPh>
    <rPh sb="52" eb="54">
      <t>キギョウ</t>
    </rPh>
    <rPh sb="60" eb="62">
      <t>ハッコウ</t>
    </rPh>
    <rPh sb="64" eb="66">
      <t>カンリ</t>
    </rPh>
    <rPh sb="66" eb="68">
      <t>ガメン</t>
    </rPh>
    <rPh sb="69" eb="72">
      <t>カンリシャ</t>
    </rPh>
    <rPh sb="72" eb="73">
      <t>ベツ</t>
    </rPh>
    <phoneticPr fontId="14"/>
  </si>
  <si>
    <t>・「社内ビューアー機能※」をONにした場合、主管理者が管理していない社内閲覧ユーザーによる開封が行える可能性がありますので、ご了承ください
　既存のお客様は「社内ビューアー機能」をデフォルトOFFにして提供します。※“FinalCodeライセンスを保有していない社内ユーザー” が、FCLファイルを閲覧することができる機能
・エディション移行に掛かる費用は、「FinalCode@Cloud」の価格と、Ver.5以前の「FinalCode（SaaS版）」の価格の差額（既存契約の残存期間分。一円位四捨五入、十円単位）となります
・エディション移行後の料金が、現行価格よりも安価になる場合、差額返金は行いません。年間費用の変更適用は、次回更新時に行います</t>
    <phoneticPr fontId="17"/>
  </si>
  <si>
    <t>FinalCodeの使用上の注意 https://www.finalcode.com/jp/features/note/ を確認しました</t>
    <rPh sb="10" eb="13">
      <t>シヨウジョウ</t>
    </rPh>
    <rPh sb="14" eb="16">
      <t>チュウイ</t>
    </rPh>
    <rPh sb="62" eb="64">
      <t>カクニン</t>
    </rPh>
    <phoneticPr fontId="14"/>
  </si>
  <si>
    <t>上書き保存、コピー・ペースト/キャプチャ、印刷に対する制御（IRM制御）がかかっている暗号化ファイルを開封するには動作検証済みソフトウェアを使用する必要があります。動作検証済みソフトウェアなど、FinalCodeの動作環境について https://www.finalcode.com/jp/product/spec を確認しました</t>
    <phoneticPr fontId="14"/>
  </si>
  <si>
    <t>シリアル</t>
    <phoneticPr fontId="17"/>
  </si>
  <si>
    <t>備考・通信欄
（キャンペーン等）</t>
    <rPh sb="5" eb="6">
      <t>ラン</t>
    </rPh>
    <rPh sb="14" eb="15">
      <t>ナド</t>
    </rPh>
    <phoneticPr fontId="14"/>
  </si>
  <si>
    <t>※1:管理者登録用メールアドレス：本メールアドレスのドメインは「企業ドメイン」として初期設定されます</t>
    <phoneticPr fontId="17"/>
  </si>
  <si>
    <t xml:space="preserve"> FinalCode 購入申請欄</t>
    <rPh sb="11" eb="13">
      <t>コウニュウ</t>
    </rPh>
    <rPh sb="13" eb="15">
      <t>シンセイ</t>
    </rPh>
    <rPh sb="15" eb="16">
      <t>ラン</t>
    </rPh>
    <phoneticPr fontId="14"/>
  </si>
  <si>
    <t>担当者名</t>
    <rPh sb="0" eb="3">
      <t>タントウシャ</t>
    </rPh>
    <rPh sb="3" eb="4">
      <t>メイ</t>
    </rPh>
    <phoneticPr fontId="14"/>
  </si>
  <si>
    <t>ご購入機器明細1</t>
    <rPh sb="1" eb="3">
      <t>コウニュウ</t>
    </rPh>
    <rPh sb="3" eb="5">
      <t>キキ</t>
    </rPh>
    <rPh sb="5" eb="7">
      <t>メイサイ</t>
    </rPh>
    <phoneticPr fontId="14"/>
  </si>
  <si>
    <r>
      <t>D-SPAハードウェア本体(その１)および、ハードウェアオプション - 本体1台ごとに1行を用いご記入ください</t>
    </r>
    <r>
      <rPr>
        <b/>
        <sz val="6"/>
        <color rgb="FFFF0000"/>
        <rFont val="ＭＳ Ｐゴシック"/>
        <family val="3"/>
        <charset val="128"/>
      </rPr>
      <t>　(※)自身の筐体のローテートログ保存または統合ログ保存（MGRモードのみ）を出荷時に選択可能。後から設定変更することは不可。</t>
    </r>
    <rPh sb="10" eb="12">
      <t>ホンタイ</t>
    </rPh>
    <rPh sb="35" eb="37">
      <t>ホンタイ</t>
    </rPh>
    <rPh sb="38" eb="39">
      <t>ダイ</t>
    </rPh>
    <rPh sb="43" eb="44">
      <t>ギョウ</t>
    </rPh>
    <rPh sb="45" eb="46">
      <t>モチ</t>
    </rPh>
    <rPh sb="48" eb="50">
      <t>キニュウ</t>
    </rPh>
    <rPh sb="94" eb="96">
      <t>シュッカ</t>
    </rPh>
    <rPh sb="96" eb="97">
      <t>ジ</t>
    </rPh>
    <rPh sb="103" eb="104">
      <t>アト</t>
    </rPh>
    <rPh sb="106" eb="108">
      <t>セッテイ</t>
    </rPh>
    <rPh sb="108" eb="110">
      <t>ヘンコウ</t>
    </rPh>
    <rPh sb="115" eb="117">
      <t>フカ</t>
    </rPh>
    <phoneticPr fontId="14"/>
  </si>
  <si>
    <t>No.</t>
    <phoneticPr fontId="14"/>
  </si>
  <si>
    <t>モデル</t>
    <phoneticPr fontId="14"/>
  </si>
  <si>
    <t>区分</t>
    <rPh sb="0" eb="2">
      <t>クブン</t>
    </rPh>
    <phoneticPr fontId="14"/>
  </si>
  <si>
    <t>新規区分</t>
    <rPh sb="0" eb="2">
      <t>シンキ</t>
    </rPh>
    <rPh sb="2" eb="4">
      <t>クブン</t>
    </rPh>
    <phoneticPr fontId="14"/>
  </si>
  <si>
    <t>ハードウェアオプション</t>
    <phoneticPr fontId="14"/>
  </si>
  <si>
    <t>HDD拡充オプション</t>
    <rPh sb="3" eb="5">
      <t>カクジュウ</t>
    </rPh>
    <phoneticPr fontId="14"/>
  </si>
  <si>
    <t>電源冗長化オプション
(電源ケーブルは付属していません)</t>
    <rPh sb="0" eb="2">
      <t>デンゲン</t>
    </rPh>
    <rPh sb="2" eb="4">
      <t>ジョウチョウ</t>
    </rPh>
    <rPh sb="4" eb="5">
      <t>カ</t>
    </rPh>
    <rPh sb="12" eb="14">
      <t>デンゲン</t>
    </rPh>
    <rPh sb="19" eb="21">
      <t>フゾク</t>
    </rPh>
    <phoneticPr fontId="14"/>
  </si>
  <si>
    <r>
      <t>利用用途</t>
    </r>
    <r>
      <rPr>
        <sz val="6"/>
        <color rgb="FFFF0000"/>
        <rFont val="ＭＳ Ｐゴシック"/>
        <family val="3"/>
        <charset val="128"/>
        <scheme val="minor"/>
      </rPr>
      <t>(※)</t>
    </r>
    <rPh sb="0" eb="2">
      <t>リヨウ</t>
    </rPh>
    <rPh sb="2" eb="4">
      <t>ヨウト</t>
    </rPh>
    <phoneticPr fontId="14"/>
  </si>
  <si>
    <t>例</t>
    <rPh sb="0" eb="1">
      <t>レイ</t>
    </rPh>
    <phoneticPr fontId="14"/>
  </si>
  <si>
    <t>ローテートログ/統合ログ併用</t>
  </si>
  <si>
    <t>追加ネットワーク・インターフェースあり</t>
  </si>
  <si>
    <t>ご購入保守サービス明細</t>
    <rPh sb="1" eb="3">
      <t>コウニュウ</t>
    </rPh>
    <rPh sb="3" eb="5">
      <t>ホシュ</t>
    </rPh>
    <rPh sb="9" eb="11">
      <t>メイサイ</t>
    </rPh>
    <phoneticPr fontId="14"/>
  </si>
  <si>
    <r>
      <rPr>
        <b/>
        <sz val="8"/>
        <color theme="1" tint="0.499984740745262"/>
        <rFont val="ＭＳ Ｐゴシック"/>
        <family val="3"/>
        <charset val="128"/>
      </rPr>
      <t>　　　　　保守サービス</t>
    </r>
    <rPh sb="5" eb="6">
      <t>ホシュ</t>
    </rPh>
    <phoneticPr fontId="14"/>
  </si>
  <si>
    <t>No.</t>
    <phoneticPr fontId="14"/>
  </si>
  <si>
    <t>モデル</t>
    <phoneticPr fontId="14"/>
  </si>
  <si>
    <t>保守区分</t>
    <rPh sb="0" eb="2">
      <t>ホシュ</t>
    </rPh>
    <rPh sb="2" eb="4">
      <t>クブン</t>
    </rPh>
    <phoneticPr fontId="14"/>
  </si>
  <si>
    <t>年次
区分</t>
    <rPh sb="0" eb="2">
      <t>ネンジ</t>
    </rPh>
    <rPh sb="3" eb="5">
      <t>クブン</t>
    </rPh>
    <phoneticPr fontId="14"/>
  </si>
  <si>
    <t>製品シリアル</t>
    <rPh sb="0" eb="2">
      <t>セイヒン</t>
    </rPh>
    <phoneticPr fontId="14"/>
  </si>
  <si>
    <t>年数</t>
    <rPh sb="0" eb="2">
      <t>ネンスウ</t>
    </rPh>
    <phoneticPr fontId="14"/>
  </si>
  <si>
    <t>運用開始日</t>
    <rPh sb="0" eb="5">
      <t>ウンヨウカイシビ</t>
    </rPh>
    <phoneticPr fontId="14"/>
  </si>
  <si>
    <t>HDD引渡しオプション</t>
    <rPh sb="3" eb="5">
      <t>ヒキワタ</t>
    </rPh>
    <phoneticPr fontId="14"/>
  </si>
  <si>
    <t>備考</t>
    <rPh sb="0" eb="2">
      <t>ビコウ</t>
    </rPh>
    <phoneticPr fontId="14"/>
  </si>
  <si>
    <t>(初年度のみ)</t>
    <rPh sb="1" eb="4">
      <t>ショネンド</t>
    </rPh>
    <phoneticPr fontId="14"/>
  </si>
  <si>
    <t>Silver Plus</t>
  </si>
  <si>
    <t>初年度</t>
  </si>
  <si>
    <t>9999-XXXXXXXXXX-YYYY</t>
    <phoneticPr fontId="14"/>
  </si>
  <si>
    <t>1年</t>
  </si>
  <si>
    <t>日</t>
    <rPh sb="0" eb="1">
      <t>ヒ</t>
    </rPh>
    <phoneticPr fontId="14"/>
  </si>
  <si>
    <t>設置場所情報</t>
    <phoneticPr fontId="14"/>
  </si>
  <si>
    <t>D-SPAハードウェア本体(その２)</t>
    <rPh sb="10" eb="12">
      <t>ホンタイ</t>
    </rPh>
    <phoneticPr fontId="14"/>
  </si>
  <si>
    <t>No.</t>
    <phoneticPr fontId="14"/>
  </si>
  <si>
    <t>モデル</t>
    <phoneticPr fontId="14"/>
  </si>
  <si>
    <t>設 置 場 所</t>
    <rPh sb="0" eb="1">
      <t>セツ</t>
    </rPh>
    <rPh sb="2" eb="3">
      <t>チ</t>
    </rPh>
    <rPh sb="4" eb="5">
      <t>バ</t>
    </rPh>
    <rPh sb="6" eb="7">
      <t>ショ</t>
    </rPh>
    <phoneticPr fontId="14"/>
  </si>
  <si>
    <t>種別</t>
    <rPh sb="0" eb="2">
      <t>シュベツ</t>
    </rPh>
    <phoneticPr fontId="14"/>
  </si>
  <si>
    <t>郵便番号</t>
    <rPh sb="0" eb="4">
      <t>ユウビンバンゴウ</t>
    </rPh>
    <phoneticPr fontId="14"/>
  </si>
  <si>
    <t>都道府県</t>
    <rPh sb="0" eb="4">
      <t>トドウフケン</t>
    </rPh>
    <phoneticPr fontId="14"/>
  </si>
  <si>
    <t>市区町村</t>
    <rPh sb="0" eb="4">
      <t>シクチョウソン</t>
    </rPh>
    <phoneticPr fontId="14"/>
  </si>
  <si>
    <t>町名・番地</t>
    <rPh sb="0" eb="2">
      <t>チョウメイ</t>
    </rPh>
    <rPh sb="3" eb="5">
      <t>バンチ</t>
    </rPh>
    <phoneticPr fontId="14"/>
  </si>
  <si>
    <t>ビル名・部屋番号等</t>
    <rPh sb="2" eb="3">
      <t>メイ</t>
    </rPh>
    <rPh sb="4" eb="8">
      <t>ヘヤバンゴウ</t>
    </rPh>
    <rPh sb="8" eb="9">
      <t>トウ</t>
    </rPh>
    <phoneticPr fontId="14"/>
  </si>
  <si>
    <t>電話番号</t>
    <rPh sb="0" eb="4">
      <t>デンワバンゴウ</t>
    </rPh>
    <phoneticPr fontId="14"/>
  </si>
  <si>
    <t>A表と異なる</t>
    <phoneticPr fontId="14"/>
  </si>
  <si>
    <t>株式会社データセンター</t>
    <rPh sb="0" eb="4">
      <t>カブシキガイシャ</t>
    </rPh>
    <phoneticPr fontId="14"/>
  </si>
  <si>
    <t>〒</t>
    <phoneticPr fontId="14"/>
  </si>
  <si>
    <t>100-0004</t>
    <phoneticPr fontId="14"/>
  </si>
  <si>
    <t>東京都</t>
  </si>
  <si>
    <t>千代田区</t>
    <rPh sb="0" eb="4">
      <t>チヨダク</t>
    </rPh>
    <phoneticPr fontId="14"/>
  </si>
  <si>
    <t>大手町1-5-1</t>
    <rPh sb="0" eb="3">
      <t>オオテマチ</t>
    </rPh>
    <phoneticPr fontId="14"/>
  </si>
  <si>
    <t>大手町ファーストスクエアウエストタワー14階</t>
    <rPh sb="0" eb="3">
      <t>オオテマチ</t>
    </rPh>
    <rPh sb="21" eb="22">
      <t>カイ</t>
    </rPh>
    <phoneticPr fontId="14"/>
  </si>
  <si>
    <t>03-5220-3090</t>
    <phoneticPr fontId="14"/>
  </si>
  <si>
    <t>ご購入オプション明細</t>
    <rPh sb="1" eb="3">
      <t>コウニュウ</t>
    </rPh>
    <rPh sb="8" eb="10">
      <t>メイサイ</t>
    </rPh>
    <phoneticPr fontId="14"/>
  </si>
  <si>
    <r>
      <rPr>
        <b/>
        <sz val="8"/>
        <color indexed="23"/>
        <rFont val="ＭＳ Ｐゴシック"/>
        <family val="3"/>
        <charset val="128"/>
      </rPr>
      <t>ソフトウェアオプション</t>
    </r>
    <phoneticPr fontId="14"/>
  </si>
  <si>
    <t>No.</t>
    <phoneticPr fontId="14"/>
  </si>
  <si>
    <t>ソフトウェアオプション名</t>
    <rPh sb="11" eb="12">
      <t>メイ</t>
    </rPh>
    <phoneticPr fontId="14"/>
  </si>
  <si>
    <t>オプション
有無</t>
    <rPh sb="6" eb="8">
      <t>ウム</t>
    </rPh>
    <phoneticPr fontId="14"/>
  </si>
  <si>
    <t>連携AV製品</t>
    <rPh sb="0" eb="2">
      <t>レンケイ</t>
    </rPh>
    <rPh sb="4" eb="6">
      <t>セイヒン</t>
    </rPh>
    <phoneticPr fontId="14"/>
  </si>
  <si>
    <t>価格/年次
区分</t>
    <rPh sb="0" eb="2">
      <t>カカク</t>
    </rPh>
    <rPh sb="3" eb="5">
      <t>ネンジ</t>
    </rPh>
    <rPh sb="6" eb="8">
      <t>クブン</t>
    </rPh>
    <phoneticPr fontId="14"/>
  </si>
  <si>
    <t>オプションシリアル</t>
    <phoneticPr fontId="14"/>
  </si>
  <si>
    <t>初年度のみ</t>
    <rPh sb="0" eb="3">
      <t>ショネンド</t>
    </rPh>
    <phoneticPr fontId="14"/>
  </si>
  <si>
    <t>○ あり</t>
    <phoneticPr fontId="14"/>
  </si>
  <si>
    <t>5年</t>
  </si>
  <si>
    <t>※「HDD拡充オプション」、「追加ネットワーク・インターフェース・オプション」、「電源冗長化オプション」についてはD-SPA本体の機種により適用可能なオプションの組合せが制限を受けます。また、各価格の適用や、</t>
    <rPh sb="41" eb="43">
      <t>デンゲン</t>
    </rPh>
    <rPh sb="43" eb="45">
      <t>ジョウチョウ</t>
    </rPh>
    <rPh sb="45" eb="46">
      <t>カ</t>
    </rPh>
    <rPh sb="62" eb="64">
      <t>ホンタイ</t>
    </rPh>
    <rPh sb="65" eb="67">
      <t>キシュ</t>
    </rPh>
    <rPh sb="70" eb="72">
      <t>テキヨウ</t>
    </rPh>
    <rPh sb="72" eb="74">
      <t>カノウ</t>
    </rPh>
    <rPh sb="81" eb="83">
      <t>クミアワ</t>
    </rPh>
    <rPh sb="85" eb="87">
      <t>セイゲン</t>
    </rPh>
    <rPh sb="88" eb="89">
      <t>ウ</t>
    </rPh>
    <phoneticPr fontId="14"/>
  </si>
  <si>
    <t>通信欄</t>
    <rPh sb="0" eb="2">
      <t>ツウシン</t>
    </rPh>
    <rPh sb="2" eb="3">
      <t>ラン</t>
    </rPh>
    <phoneticPr fontId="14"/>
  </si>
  <si>
    <t>ソフトウェアオプション等の選択についても適用条件のある項目がございます。詳しくは、販売店または弊社にお問い合わせ下さい。なお「電源冗長化」は複数台価格、乗換価格を設定しておりません（標準価格が適用されます）。</t>
    <rPh sb="20" eb="22">
      <t>テキヨウ</t>
    </rPh>
    <rPh sb="22" eb="24">
      <t>ジョウケン</t>
    </rPh>
    <rPh sb="27" eb="29">
      <t>コウモク</t>
    </rPh>
    <rPh sb="36" eb="37">
      <t>クワ</t>
    </rPh>
    <rPh sb="41" eb="44">
      <t>ハンバイテン</t>
    </rPh>
    <rPh sb="47" eb="49">
      <t>ヘイシャ</t>
    </rPh>
    <rPh sb="51" eb="52">
      <t>ト</t>
    </rPh>
    <rPh sb="53" eb="54">
      <t>ア</t>
    </rPh>
    <rPh sb="56" eb="57">
      <t>クダ</t>
    </rPh>
    <phoneticPr fontId="14"/>
  </si>
  <si>
    <t xml:space="preserve">Copyright © Digital Arts Inc. All Rights Reserved.  </t>
    <phoneticPr fontId="14"/>
  </si>
  <si>
    <t>現れる場所</t>
    <rPh sb="0" eb="1">
      <t>アラワ</t>
    </rPh>
    <rPh sb="3" eb="5">
      <t>バショ</t>
    </rPh>
    <phoneticPr fontId="14"/>
  </si>
  <si>
    <t>文字数</t>
    <rPh sb="0" eb="3">
      <t>モジスウ</t>
    </rPh>
    <phoneticPr fontId="14"/>
  </si>
  <si>
    <t>A表と異なる</t>
  </si>
  <si>
    <t>○ (スタンダード)</t>
    <phoneticPr fontId="14"/>
  </si>
  <si>
    <t>i-FILTER for D-SPA</t>
  </si>
  <si>
    <t>A表に同じ</t>
  </si>
  <si>
    <t>AV Adapter for D-SPA</t>
  </si>
  <si>
    <t>Info Board for D-SPA</t>
  </si>
  <si>
    <t>○ (DDI)</t>
    <phoneticPr fontId="14"/>
  </si>
  <si>
    <t>APT Protection for D-SPA (DDI)</t>
    <phoneticPr fontId="14"/>
  </si>
  <si>
    <t>○ (FE)</t>
    <phoneticPr fontId="14"/>
  </si>
  <si>
    <t>APT Protection for D-SPA (FE)</t>
    <phoneticPr fontId="14"/>
  </si>
  <si>
    <t>SSL APT Adapter for D-SPA</t>
    <phoneticPr fontId="14"/>
  </si>
  <si>
    <t>Global Database for D-SPA</t>
    <phoneticPr fontId="14"/>
  </si>
  <si>
    <t>m-FILTER V5 URL連携機能</t>
    <phoneticPr fontId="14"/>
  </si>
  <si>
    <t>モデル名</t>
    <rPh sb="3" eb="4">
      <t>メイ</t>
    </rPh>
    <phoneticPr fontId="14"/>
  </si>
  <si>
    <t>ソフトウェアオプション区分</t>
    <rPh sb="11" eb="13">
      <t>クブン</t>
    </rPh>
    <phoneticPr fontId="14"/>
  </si>
  <si>
    <t>i-FILTER for D-SPA Ver.4 スタンダード</t>
    <phoneticPr fontId="14"/>
  </si>
  <si>
    <t>新規</t>
    <rPh sb="0" eb="2">
      <t>シンキ</t>
    </rPh>
    <phoneticPr fontId="14"/>
  </si>
  <si>
    <t>カスペルスキー</t>
    <phoneticPr fontId="14"/>
  </si>
  <si>
    <t>i-FILTER for D-SPA Ver.4 アカデミック</t>
    <phoneticPr fontId="14"/>
  </si>
  <si>
    <t>更新</t>
    <rPh sb="0" eb="2">
      <t>コウシン</t>
    </rPh>
    <phoneticPr fontId="14"/>
  </si>
  <si>
    <t>シマンテック</t>
    <phoneticPr fontId="14"/>
  </si>
  <si>
    <t>AV Adapter for D-SPA Ver.4</t>
    <phoneticPr fontId="14"/>
  </si>
  <si>
    <t>更新（減数）</t>
    <rPh sb="0" eb="2">
      <t>コウシン</t>
    </rPh>
    <rPh sb="3" eb="5">
      <t>ゲンスウ</t>
    </rPh>
    <phoneticPr fontId="14"/>
  </si>
  <si>
    <t>トレンドマイクロ</t>
    <phoneticPr fontId="14"/>
  </si>
  <si>
    <t>Info Board for D-SPA Ver.4</t>
    <phoneticPr fontId="14"/>
  </si>
  <si>
    <t>追加</t>
    <rPh sb="0" eb="2">
      <t>ツイカ</t>
    </rPh>
    <phoneticPr fontId="14"/>
  </si>
  <si>
    <t>エフセキュア</t>
    <phoneticPr fontId="14"/>
  </si>
  <si>
    <t>APT Protection for D-SPA Ver.4</t>
    <phoneticPr fontId="14"/>
  </si>
  <si>
    <t>追加（更新同時）</t>
    <rPh sb="0" eb="2">
      <t>ツイカ</t>
    </rPh>
    <rPh sb="3" eb="5">
      <t>コウシン</t>
    </rPh>
    <rPh sb="5" eb="7">
      <t>ドウジ</t>
    </rPh>
    <phoneticPr fontId="14"/>
  </si>
  <si>
    <t>SSL APT Adapter for D-SPA Ver.4</t>
    <phoneticPr fontId="14"/>
  </si>
  <si>
    <t>Global Database for D-SPA Ver.4</t>
    <phoneticPr fontId="14"/>
  </si>
  <si>
    <t>ハードウェアオプション名　-　HDD拡充オプション</t>
    <rPh sb="11" eb="12">
      <t>メイ</t>
    </rPh>
    <rPh sb="18" eb="20">
      <t>カクジュウ</t>
    </rPh>
    <phoneticPr fontId="14"/>
  </si>
  <si>
    <t>なし</t>
  </si>
  <si>
    <t>ハードウェアオプション名　-　HDD拡充オプション-利用用途</t>
    <rPh sb="11" eb="12">
      <t>メイ</t>
    </rPh>
    <rPh sb="18" eb="20">
      <t>カクジュウ</t>
    </rPh>
    <rPh sb="26" eb="28">
      <t>リヨウ</t>
    </rPh>
    <rPh sb="28" eb="30">
      <t>ヨウト</t>
    </rPh>
    <phoneticPr fontId="14"/>
  </si>
  <si>
    <t>ローテートログ利用</t>
    <phoneticPr fontId="14"/>
  </si>
  <si>
    <t>統合ログ利用</t>
    <phoneticPr fontId="14"/>
  </si>
  <si>
    <t>ローテートログ/統合ログ併用</t>
    <phoneticPr fontId="14"/>
  </si>
  <si>
    <t>なし</t>
    <phoneticPr fontId="14"/>
  </si>
  <si>
    <t>ハードウェアオプション名　-　電源冗長化オプション</t>
    <rPh sb="15" eb="17">
      <t>デンゲン</t>
    </rPh>
    <rPh sb="17" eb="19">
      <t>ジョウチョウ</t>
    </rPh>
    <rPh sb="19" eb="20">
      <t>カ</t>
    </rPh>
    <phoneticPr fontId="14"/>
  </si>
  <si>
    <t>ハードウェアオプション名　-　追加電源ケーブル</t>
    <rPh sb="15" eb="17">
      <t>ツイカ</t>
    </rPh>
    <rPh sb="17" eb="19">
      <t>デンゲン</t>
    </rPh>
    <phoneticPr fontId="14"/>
  </si>
  <si>
    <t>追加ケーブル AC100V 1本あり</t>
    <rPh sb="0" eb="2">
      <t>ツイカ</t>
    </rPh>
    <rPh sb="15" eb="16">
      <t>ホン</t>
    </rPh>
    <phoneticPr fontId="14"/>
  </si>
  <si>
    <t>追加ケーブル AC200V 1本 IEC60320 C14準拠あり</t>
    <rPh sb="0" eb="2">
      <t>ツイカ</t>
    </rPh>
    <rPh sb="15" eb="16">
      <t>ホン</t>
    </rPh>
    <rPh sb="29" eb="31">
      <t>ジュンキョ</t>
    </rPh>
    <phoneticPr fontId="14"/>
  </si>
  <si>
    <t>追加ケーブル AC200V 2本 IEC60320 C14準拠あり</t>
    <rPh sb="0" eb="2">
      <t>ツイカ</t>
    </rPh>
    <rPh sb="15" eb="16">
      <t>ホン</t>
    </rPh>
    <rPh sb="29" eb="31">
      <t>ジュンキョ</t>
    </rPh>
    <phoneticPr fontId="14"/>
  </si>
  <si>
    <t>追加ケーブル AC200V 1本 NEMA L6-15P準拠あり</t>
    <rPh sb="0" eb="2">
      <t>ツイカ</t>
    </rPh>
    <rPh sb="15" eb="16">
      <t>ホン</t>
    </rPh>
    <rPh sb="28" eb="30">
      <t>ジュンキョ</t>
    </rPh>
    <phoneticPr fontId="14"/>
  </si>
  <si>
    <t>追加ケーブル AC200V 2本 NEMA L6-15P準拠あり</t>
    <rPh sb="0" eb="2">
      <t>ツイカ</t>
    </rPh>
    <rPh sb="15" eb="16">
      <t>ホン</t>
    </rPh>
    <rPh sb="28" eb="30">
      <t>ジュンキョ</t>
    </rPh>
    <phoneticPr fontId="14"/>
  </si>
  <si>
    <t>未記入</t>
  </si>
  <si>
    <t>H/W_02</t>
  </si>
  <si>
    <t>H/W_03</t>
  </si>
  <si>
    <t>H/W_04</t>
  </si>
  <si>
    <t>H/W_05</t>
  </si>
  <si>
    <t>DigitalArts@Cloud ライセンス購入申請書　（B表）</t>
    <rPh sb="23" eb="25">
      <t>コウニュウ</t>
    </rPh>
    <rPh sb="25" eb="28">
      <t>シンセイショ</t>
    </rPh>
    <rPh sb="31" eb="32">
      <t>ヒョウ</t>
    </rPh>
    <phoneticPr fontId="14"/>
  </si>
  <si>
    <t>DigitalArts@Cloud 購入申請欄</t>
    <rPh sb="18" eb="20">
      <t>コウニュウ</t>
    </rPh>
    <rPh sb="20" eb="22">
      <t>シンセイ</t>
    </rPh>
    <rPh sb="22" eb="23">
      <t>ラン</t>
    </rPh>
    <phoneticPr fontId="14"/>
  </si>
  <si>
    <t>管理者E-mail</t>
    <rPh sb="0" eb="3">
      <t>カンリシャ</t>
    </rPh>
    <phoneticPr fontId="14"/>
  </si>
  <si>
    <t>保有シリアル</t>
    <rPh sb="0" eb="2">
      <t>ホユウ</t>
    </rPh>
    <phoneticPr fontId="14"/>
  </si>
  <si>
    <t>既に保有されているDigitalArts@Cloud製品のシリアルを【いずれか1つ】ご入力ください。この欄に入力されたシリアルを元に既存の保有情報を特定します。
また、iF/mF連携やｍF/FinalCode連携をご希望で、連携製品のいずれかを既に保有されている場合はそのシリアルをご入力ください。</t>
    <rPh sb="52" eb="53">
      <t>ラン</t>
    </rPh>
    <rPh sb="54" eb="56">
      <t>ニュウリョク</t>
    </rPh>
    <rPh sb="64" eb="65">
      <t>モト</t>
    </rPh>
    <rPh sb="66" eb="68">
      <t>キゾン</t>
    </rPh>
    <rPh sb="69" eb="71">
      <t>ホユウ</t>
    </rPh>
    <rPh sb="71" eb="73">
      <t>ジョウホウ</t>
    </rPh>
    <rPh sb="74" eb="76">
      <t>トクテイ</t>
    </rPh>
    <rPh sb="89" eb="91">
      <t>レンケイ</t>
    </rPh>
    <rPh sb="104" eb="106">
      <t>レンケイ</t>
    </rPh>
    <rPh sb="108" eb="110">
      <t>キボウ</t>
    </rPh>
    <rPh sb="112" eb="114">
      <t>レンケイ</t>
    </rPh>
    <rPh sb="114" eb="116">
      <t>セイヒン</t>
    </rPh>
    <rPh sb="122" eb="123">
      <t>スデ</t>
    </rPh>
    <rPh sb="124" eb="126">
      <t>ホユウ</t>
    </rPh>
    <rPh sb="131" eb="133">
      <t>バアイ</t>
    </rPh>
    <rPh sb="142" eb="144">
      <t>ニュウリョク</t>
    </rPh>
    <phoneticPr fontId="14"/>
  </si>
  <si>
    <t>i-FILTER@Cloud 購入申請欄</t>
    <rPh sb="15" eb="17">
      <t>コウニュウ</t>
    </rPh>
    <rPh sb="17" eb="19">
      <t>シンセイ</t>
    </rPh>
    <rPh sb="19" eb="20">
      <t>ラン</t>
    </rPh>
    <phoneticPr fontId="14"/>
  </si>
  <si>
    <t>ライセンス数</t>
    <rPh sb="5" eb="6">
      <t>スウ</t>
    </rPh>
    <phoneticPr fontId="14"/>
  </si>
  <si>
    <t>保有/試用
シリアル</t>
    <rPh sb="0" eb="2">
      <t>ホユウ</t>
    </rPh>
    <rPh sb="3" eb="5">
      <t>シヨウ</t>
    </rPh>
    <phoneticPr fontId="14"/>
  </si>
  <si>
    <t>契約開始日</t>
    <rPh sb="0" eb="2">
      <t>ケイヤク</t>
    </rPh>
    <rPh sb="2" eb="5">
      <t>カイシビ</t>
    </rPh>
    <phoneticPr fontId="14"/>
  </si>
  <si>
    <t xml:space="preserve"> 日</t>
    <rPh sb="1" eb="2">
      <t>ヒ</t>
    </rPh>
    <phoneticPr fontId="14"/>
  </si>
  <si>
    <t>※「ライセンス許諾証書の電子納品日＋5営業日後」の翌月1日が契約開始日となります。</t>
    <phoneticPr fontId="101"/>
  </si>
  <si>
    <t>オプション
選択欄</t>
    <phoneticPr fontId="14"/>
  </si>
  <si>
    <t>ログ保存</t>
    <rPh sb="2" eb="4">
      <t>ホゾン</t>
    </rPh>
    <phoneticPr fontId="14"/>
  </si>
  <si>
    <t>Global Database</t>
    <phoneticPr fontId="14"/>
  </si>
  <si>
    <t>m-FILTER@Cloud 購入申請欄</t>
    <rPh sb="15" eb="17">
      <t>コウニュウ</t>
    </rPh>
    <rPh sb="17" eb="19">
      <t>シンセイ</t>
    </rPh>
    <rPh sb="19" eb="20">
      <t>ラン</t>
    </rPh>
    <phoneticPr fontId="14"/>
  </si>
  <si>
    <t>※「ライセンス許諾証書の電子納品日＋5営業日後」の翌月1日が契約開始日となります。</t>
    <phoneticPr fontId="101"/>
  </si>
  <si>
    <t>オプション
選択欄</t>
    <phoneticPr fontId="14"/>
  </si>
  <si>
    <t>FinalCode@Cloud 購入申請欄</t>
    <rPh sb="16" eb="18">
      <t>コウニュウ</t>
    </rPh>
    <rPh sb="18" eb="20">
      <t>シンセイ</t>
    </rPh>
    <rPh sb="20" eb="21">
      <t>ラン</t>
    </rPh>
    <phoneticPr fontId="14"/>
  </si>
  <si>
    <t>Box連携機能</t>
    <rPh sb="3" eb="5">
      <t>レンケイ</t>
    </rPh>
    <rPh sb="5" eb="7">
      <t>キノウ</t>
    </rPh>
    <phoneticPr fontId="14"/>
  </si>
  <si>
    <t>ライセンス数</t>
    <rPh sb="5" eb="6">
      <t>スウ</t>
    </rPh>
    <phoneticPr fontId="101"/>
  </si>
  <si>
    <t>CADファイル
暗号化機能</t>
    <rPh sb="8" eb="10">
      <t>アンゴウ</t>
    </rPh>
    <rPh sb="10" eb="11">
      <t>カ</t>
    </rPh>
    <rPh sb="11" eb="13">
      <t>キノウ</t>
    </rPh>
    <phoneticPr fontId="14"/>
  </si>
  <si>
    <t>オフライン
閲覧機能</t>
    <rPh sb="6" eb="8">
      <t>エツラン</t>
    </rPh>
    <rPh sb="8" eb="10">
      <t>キノウ</t>
    </rPh>
    <phoneticPr fontId="14"/>
  </si>
  <si>
    <t>FinalCode API</t>
    <phoneticPr fontId="14"/>
  </si>
  <si>
    <t>FinalCode新規お申込時の注意事項</t>
    <rPh sb="9" eb="11">
      <t>シンキ</t>
    </rPh>
    <rPh sb="12" eb="14">
      <t>モウシコミ</t>
    </rPh>
    <rPh sb="14" eb="15">
      <t>ジ</t>
    </rPh>
    <rPh sb="16" eb="18">
      <t>チュウイ</t>
    </rPh>
    <rPh sb="18" eb="20">
      <t>ジコウ</t>
    </rPh>
    <phoneticPr fontId="14"/>
  </si>
  <si>
    <t>FinalCode
エディション移行時の
ご確認事項</t>
    <rPh sb="18" eb="19">
      <t>ジ</t>
    </rPh>
    <rPh sb="22" eb="24">
      <t>カクニン</t>
    </rPh>
    <rPh sb="24" eb="26">
      <t>ジコウ</t>
    </rPh>
    <phoneticPr fontId="14"/>
  </si>
  <si>
    <t>ビデオチャット</t>
    <phoneticPr fontId="14"/>
  </si>
  <si>
    <t>ディスク拡張</t>
    <rPh sb="4" eb="6">
      <t>カクチョウ</t>
    </rPh>
    <phoneticPr fontId="14"/>
  </si>
  <si>
    <t>100GB ×</t>
    <phoneticPr fontId="14"/>
  </si>
  <si>
    <t>個</t>
    <rPh sb="0" eb="1">
      <t>コ</t>
    </rPh>
    <phoneticPr fontId="14"/>
  </si>
  <si>
    <t>ご注意事項</t>
    <phoneticPr fontId="14"/>
  </si>
  <si>
    <t>・ご利用中のライセンスに関するお手続きについては、「保有シリアル」欄に現在保有されているシリアルを必ずご入力ください。</t>
    <rPh sb="2" eb="4">
      <t>リヨウ</t>
    </rPh>
    <rPh sb="4" eb="5">
      <t>ナカ</t>
    </rPh>
    <rPh sb="12" eb="13">
      <t>カン</t>
    </rPh>
    <rPh sb="16" eb="18">
      <t>テツヅ</t>
    </rPh>
    <rPh sb="33" eb="34">
      <t>ラン</t>
    </rPh>
    <rPh sb="49" eb="50">
      <t>カナラ</t>
    </rPh>
    <rPh sb="52" eb="54">
      <t>ニュウリョク</t>
    </rPh>
    <phoneticPr fontId="14"/>
  </si>
  <si>
    <t>共通情報</t>
    <rPh sb="0" eb="2">
      <t>キョウツウ</t>
    </rPh>
    <rPh sb="2" eb="4">
      <t>ジョウホウ</t>
    </rPh>
    <phoneticPr fontId="14"/>
  </si>
  <si>
    <t>i-FILTER@Cloud情報</t>
    <rPh sb="14" eb="16">
      <t>ジョウホウ</t>
    </rPh>
    <phoneticPr fontId="14"/>
  </si>
  <si>
    <t>m-FILTER@Cloud情報</t>
    <rPh sb="14" eb="16">
      <t>ジョウホウ</t>
    </rPh>
    <phoneticPr fontId="14"/>
  </si>
  <si>
    <t>FinalCode@Cloud情報</t>
    <rPh sb="15" eb="17">
      <t>ジョウホウ</t>
    </rPh>
    <phoneticPr fontId="14"/>
  </si>
  <si>
    <t>Chat@Cloud情報</t>
    <rPh sb="10" eb="12">
      <t>ジョウホウ</t>
    </rPh>
    <phoneticPr fontId="14"/>
  </si>
  <si>
    <t>有無</t>
    <rPh sb="0" eb="2">
      <t>ウム</t>
    </rPh>
    <phoneticPr fontId="101"/>
  </si>
  <si>
    <t>都道府県</t>
    <rPh sb="0" eb="4">
      <t>トドウフケン</t>
    </rPh>
    <phoneticPr fontId="101"/>
  </si>
  <si>
    <t>契約期間</t>
    <rPh sb="0" eb="2">
      <t>ケイヤク</t>
    </rPh>
    <rPh sb="2" eb="4">
      <t>キカン</t>
    </rPh>
    <phoneticPr fontId="101"/>
  </si>
  <si>
    <t>iF@Cloud申請区分</t>
    <rPh sb="8" eb="10">
      <t>シンセイ</t>
    </rPh>
    <rPh sb="10" eb="12">
      <t>クブン</t>
    </rPh>
    <phoneticPr fontId="14"/>
  </si>
  <si>
    <t>ログ保存</t>
    <phoneticPr fontId="101"/>
  </si>
  <si>
    <t>製品区分</t>
    <rPh sb="0" eb="2">
      <t>セイヒン</t>
    </rPh>
    <rPh sb="2" eb="4">
      <t>クブン</t>
    </rPh>
    <phoneticPr fontId="101"/>
  </si>
  <si>
    <t>mF@Cloud申請区分</t>
    <rPh sb="8" eb="10">
      <t>シンセイ</t>
    </rPh>
    <rPh sb="10" eb="12">
      <t>クブン</t>
    </rPh>
    <phoneticPr fontId="14"/>
  </si>
  <si>
    <t>アーカイブ保存</t>
    <phoneticPr fontId="101"/>
  </si>
  <si>
    <t>FC@Cloud申請区分</t>
    <rPh sb="8" eb="10">
      <t>シンセイ</t>
    </rPh>
    <rPh sb="10" eb="12">
      <t>クブン</t>
    </rPh>
    <phoneticPr fontId="14"/>
  </si>
  <si>
    <t>Disk Expansion</t>
    <phoneticPr fontId="101"/>
  </si>
  <si>
    <t>有</t>
    <rPh sb="0" eb="1">
      <t>ア</t>
    </rPh>
    <phoneticPr fontId="101"/>
  </si>
  <si>
    <t>北海道</t>
  </si>
  <si>
    <t>1年</t>
    <rPh sb="1" eb="2">
      <t>ネン</t>
    </rPh>
    <phoneticPr fontId="101"/>
  </si>
  <si>
    <t>ログ保存1年/標準搭載</t>
    <rPh sb="2" eb="4">
      <t>ホゾン</t>
    </rPh>
    <rPh sb="5" eb="6">
      <t>ネン</t>
    </rPh>
    <rPh sb="7" eb="9">
      <t>ヒョウジュン</t>
    </rPh>
    <rPh sb="9" eb="11">
      <t>トウサイ</t>
    </rPh>
    <phoneticPr fontId="101"/>
  </si>
  <si>
    <t>標準</t>
    <rPh sb="0" eb="2">
      <t>ヒョウジュン</t>
    </rPh>
    <phoneticPr fontId="101"/>
  </si>
  <si>
    <t>アーカイブ保存1年/標準搭載</t>
    <phoneticPr fontId="101"/>
  </si>
  <si>
    <t>いいえ</t>
  </si>
  <si>
    <t>無</t>
    <rPh sb="0" eb="1">
      <t>ナ</t>
    </rPh>
    <phoneticPr fontId="101"/>
  </si>
  <si>
    <t>青森県</t>
  </si>
  <si>
    <t>2年</t>
    <rPh sb="1" eb="2">
      <t>ネン</t>
    </rPh>
    <phoneticPr fontId="101"/>
  </si>
  <si>
    <t>パブリック</t>
    <phoneticPr fontId="101"/>
  </si>
  <si>
    <t>岩手県</t>
  </si>
  <si>
    <t>3年</t>
    <rPh sb="1" eb="2">
      <t>ネン</t>
    </rPh>
    <phoneticPr fontId="101"/>
  </si>
  <si>
    <t>ログ保存3年</t>
    <rPh sb="2" eb="4">
      <t>ホゾン</t>
    </rPh>
    <rPh sb="5" eb="6">
      <t>ネン</t>
    </rPh>
    <phoneticPr fontId="101"/>
  </si>
  <si>
    <t>アーカイブ保存3年</t>
    <rPh sb="5" eb="7">
      <t>ホゾン</t>
    </rPh>
    <rPh sb="8" eb="9">
      <t>ネン</t>
    </rPh>
    <phoneticPr fontId="101"/>
  </si>
  <si>
    <t>標準(DigitalArts@Cloud同時購入)</t>
    <rPh sb="0" eb="2">
      <t>ヒョウジュン</t>
    </rPh>
    <rPh sb="20" eb="22">
      <t>ドウジ</t>
    </rPh>
    <rPh sb="22" eb="24">
      <t>コウニュウ</t>
    </rPh>
    <phoneticPr fontId="101"/>
  </si>
  <si>
    <t>宮城県</t>
  </si>
  <si>
    <t>4年</t>
    <rPh sb="1" eb="2">
      <t>ネン</t>
    </rPh>
    <phoneticPr fontId="101"/>
  </si>
  <si>
    <t>秋田県</t>
  </si>
  <si>
    <t>5年</t>
    <rPh sb="1" eb="2">
      <t>ネン</t>
    </rPh>
    <phoneticPr fontId="101"/>
  </si>
  <si>
    <t>ログ保存5年</t>
    <rPh sb="2" eb="4">
      <t>ホゾン</t>
    </rPh>
    <rPh sb="5" eb="6">
      <t>ネン</t>
    </rPh>
    <phoneticPr fontId="101"/>
  </si>
  <si>
    <t>アーカイブ保存5年</t>
    <rPh sb="5" eb="7">
      <t>ホゾン</t>
    </rPh>
    <rPh sb="8" eb="9">
      <t>ネン</t>
    </rPh>
    <phoneticPr fontId="101"/>
  </si>
  <si>
    <t>山形県</t>
  </si>
  <si>
    <t>エディション移行：バージョンアップ</t>
  </si>
  <si>
    <t>福島県</t>
  </si>
  <si>
    <t>茨城県</t>
  </si>
  <si>
    <t>更新(減数・エディション移行：バージョンアップ同時)</t>
  </si>
  <si>
    <t>栃木県</t>
  </si>
  <si>
    <t>追加(エディション移行：バージョンアップ同時)</t>
  </si>
  <si>
    <t>群馬県</t>
  </si>
  <si>
    <t>追加(更新・エディション移行：バージョンアップ同時)</t>
  </si>
  <si>
    <t>埼玉県</t>
  </si>
  <si>
    <t>千葉県</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</si>
  <si>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</si>
  <si>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</si>
  <si>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</si>
  <si>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</si>
  <si>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</si>
  <si>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</si>
  <si>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</si>
  <si>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</si>
  <si>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</si>
  <si>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</si>
  <si>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</si>
  <si>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</si>
  <si>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</si>
  <si>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</si>
  <si>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</si>
  <si>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</si>
  <si>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</si>
  <si>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</si>
  <si>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</si>
  <si>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</si>
  <si>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</si>
  <si>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</si>
  <si>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</si>
  <si>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</si>
  <si>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</si>
  <si>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</si>
  <si>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</si>
  <si>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</si>
  <si>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</si>
  <si>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</si>
  <si>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</si>
  <si>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</si>
  <si>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</si>
  <si>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</si>
  <si>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i-FILTER@Cloud</t>
    <phoneticPr fontId="14"/>
  </si>
  <si>
    <t>m-FILTER@Cloud</t>
    <phoneticPr fontId="14"/>
  </si>
  <si>
    <t>FinalCode@Cloud</t>
    <phoneticPr fontId="101"/>
  </si>
  <si>
    <t>エディション移行にあたり、以下が代表的な変更点です。ご了承ください。
・「FinalCode」Ver.5のエディションで提供していたオプション機能が一部標準機能となるため、初期パラメータの変更があります（例：ブラウザービュー機能のデフォルトON 等）。
　詳細は『機能一覧表』をご参照ください。
・「FinalCode Reader for iOS」の場合、スクリーンショットを禁止する構成プロファイルのインストールは不要となり、スクリーンショットの機能制限はなくなります。
　また、デフォルトで画面透かしが表示されます（画面透かしをOFFにした場合は、画面透かしは表示されません）。
・「社内ビューアー機能※」をONにした場合、主管理者が管理していない社内閲覧ユーザーによる開封が行える可能性がありますので、ご了承ください。
　既存のお客様は「社内ビューアー機能」をデフォルトOFFにして提供します。　　※“FinalCodeライセンスを保有していない社内ユーザー” が、FCLファイルを閲覧することができる機能。
・エディション移行後の料金が、現行価格よりも安価になる場合、差額返金は行いません。年間費用の変更適用は、次回更新時に行います。</t>
    <phoneticPr fontId="14"/>
  </si>
  <si>
    <t>追加電源ケーブル
(本体への追加/電源冗長化オプション用)</t>
    <rPh sb="0" eb="2">
      <t>ツイカ</t>
    </rPh>
    <rPh sb="2" eb="4">
      <t>デンゲン</t>
    </rPh>
    <rPh sb="10" eb="12">
      <t>ホンタイ</t>
    </rPh>
    <rPh sb="14" eb="16">
      <t>ツイカ</t>
    </rPh>
    <rPh sb="17" eb="19">
      <t>デンゲン</t>
    </rPh>
    <rPh sb="19" eb="21">
      <t>ジョウチョウ</t>
    </rPh>
    <rPh sb="21" eb="22">
      <t>カ</t>
    </rPh>
    <rPh sb="27" eb="28">
      <t>ヨウ</t>
    </rPh>
    <phoneticPr fontId="14"/>
  </si>
  <si>
    <t>Mail1</t>
  </si>
  <si>
    <t>Mail2</t>
  </si>
  <si>
    <t>*2：「FinalCode API」をご利用される場合は、『「FinalCode Ver.6 VA」共有フォルダー自動復号機能（試用版・製品版）/「FinalCode Ver.6 VA」API（試用版・製品版）の利用に関する同意書』の提出が必要になります。デジタルアーツまたは販売店までお問い合わせください</t>
    <rPh sb="20" eb="22">
      <t>リヨウ</t>
    </rPh>
    <rPh sb="25" eb="27">
      <t>バアイ</t>
    </rPh>
    <rPh sb="117" eb="119">
      <t>テイシュツ</t>
    </rPh>
    <rPh sb="120" eb="122">
      <t>ヒツヨウ</t>
    </rPh>
    <rPh sb="138" eb="140">
      <t>ハンバイ</t>
    </rPh>
    <phoneticPr fontId="14"/>
  </si>
  <si>
    <r>
      <t>クリプト便
Adapter</t>
    </r>
    <r>
      <rPr>
        <b/>
        <vertAlign val="superscript"/>
        <sz val="8"/>
        <color theme="1"/>
        <rFont val="MS UI Gothic"/>
        <family val="3"/>
        <charset val="128"/>
      </rPr>
      <t>*1</t>
    </r>
    <rPh sb="4" eb="5">
      <t>ビン</t>
    </rPh>
    <phoneticPr fontId="17"/>
  </si>
  <si>
    <t>関連商品シリアル</t>
    <phoneticPr fontId="101"/>
  </si>
  <si>
    <t>@Cloud既存シリアル</t>
    <phoneticPr fontId="101"/>
  </si>
  <si>
    <t>ATW変更前ライセンス数</t>
    <phoneticPr fontId="14"/>
  </si>
  <si>
    <t>FinalCode V6 VA</t>
    <phoneticPr fontId="14"/>
  </si>
  <si>
    <r>
      <rPr>
        <b/>
        <vertAlign val="superscript"/>
        <sz val="9"/>
        <color rgb="FFFF0000"/>
        <rFont val="ＭＳ Ｐゴシック"/>
        <family val="3"/>
        <charset val="128"/>
        <scheme val="minor"/>
      </rPr>
      <t>※</t>
    </r>
    <r>
      <rPr>
        <b/>
        <sz val="9"/>
        <color theme="1"/>
        <rFont val="ＭＳ Ｐゴシック"/>
        <family val="3"/>
        <charset val="128"/>
        <scheme val="minor"/>
      </rPr>
      <t>エンドユーザー様へ販売される販売店様と</t>
    </r>
    <rPh sb="8" eb="9">
      <t>サマ</t>
    </rPh>
    <rPh sb="10" eb="12">
      <t>ハンバイ</t>
    </rPh>
    <rPh sb="15" eb="17">
      <t>ハンバイ</t>
    </rPh>
    <rPh sb="17" eb="18">
      <t>テン</t>
    </rPh>
    <rPh sb="18" eb="19">
      <t>サマ</t>
    </rPh>
    <phoneticPr fontId="68"/>
  </si>
  <si>
    <t>業種</t>
    <rPh sb="0" eb="2">
      <t>ギョウシュ</t>
    </rPh>
    <phoneticPr fontId="68"/>
  </si>
  <si>
    <t>企業</t>
    <rPh sb="0" eb="2">
      <t>キギョウ</t>
    </rPh>
    <phoneticPr fontId="68"/>
  </si>
  <si>
    <t>　地方自治体</t>
    <rPh sb="1" eb="3">
      <t>チホウ</t>
    </rPh>
    <rPh sb="3" eb="6">
      <t>ジチタイ</t>
    </rPh>
    <phoneticPr fontId="68"/>
  </si>
  <si>
    <t>　官公庁</t>
    <rPh sb="1" eb="4">
      <t>カンコウチョウ</t>
    </rPh>
    <phoneticPr fontId="68"/>
  </si>
  <si>
    <t>文教</t>
    <rPh sb="0" eb="2">
      <t>ブンキョウ</t>
    </rPh>
    <phoneticPr fontId="68"/>
  </si>
  <si>
    <t>　図書館・公民館・児童館</t>
    <rPh sb="1" eb="4">
      <t>トショカン</t>
    </rPh>
    <rPh sb="5" eb="8">
      <t>コウミンカン</t>
    </rPh>
    <rPh sb="9" eb="12">
      <t>ジドウカン</t>
    </rPh>
    <phoneticPr fontId="68"/>
  </si>
  <si>
    <t>　教育委員会</t>
    <rPh sb="1" eb="3">
      <t>キョウイク</t>
    </rPh>
    <rPh sb="3" eb="6">
      <t>イインカイ</t>
    </rPh>
    <phoneticPr fontId="68"/>
  </si>
  <si>
    <t>　私立小学校</t>
    <rPh sb="1" eb="3">
      <t>シリツ</t>
    </rPh>
    <rPh sb="3" eb="6">
      <t>ショウガッコウ</t>
    </rPh>
    <phoneticPr fontId="68"/>
  </si>
  <si>
    <t>　私立中学校</t>
    <rPh sb="1" eb="3">
      <t>シリツ</t>
    </rPh>
    <rPh sb="3" eb="6">
      <t>チュウガッコウ</t>
    </rPh>
    <phoneticPr fontId="68"/>
  </si>
  <si>
    <t>　私立高等学校</t>
    <rPh sb="1" eb="3">
      <t>シリツ</t>
    </rPh>
    <rPh sb="3" eb="5">
      <t>コウトウ</t>
    </rPh>
    <rPh sb="5" eb="7">
      <t>ガッコウ</t>
    </rPh>
    <phoneticPr fontId="68"/>
  </si>
  <si>
    <t>　大学・短大</t>
    <rPh sb="1" eb="3">
      <t>ダイガク</t>
    </rPh>
    <rPh sb="4" eb="6">
      <t>タンダイ</t>
    </rPh>
    <phoneticPr fontId="68"/>
  </si>
  <si>
    <t>　専門学校</t>
    <rPh sb="1" eb="3">
      <t>センモン</t>
    </rPh>
    <rPh sb="3" eb="5">
      <t>ガッコウ</t>
    </rPh>
    <phoneticPr fontId="68"/>
  </si>
  <si>
    <t>　その他学校</t>
    <rPh sb="3" eb="4">
      <t>タ</t>
    </rPh>
    <rPh sb="4" eb="6">
      <t>ガッコウ</t>
    </rPh>
    <phoneticPr fontId="68"/>
  </si>
  <si>
    <t>その他公共</t>
    <rPh sb="2" eb="3">
      <t>タ</t>
    </rPh>
    <rPh sb="3" eb="5">
      <t>コウキョウ</t>
    </rPh>
    <phoneticPr fontId="68"/>
  </si>
  <si>
    <t>　組合・団体</t>
    <rPh sb="1" eb="3">
      <t>クミアイ</t>
    </rPh>
    <rPh sb="4" eb="6">
      <t>ダンタイ</t>
    </rPh>
    <phoneticPr fontId="68"/>
  </si>
  <si>
    <t>　財団法人</t>
    <rPh sb="1" eb="3">
      <t>ザイダン</t>
    </rPh>
    <rPh sb="3" eb="5">
      <t>ホウジン</t>
    </rPh>
    <phoneticPr fontId="68"/>
  </si>
  <si>
    <t>　宗教法人</t>
    <rPh sb="1" eb="3">
      <t>シュウキョウ</t>
    </rPh>
    <rPh sb="3" eb="5">
      <t>ホウジン</t>
    </rPh>
    <phoneticPr fontId="68"/>
  </si>
  <si>
    <t>　警察・消防</t>
    <rPh sb="1" eb="3">
      <t>ケイサツ</t>
    </rPh>
    <rPh sb="4" eb="6">
      <t>ショウボウ</t>
    </rPh>
    <phoneticPr fontId="68"/>
  </si>
  <si>
    <t>　医療法人・病院</t>
    <rPh sb="1" eb="3">
      <t>イリョウ</t>
    </rPh>
    <rPh sb="3" eb="5">
      <t>ホウジン</t>
    </rPh>
    <rPh sb="6" eb="8">
      <t>ビョウイン</t>
    </rPh>
    <phoneticPr fontId="68"/>
  </si>
  <si>
    <t>　その他公共</t>
    <rPh sb="3" eb="4">
      <t>タ</t>
    </rPh>
    <rPh sb="4" eb="6">
      <t>コウキョウ</t>
    </rPh>
    <phoneticPr fontId="68"/>
  </si>
  <si>
    <t>　社団法人</t>
    <rPh sb="1" eb="3">
      <t>シャダン</t>
    </rPh>
    <rPh sb="3" eb="5">
      <t>ホウジン</t>
    </rPh>
    <phoneticPr fontId="68"/>
  </si>
  <si>
    <t>　社会福祉法人・養護施設</t>
    <rPh sb="1" eb="3">
      <t>シャカイ</t>
    </rPh>
    <rPh sb="3" eb="5">
      <t>フクシ</t>
    </rPh>
    <rPh sb="5" eb="7">
      <t>ホウジン</t>
    </rPh>
    <rPh sb="8" eb="10">
      <t>ヨウゴ</t>
    </rPh>
    <rPh sb="10" eb="12">
      <t>シセツ</t>
    </rPh>
    <phoneticPr fontId="68"/>
  </si>
  <si>
    <t>　独立行政法人</t>
    <rPh sb="1" eb="3">
      <t>ドクリツ</t>
    </rPh>
    <rPh sb="3" eb="5">
      <t>ギョウセイ</t>
    </rPh>
    <rPh sb="5" eb="7">
      <t>ホウジン</t>
    </rPh>
    <phoneticPr fontId="68"/>
  </si>
  <si>
    <t>　特別民間法人</t>
    <rPh sb="1" eb="3">
      <t>トクベツ</t>
    </rPh>
    <rPh sb="3" eb="5">
      <t>ミンカン</t>
    </rPh>
    <rPh sb="5" eb="7">
      <t>ホウジン</t>
    </rPh>
    <phoneticPr fontId="68"/>
  </si>
  <si>
    <t>　医療，福祉</t>
  </si>
  <si>
    <t>　運輸業，郵便業</t>
  </si>
  <si>
    <t>　卸売業，小売業</t>
  </si>
  <si>
    <t>　学術研究，専門・技術サービス業</t>
  </si>
  <si>
    <t>　漁業</t>
  </si>
  <si>
    <t>　教育，学習支援業</t>
  </si>
  <si>
    <t>　金融業，保険業</t>
  </si>
  <si>
    <t>　建設業</t>
  </si>
  <si>
    <t>　公務</t>
  </si>
  <si>
    <t>　鉱業，採石業，砂利採取業</t>
  </si>
  <si>
    <t>　宿泊業，飲食サービス業</t>
  </si>
  <si>
    <t>　情報通信業</t>
  </si>
  <si>
    <t>　生活関連サービス業，娯楽業</t>
  </si>
  <si>
    <t>　製造業</t>
  </si>
  <si>
    <t>　総合サービス事業</t>
  </si>
  <si>
    <t>　電気・ガス・熱供給・水道業</t>
  </si>
  <si>
    <t>　農業，林業</t>
  </si>
  <si>
    <t>　不動産業，物品賃貸業</t>
  </si>
  <si>
    <t>　その他企業</t>
    <rPh sb="3" eb="4">
      <t>タ</t>
    </rPh>
    <rPh sb="4" eb="6">
      <t>キギョウ</t>
    </rPh>
    <phoneticPr fontId="68"/>
  </si>
  <si>
    <t>→</t>
    <phoneticPr fontId="68"/>
  </si>
  <si>
    <t>D-SPA</t>
    <phoneticPr fontId="68"/>
  </si>
  <si>
    <t>ご注文製品</t>
    <rPh sb="1" eb="3">
      <t>チュウモン</t>
    </rPh>
    <rPh sb="3" eb="5">
      <t>セイヒン</t>
    </rPh>
    <phoneticPr fontId="68"/>
  </si>
  <si>
    <t>DigitalArts@Cloud既存のご契約</t>
    <rPh sb="17" eb="19">
      <t>キソン</t>
    </rPh>
    <rPh sb="21" eb="23">
      <t>ケイヤク</t>
    </rPh>
    <phoneticPr fontId="14"/>
  </si>
  <si>
    <t>あり</t>
    <phoneticPr fontId="68"/>
  </si>
  <si>
    <t>・お手続きをご希望の製品欄にご入力ください。入力欄が赤く表示される場合は必須または要修正箇所になりますのでご確認をお願いいたします。
・ご利用中のライセンスに関するお手続きについては、「保有シリアル」欄に現在保有されているシリアルを必ずご入力ください。
・未入力部分があった場合、受注処理できない可能性がございます。</t>
    <rPh sb="2" eb="4">
      <t>テツヅ</t>
    </rPh>
    <rPh sb="7" eb="9">
      <t>キボウ</t>
    </rPh>
    <rPh sb="10" eb="12">
      <t>セイヒン</t>
    </rPh>
    <rPh sb="12" eb="13">
      <t>ラン</t>
    </rPh>
    <rPh sb="15" eb="17">
      <t>ニュウリョク</t>
    </rPh>
    <rPh sb="36" eb="38">
      <t>ヒッス</t>
    </rPh>
    <rPh sb="41" eb="42">
      <t>ヨウ</t>
    </rPh>
    <rPh sb="42" eb="44">
      <t>シュウセイ</t>
    </rPh>
    <rPh sb="44" eb="46">
      <t>カショ</t>
    </rPh>
    <rPh sb="54" eb="56">
      <t>カクニン</t>
    </rPh>
    <rPh sb="58" eb="59">
      <t>ネガ</t>
    </rPh>
    <rPh sb="128" eb="131">
      <t>ミニュウリョク</t>
    </rPh>
    <rPh sb="131" eb="133">
      <t>ブブン</t>
    </rPh>
    <rPh sb="137" eb="139">
      <t>バアイ</t>
    </rPh>
    <rPh sb="140" eb="142">
      <t>ジュチュウ</t>
    </rPh>
    <rPh sb="142" eb="144">
      <t>ショリ</t>
    </rPh>
    <rPh sb="148" eb="151">
      <t>カノウセイ</t>
    </rPh>
    <phoneticPr fontId="17"/>
  </si>
  <si>
    <t>入力内容によって必須または要修正箇所として赤く表示されるセルが現れますので、ご入力およびご確認をお願いいたします。未入力部分があった場合、受注処理できない可能性がございます。</t>
    <rPh sb="57" eb="60">
      <t>ミニュウリョク</t>
    </rPh>
    <rPh sb="60" eb="62">
      <t>ブブン</t>
    </rPh>
    <rPh sb="66" eb="68">
      <t>バアイ</t>
    </rPh>
    <rPh sb="69" eb="71">
      <t>ジュチュウ</t>
    </rPh>
    <rPh sb="71" eb="73">
      <t>ショリ</t>
    </rPh>
    <rPh sb="77" eb="80">
      <t>カノウセイ</t>
    </rPh>
    <phoneticPr fontId="14"/>
  </si>
  <si>
    <t>・機器1台につき1行の情報をご入力ください。入力欄が赤く表示される場合は必須または要修正箇所になりますのでご確認をお願いいたします。
・ご利用中のライセンスに関するお手続きについては、「保有シリアル」欄に現在保有されているシリアルを必ずご入力ください。
・未入力部分があった場合、受注処理できない可能性がございます。</t>
    <rPh sb="1" eb="3">
      <t>キキ</t>
    </rPh>
    <rPh sb="4" eb="5">
      <t>ダイ</t>
    </rPh>
    <rPh sb="9" eb="10">
      <t>ギョウ</t>
    </rPh>
    <rPh sb="11" eb="13">
      <t>ジョウホウ</t>
    </rPh>
    <rPh sb="15" eb="17">
      <t>ニュウリョク</t>
    </rPh>
    <rPh sb="36" eb="38">
      <t>ヒッス</t>
    </rPh>
    <rPh sb="41" eb="42">
      <t>ヨウ</t>
    </rPh>
    <rPh sb="42" eb="44">
      <t>シュウセイ</t>
    </rPh>
    <rPh sb="44" eb="46">
      <t>カショ</t>
    </rPh>
    <rPh sb="54" eb="56">
      <t>カクニン</t>
    </rPh>
    <rPh sb="58" eb="59">
      <t>ネガ</t>
    </rPh>
    <rPh sb="128" eb="131">
      <t>ミニュウリョク</t>
    </rPh>
    <rPh sb="131" eb="133">
      <t>ブブン</t>
    </rPh>
    <rPh sb="137" eb="139">
      <t>バアイ</t>
    </rPh>
    <rPh sb="140" eb="142">
      <t>ジュチュウ</t>
    </rPh>
    <rPh sb="142" eb="144">
      <t>ショリ</t>
    </rPh>
    <rPh sb="148" eb="151">
      <t>カノウセイ</t>
    </rPh>
    <phoneticPr fontId="17"/>
  </si>
  <si>
    <t>・FinalCode Ver.5のエディションで提供していたオプション機能が一部標準機能となるため、初期パラメータの変更があります（例：ブラウザービュー機能のデフォルトON等）。詳細は『機能一覧表』を確認ください
・FinalCode Reader for iOSの場合、スクリーンショットを禁止する構成プロファイルのインストールは不要となり、スクリーンショットの機能制限はなくなります
　また、デフォルトで画面透かしが表示されます（画面透かしをOFFにした場合は、画面透かしは表示されません）</t>
    <rPh sb="100" eb="102">
      <t>カクニン</t>
    </rPh>
    <phoneticPr fontId="14"/>
  </si>
  <si>
    <r>
      <t>◇一次店様情報</t>
    </r>
    <r>
      <rPr>
        <b/>
        <sz val="11"/>
        <color rgb="FFFF0000"/>
        <rFont val="ＭＳ Ｐゴシック"/>
        <family val="3"/>
        <charset val="128"/>
        <scheme val="minor"/>
      </rPr>
      <t>※</t>
    </r>
    <rPh sb="1" eb="4">
      <t>イチジテン</t>
    </rPh>
    <rPh sb="4" eb="5">
      <t>サマ</t>
    </rPh>
    <rPh sb="5" eb="7">
      <t>ジョウホウ</t>
    </rPh>
    <phoneticPr fontId="14"/>
  </si>
  <si>
    <r>
      <t>◇二次店様情報</t>
    </r>
    <r>
      <rPr>
        <b/>
        <sz val="11"/>
        <color rgb="FFFF0000"/>
        <rFont val="ＭＳ Ｐゴシック"/>
        <family val="3"/>
        <charset val="128"/>
        <scheme val="minor"/>
      </rPr>
      <t>※</t>
    </r>
    <rPh sb="1" eb="3">
      <t>ニジ</t>
    </rPh>
    <rPh sb="3" eb="4">
      <t>ミセ</t>
    </rPh>
    <rPh sb="4" eb="5">
      <t>サマ</t>
    </rPh>
    <rPh sb="5" eb="7">
      <t>ジョウホウ</t>
    </rPh>
    <phoneticPr fontId="14"/>
  </si>
  <si>
    <r>
      <t>※</t>
    </r>
    <r>
      <rPr>
        <b/>
        <sz val="6"/>
        <color theme="1"/>
        <rFont val="ＭＳ Ｐゴシック"/>
        <family val="3"/>
        <charset val="128"/>
        <scheme val="minor"/>
      </rPr>
      <t>E-Mail (1)</t>
    </r>
    <phoneticPr fontId="68"/>
  </si>
  <si>
    <t>部署名</t>
    <rPh sb="0" eb="2">
      <t>ブショ</t>
    </rPh>
    <rPh sb="2" eb="3">
      <t>メイ</t>
    </rPh>
    <phoneticPr fontId="68"/>
  </si>
  <si>
    <t>二次店名</t>
    <rPh sb="0" eb="3">
      <t>ニジテン</t>
    </rPh>
    <rPh sb="3" eb="4">
      <t>メイ</t>
    </rPh>
    <phoneticPr fontId="14"/>
  </si>
  <si>
    <t>E-Mail</t>
    <phoneticPr fontId="68"/>
  </si>
  <si>
    <t>TEL</t>
    <phoneticPr fontId="68"/>
  </si>
  <si>
    <t>i-FILTER Ver.8～10
m-FILTER Ver.3～5
FinalCode Ver.6 VA
i-FILTER ブラウザー&amp;クラウド
m-FILTER MailAdviser</t>
    <phoneticPr fontId="68"/>
  </si>
  <si>
    <t>一次店様ご発注番号</t>
    <rPh sb="0" eb="2">
      <t>イチジ</t>
    </rPh>
    <rPh sb="2" eb="3">
      <t>テン</t>
    </rPh>
    <rPh sb="3" eb="4">
      <t>サマ</t>
    </rPh>
    <rPh sb="5" eb="7">
      <t>ハッチュウ</t>
    </rPh>
    <rPh sb="7" eb="9">
      <t>バンゴウ</t>
    </rPh>
    <phoneticPr fontId="17"/>
  </si>
  <si>
    <t>クリプト便 for m-FILTER
管理ID</t>
    <phoneticPr fontId="17"/>
  </si>
  <si>
    <t>本オプションは、ファイル無害化機能を具備しておりません。オプションをご利用される場合は、
本オプションによって取り扱うファイルがファイル無害化されていることが前提となりますこと、ご承諾ください。</t>
    <rPh sb="0" eb="1">
      <t>ホン</t>
    </rPh>
    <rPh sb="12" eb="15">
      <t>ムガイカ</t>
    </rPh>
    <rPh sb="15" eb="17">
      <t>キノウ</t>
    </rPh>
    <rPh sb="18" eb="20">
      <t>グビ</t>
    </rPh>
    <rPh sb="90" eb="92">
      <t>ショウダク</t>
    </rPh>
    <phoneticPr fontId="17"/>
  </si>
  <si>
    <t>追加(バージョンアップ同時)</t>
    <rPh sb="0" eb="2">
      <t>ツイカ</t>
    </rPh>
    <phoneticPr fontId="14"/>
  </si>
  <si>
    <t>Dアラートとは</t>
    <phoneticPr fontId="14"/>
  </si>
  <si>
    <t>https://www.daj.jp/bs/d-alert/</t>
    <phoneticPr fontId="17"/>
  </si>
  <si>
    <t>Dアラート対象</t>
    <rPh sb="5" eb="7">
      <t>タイショウ</t>
    </rPh>
    <phoneticPr fontId="68"/>
  </si>
  <si>
    <t>iF</t>
    <phoneticPr fontId="14"/>
  </si>
  <si>
    <t>mF</t>
    <phoneticPr fontId="14"/>
  </si>
  <si>
    <t>→</t>
    <phoneticPr fontId="14"/>
  </si>
  <si>
    <t>入力フォームiF・mF・FC・iFBC・MA</t>
    <phoneticPr fontId="68"/>
  </si>
  <si>
    <t>入力フォームDSPA</t>
    <phoneticPr fontId="68"/>
  </si>
  <si>
    <t>ライセンス購入申請書</t>
    <rPh sb="5" eb="7">
      <t>コウニュウ</t>
    </rPh>
    <rPh sb="7" eb="10">
      <t>シンセイショ</t>
    </rPh>
    <phoneticPr fontId="14"/>
  </si>
  <si>
    <t>該当する入力フォームのシート</t>
    <rPh sb="0" eb="2">
      <t>ガイトウ</t>
    </rPh>
    <rPh sb="4" eb="6">
      <t>ニュウリョク</t>
    </rPh>
    <phoneticPr fontId="68"/>
  </si>
  <si>
    <t>KEY</t>
    <phoneticPr fontId="101"/>
  </si>
  <si>
    <t>first_company_id</t>
  </si>
  <si>
    <t>first_company_name</t>
  </si>
  <si>
    <t>first_company_postal_code</t>
  </si>
  <si>
    <t>first_company_prefectures</t>
  </si>
  <si>
    <t>first_company_city</t>
  </si>
  <si>
    <t>first_company_address</t>
  </si>
  <si>
    <t>first_company_building</t>
  </si>
  <si>
    <t>first_company_industry</t>
  </si>
  <si>
    <t>second_company_id</t>
  </si>
  <si>
    <t>second_company_name</t>
  </si>
  <si>
    <t>second_company_postal_code</t>
  </si>
  <si>
    <t>second_company_prefectures</t>
  </si>
  <si>
    <t>second_company_city</t>
  </si>
  <si>
    <t>second_company_address</t>
  </si>
  <si>
    <t>second_company_building</t>
  </si>
  <si>
    <t>second_company_industry</t>
  </si>
  <si>
    <t>sales_company_id</t>
  </si>
  <si>
    <t>sales_company_name</t>
  </si>
  <si>
    <t>sales_company_postal_code</t>
  </si>
  <si>
    <t>sales_company_prefectures</t>
  </si>
  <si>
    <t>sales_company_city</t>
  </si>
  <si>
    <t>sales_company_address</t>
  </si>
  <si>
    <t>sales_company_building</t>
  </si>
  <si>
    <t>sales_company_industry</t>
  </si>
  <si>
    <t>sales_user_is_information</t>
  </si>
  <si>
    <t>VALUE</t>
    <phoneticPr fontId="101"/>
  </si>
  <si>
    <t>KEY</t>
    <phoneticPr fontId="101"/>
  </si>
  <si>
    <t>start_date</t>
  </si>
  <si>
    <t>VALUE</t>
    <phoneticPr fontId="101"/>
  </si>
  <si>
    <t>second_personal_last_name</t>
  </si>
  <si>
    <t>second_personal_department</t>
  </si>
  <si>
    <t>second_personal_tel</t>
  </si>
  <si>
    <t>second_personal_email_address</t>
  </si>
  <si>
    <t>closed_contract_id</t>
  </si>
  <si>
    <t>license_count</t>
  </si>
  <si>
    <t>server_count</t>
  </si>
  <si>
    <t>term_year</t>
  </si>
  <si>
    <t>fc_admin_email_address</t>
  </si>
  <si>
    <t>cloud_admin_email_address</t>
  </si>
  <si>
    <t>d_alert_email_address_1</t>
  </si>
  <si>
    <t>d_alert_email_address_2</t>
  </si>
  <si>
    <t>coop_serial</t>
  </si>
  <si>
    <t>serial</t>
  </si>
  <si>
    <t>cloud_serial</t>
  </si>
  <si>
    <t>fc_opt_cad_encrypt_license</t>
  </si>
  <si>
    <t>fc_opt_box_license</t>
  </si>
  <si>
    <t>dspa_location</t>
  </si>
  <si>
    <t>product_type</t>
  </si>
  <si>
    <t>iFBC</t>
    <phoneticPr fontId="68"/>
  </si>
  <si>
    <t>MailAdviser</t>
    <phoneticPr fontId="68"/>
  </si>
  <si>
    <t>ｉF＠C</t>
    <phoneticPr fontId="68"/>
  </si>
  <si>
    <t>mF＠C</t>
    <phoneticPr fontId="68"/>
  </si>
  <si>
    <t>FC＠C</t>
    <phoneticPr fontId="68"/>
  </si>
  <si>
    <t>FC V6 VA</t>
    <phoneticPr fontId="68"/>
  </si>
  <si>
    <t>Dアラート通知先申請サイトはこちら</t>
    <rPh sb="5" eb="7">
      <t>ツウチ</t>
    </rPh>
    <rPh sb="7" eb="8">
      <t>サキ</t>
    </rPh>
    <rPh sb="8" eb="10">
      <t>シンセイ</t>
    </rPh>
    <phoneticPr fontId="17"/>
  </si>
  <si>
    <t>有の場合</t>
    <rPh sb="0" eb="1">
      <t>アリ</t>
    </rPh>
    <rPh sb="2" eb="4">
      <t>バアイ</t>
    </rPh>
    <phoneticPr fontId="68"/>
  </si>
  <si>
    <t>無の場合</t>
    <rPh sb="0" eb="1">
      <t>ナ</t>
    </rPh>
    <rPh sb="2" eb="4">
      <t>バアイ</t>
    </rPh>
    <phoneticPr fontId="68"/>
  </si>
  <si>
    <t>保有/試用版/
企業パスワード</t>
    <rPh sb="0" eb="2">
      <t>ホユウ</t>
    </rPh>
    <rPh sb="3" eb="6">
      <t>シヨウバン</t>
    </rPh>
    <rPh sb="8" eb="10">
      <t>キギョウ</t>
    </rPh>
    <phoneticPr fontId="14"/>
  </si>
  <si>
    <r>
      <t>「マクロ除去」機能はVer.5に標準搭載ですが、「FileScan」をご契約の場合にご利用いただける機能です。</t>
    </r>
    <r>
      <rPr>
        <b/>
        <sz val="8"/>
        <color theme="1"/>
        <rFont val="MS UI Gothic"/>
        <family val="3"/>
        <charset val="128"/>
      </rPr>
      <t>「マクロ除去」機能のご利用を希望される場合は、
「File Scan」欄で「有」をご選択いただき、「FileScan」オプションをご契約ください</t>
    </r>
    <r>
      <rPr>
        <sz val="8"/>
        <color theme="1"/>
        <rFont val="MS UI Gothic"/>
        <family val="3"/>
        <charset val="128"/>
      </rPr>
      <t>。「File Scan」をご契約されない場合は、右記内容をご確認ください。</t>
    </r>
    <rPh sb="141" eb="143">
      <t>ケイヤク</t>
    </rPh>
    <rPh sb="147" eb="149">
      <t>バアイ</t>
    </rPh>
    <rPh sb="151" eb="153">
      <t>ウキ</t>
    </rPh>
    <rPh sb="153" eb="155">
      <t>ナイヨウ</t>
    </rPh>
    <rPh sb="157" eb="159">
      <t>カクニン</t>
    </rPh>
    <phoneticPr fontId="17"/>
  </si>
  <si>
    <t>「File Scan」をご契約されない場合、「マクロ除去」機能を
ご利用いただけないことについてご了承ください。</t>
    <rPh sb="13" eb="15">
      <t>ケイヤク</t>
    </rPh>
    <rPh sb="19" eb="21">
      <t>バアイ</t>
    </rPh>
    <rPh sb="26" eb="28">
      <t>ジョキョ</t>
    </rPh>
    <rPh sb="29" eb="31">
      <t>キノウ</t>
    </rPh>
    <rPh sb="34" eb="36">
      <t>リヨウ</t>
    </rPh>
    <rPh sb="49" eb="51">
      <t>リョウショウ</t>
    </rPh>
    <phoneticPr fontId="17"/>
  </si>
  <si>
    <t>追加ネットワーク・インターフェース・オプション
（SPA-7000 M5または、SPA-15000 M5のみ）</t>
    <rPh sb="0" eb="2">
      <t>ツイカ</t>
    </rPh>
    <phoneticPr fontId="14"/>
  </si>
  <si>
    <t>有害情報対策版</t>
    <rPh sb="0" eb="2">
      <t>ユウガイ</t>
    </rPh>
    <rPh sb="2" eb="4">
      <t>ジョウホウ</t>
    </rPh>
    <rPh sb="4" eb="6">
      <t>タイサク</t>
    </rPh>
    <rPh sb="6" eb="7">
      <t>バン</t>
    </rPh>
    <phoneticPr fontId="68"/>
  </si>
  <si>
    <t>MailFilter &amp; Anti-Spam</t>
    <phoneticPr fontId="101"/>
  </si>
  <si>
    <t>誤送信対策版</t>
    <rPh sb="0" eb="1">
      <t>ゴ</t>
    </rPh>
    <rPh sb="1" eb="3">
      <t>ソウシン</t>
    </rPh>
    <rPh sb="3" eb="5">
      <t>タイサク</t>
    </rPh>
    <rPh sb="5" eb="6">
      <t>バン</t>
    </rPh>
    <phoneticPr fontId="68"/>
  </si>
  <si>
    <t>「入力フォーム（ライセンス購入申請書A表・B表）」シートのご入力をお願いいたします。
ご注文製品によって、シートが異なります。</t>
    <rPh sb="1" eb="3">
      <t>ニュウリョク</t>
    </rPh>
    <rPh sb="13" eb="15">
      <t>コウニュウ</t>
    </rPh>
    <rPh sb="15" eb="17">
      <t>シンセイ</t>
    </rPh>
    <rPh sb="17" eb="18">
      <t>ショ</t>
    </rPh>
    <rPh sb="19" eb="20">
      <t>ヒョウ</t>
    </rPh>
    <rPh sb="22" eb="23">
      <t>ヒョウ</t>
    </rPh>
    <rPh sb="30" eb="32">
      <t>ニュウリョク</t>
    </rPh>
    <rPh sb="34" eb="35">
      <t>ネガ</t>
    </rPh>
    <rPh sb="44" eb="46">
      <t>チュウモン</t>
    </rPh>
    <rPh sb="46" eb="48">
      <t>セイヒン</t>
    </rPh>
    <rPh sb="57" eb="58">
      <t>コト</t>
    </rPh>
    <phoneticPr fontId="68"/>
  </si>
  <si>
    <t>電源ケーブル AC100V対応/3m 1本</t>
  </si>
  <si>
    <t>電源ケーブル AC200V対応/3m IEC60320 C14準拠 1本</t>
  </si>
  <si>
    <t>電源ケーブル AC200V対応/3m IEC60320 C14準拠 2本</t>
  </si>
  <si>
    <t>電源ケーブル AC200V対応/3m NEMA L6-15P準拠 1本</t>
  </si>
  <si>
    <t>電源ケーブル AC200V対応/3m NEMA L6-15P準拠 2本</t>
  </si>
  <si>
    <t>電源冗長化オプション</t>
    <phoneticPr fontId="68"/>
  </si>
  <si>
    <t>追加ﾈｯﾄﾜｰｸ・ｲﾝﾀｰﾌｪｰｽ・ｵﾌﾟｼｮﾝ</t>
  </si>
  <si>
    <t>HDD拡充オプション</t>
  </si>
  <si>
    <t>HDD拡充倍量オプション</t>
  </si>
  <si>
    <t>なし</t>
    <phoneticPr fontId="68"/>
  </si>
  <si>
    <t>FinalCode Ver.6 VA(パブリック)</t>
    <phoneticPr fontId="14"/>
  </si>
  <si>
    <t>delivery_date</t>
  </si>
  <si>
    <t>ご発注対象製品/デジタルアーツ見積番号</t>
    <rPh sb="15" eb="17">
      <t>ミツ</t>
    </rPh>
    <rPh sb="17" eb="19">
      <t>バンゴウ</t>
    </rPh>
    <phoneticPr fontId="17"/>
  </si>
  <si>
    <t>i‐FILTER</t>
    <phoneticPr fontId="68"/>
  </si>
  <si>
    <t>m‐FILTER</t>
    <phoneticPr fontId="68"/>
  </si>
  <si>
    <t>オンプレ発注/見積の表</t>
    <rPh sb="4" eb="6">
      <t>ハッチュウ</t>
    </rPh>
    <rPh sb="7" eb="9">
      <t>ミツ</t>
    </rPh>
    <rPh sb="10" eb="11">
      <t>ヒョウ</t>
    </rPh>
    <phoneticPr fontId="68"/>
  </si>
  <si>
    <t>Cloud発注/見積の表</t>
    <rPh sb="5" eb="7">
      <t>ハッチュウ</t>
    </rPh>
    <rPh sb="8" eb="10">
      <t>ミツ</t>
    </rPh>
    <rPh sb="11" eb="12">
      <t>ヒョウ</t>
    </rPh>
    <phoneticPr fontId="68"/>
  </si>
  <si>
    <t>D-SPA発注/見積の表</t>
    <rPh sb="5" eb="7">
      <t>ハッチュウ</t>
    </rPh>
    <rPh sb="8" eb="10">
      <t>ミツ</t>
    </rPh>
    <rPh sb="11" eb="12">
      <t>ヒョウ</t>
    </rPh>
    <phoneticPr fontId="68"/>
  </si>
  <si>
    <t>term_year</t>
    <phoneticPr fontId="68"/>
  </si>
  <si>
    <t>販売店情報が未記入です。</t>
    <phoneticPr fontId="17"/>
  </si>
  <si>
    <t>B表が未記入です。</t>
    <phoneticPr fontId="17"/>
  </si>
  <si>
    <t>代理店発注No.</t>
  </si>
  <si>
    <t>DA見積No.</t>
  </si>
  <si>
    <t>OP8</t>
  </si>
  <si>
    <t>OP9</t>
  </si>
  <si>
    <t>OP10</t>
  </si>
  <si>
    <t>@Cloud管理者Mail</t>
  </si>
  <si>
    <t>@Cloud_iF/mF連携</t>
  </si>
  <si>
    <t>@Cloud_mF/FC連携</t>
  </si>
  <si>
    <t>関連商品シリアル</t>
  </si>
  <si>
    <t>@Cloud既存シリアル</t>
  </si>
  <si>
    <t>ATW変更前ライセンス数</t>
  </si>
  <si>
    <t>　サービス業</t>
    <phoneticPr fontId="68"/>
  </si>
  <si>
    <t>　その他官公庁／自治体</t>
    <rPh sb="3" eb="4">
      <t>タ</t>
    </rPh>
    <phoneticPr fontId="68"/>
  </si>
  <si>
    <t>官公庁／自治体</t>
    <rPh sb="0" eb="3">
      <t>カンコウチョウ</t>
    </rPh>
    <rPh sb="4" eb="7">
      <t>ジチタイ</t>
    </rPh>
    <phoneticPr fontId="68"/>
  </si>
  <si>
    <t>一次店業種</t>
    <rPh sb="0" eb="2">
      <t>イチジ</t>
    </rPh>
    <rPh sb="2" eb="3">
      <t>テン</t>
    </rPh>
    <rPh sb="3" eb="5">
      <t>ギョウシュ</t>
    </rPh>
    <phoneticPr fontId="14"/>
  </si>
  <si>
    <t>一次店郵便番号</t>
    <rPh sb="0" eb="2">
      <t>イチジ</t>
    </rPh>
    <rPh sb="2" eb="3">
      <t>テン</t>
    </rPh>
    <rPh sb="3" eb="7">
      <t>ユウビンバンゴウ</t>
    </rPh>
    <phoneticPr fontId="14"/>
  </si>
  <si>
    <t>一次店都道府県</t>
    <rPh sb="0" eb="2">
      <t>イチジ</t>
    </rPh>
    <rPh sb="2" eb="3">
      <t>テン</t>
    </rPh>
    <rPh sb="3" eb="7">
      <t>トドウフケン</t>
    </rPh>
    <phoneticPr fontId="14"/>
  </si>
  <si>
    <t>一次店市区町村</t>
    <rPh sb="0" eb="2">
      <t>イチジ</t>
    </rPh>
    <rPh sb="2" eb="3">
      <t>テン</t>
    </rPh>
    <rPh sb="3" eb="5">
      <t>シク</t>
    </rPh>
    <rPh sb="5" eb="7">
      <t>チョウソン</t>
    </rPh>
    <phoneticPr fontId="14"/>
  </si>
  <si>
    <t>一次店町名</t>
    <rPh sb="0" eb="2">
      <t>イチジ</t>
    </rPh>
    <rPh sb="2" eb="3">
      <t>テン</t>
    </rPh>
    <rPh sb="3" eb="5">
      <t>チョウメイ</t>
    </rPh>
    <phoneticPr fontId="14"/>
  </si>
  <si>
    <t>一次店ビル名</t>
    <rPh sb="0" eb="2">
      <t>イチジ</t>
    </rPh>
    <rPh sb="2" eb="3">
      <t>テン</t>
    </rPh>
    <rPh sb="5" eb="6">
      <t>メイ</t>
    </rPh>
    <phoneticPr fontId="14"/>
  </si>
  <si>
    <t>二次店業種</t>
    <rPh sb="2" eb="3">
      <t>テン</t>
    </rPh>
    <rPh sb="3" eb="5">
      <t>ギョウシュ</t>
    </rPh>
    <phoneticPr fontId="14"/>
  </si>
  <si>
    <t>二次店郵便番号</t>
    <rPh sb="2" eb="3">
      <t>テン</t>
    </rPh>
    <rPh sb="3" eb="7">
      <t>ユウビンバンゴウ</t>
    </rPh>
    <phoneticPr fontId="14"/>
  </si>
  <si>
    <t>二次店都道府県</t>
    <rPh sb="2" eb="3">
      <t>テン</t>
    </rPh>
    <rPh sb="3" eb="7">
      <t>トドウフケン</t>
    </rPh>
    <phoneticPr fontId="14"/>
  </si>
  <si>
    <t>二次店市区町村</t>
    <rPh sb="2" eb="3">
      <t>テン</t>
    </rPh>
    <rPh sb="3" eb="5">
      <t>シク</t>
    </rPh>
    <rPh sb="5" eb="7">
      <t>チョウソン</t>
    </rPh>
    <phoneticPr fontId="14"/>
  </si>
  <si>
    <t>二次店町名</t>
    <rPh sb="2" eb="3">
      <t>テン</t>
    </rPh>
    <rPh sb="3" eb="5">
      <t>チョウメイ</t>
    </rPh>
    <phoneticPr fontId="14"/>
  </si>
  <si>
    <t>二次店ビル名</t>
    <rPh sb="2" eb="3">
      <t>テン</t>
    </rPh>
    <rPh sb="5" eb="6">
      <t>メイ</t>
    </rPh>
    <phoneticPr fontId="14"/>
  </si>
  <si>
    <t>other_product_1</t>
  </si>
  <si>
    <t>other_product_2</t>
    <phoneticPr fontId="68"/>
  </si>
  <si>
    <t>other_order_number_1</t>
    <phoneticPr fontId="68"/>
  </si>
  <si>
    <t>other_order_number_2</t>
    <phoneticPr fontId="68"/>
  </si>
  <si>
    <t>end_personal_id</t>
  </si>
  <si>
    <t>end_personal_last_name</t>
  </si>
  <si>
    <t>end_personal_first_name</t>
  </si>
  <si>
    <t>end_personal_department</t>
  </si>
  <si>
    <t>end_personal_tel</t>
  </si>
  <si>
    <t>end_personal_email_address</t>
  </si>
  <si>
    <t>sales_personal_id</t>
  </si>
  <si>
    <t>sales_personal_last_name</t>
  </si>
  <si>
    <t>sales_personal_first_name</t>
  </si>
  <si>
    <t>sales_personal_department</t>
  </si>
  <si>
    <t>sales_personal_tel</t>
  </si>
  <si>
    <t>sales_personal_email_address</t>
  </si>
  <si>
    <t>KEY</t>
  </si>
  <si>
    <t>delivery_mail_1</t>
  </si>
  <si>
    <t>delivery_mail_2</t>
  </si>
  <si>
    <t>end_company_id</t>
  </si>
  <si>
    <t>end_company_name</t>
  </si>
  <si>
    <t>end_company_postal_code</t>
  </si>
  <si>
    <t>end_company_prefectures</t>
  </si>
  <si>
    <t>end_company_city</t>
  </si>
  <si>
    <t>end_company_address</t>
  </si>
  <si>
    <t>end_company_building</t>
  </si>
  <si>
    <t>end_company_industry</t>
  </si>
  <si>
    <t>first_personal_id</t>
  </si>
  <si>
    <t>first_personal_last_name</t>
  </si>
  <si>
    <t>first_personal_first_name</t>
  </si>
  <si>
    <t>first_personal_department</t>
  </si>
  <si>
    <t>first_personal_tel</t>
  </si>
  <si>
    <t>first_personal_email_address</t>
  </si>
  <si>
    <t>second_personal_id</t>
  </si>
  <si>
    <t>second_personal_first_name</t>
  </si>
  <si>
    <t>ライセンス数</t>
    <phoneticPr fontId="17"/>
  </si>
  <si>
    <t>*1　「クリプト便 for m-FILTER」をお申し込みいただく場合には、NRIセキュアテクノロジーズが定める「セキュアファイル交換サービス約款」の内容に同意したものとみなし、当該約款を内容とする契約がお客様とNRIセキュアテクノロジーズとの間に成立するものとします</t>
    <phoneticPr fontId="17"/>
  </si>
  <si>
    <t>end_user_is_information</t>
  </si>
  <si>
    <t>old_serial</t>
  </si>
  <si>
    <t>other_order_number_1</t>
  </si>
  <si>
    <t>other_order_number_2</t>
  </si>
  <si>
    <t>other_product_2</t>
  </si>
  <si>
    <t>cryptobin_id</t>
  </si>
  <si>
    <t>CADファイル暗号化
機能ライセンス数</t>
    <rPh sb="7" eb="10">
      <t>アンゴウカ</t>
    </rPh>
    <rPh sb="11" eb="13">
      <t>キノウ</t>
    </rPh>
    <rPh sb="18" eb="19">
      <t>スウ</t>
    </rPh>
    <phoneticPr fontId="14"/>
  </si>
  <si>
    <r>
      <t>「API利用に関する
同意書」</t>
    </r>
    <r>
      <rPr>
        <b/>
        <vertAlign val="superscript"/>
        <sz val="8"/>
        <color theme="1"/>
        <rFont val="ＭＳ Ｐゴシック"/>
        <family val="3"/>
        <charset val="128"/>
        <scheme val="minor"/>
      </rPr>
      <t>*2</t>
    </r>
    <r>
      <rPr>
        <b/>
        <sz val="8"/>
        <color theme="1"/>
        <rFont val="ＭＳ Ｐゴシック"/>
        <family val="3"/>
        <charset val="128"/>
        <scheme val="minor"/>
      </rPr>
      <t>の提出状況</t>
    </r>
    <rPh sb="18" eb="20">
      <t>テイシュツ</t>
    </rPh>
    <rPh sb="20" eb="22">
      <t>ジョウキョウ</t>
    </rPh>
    <phoneticPr fontId="14"/>
  </si>
  <si>
    <t>mF
シリアル</t>
    <phoneticPr fontId="17"/>
  </si>
  <si>
    <t>mf_fc_adapter_license</t>
  </si>
  <si>
    <t>ma_fc_adapter_license</t>
  </si>
  <si>
    <t>mf_cryptobin_license</t>
  </si>
  <si>
    <t>if_global_db_license</t>
  </si>
  <si>
    <r>
      <t xml:space="preserve">ご記入いただいたE-Mailアドレスに更新案内および各種情報をご案内してよろしいですか？
</t>
    </r>
    <r>
      <rPr>
        <b/>
        <sz val="6"/>
        <color theme="1"/>
        <rFont val="ＭＳ Ｐゴシック"/>
        <family val="3"/>
        <charset val="128"/>
        <scheme val="minor"/>
      </rPr>
      <t>（注）「いいえ」の場合でも、重要な製品情報はお送りする場合がございます。</t>
    </r>
    <rPh sb="1" eb="3">
      <t>キニュウ</t>
    </rPh>
    <rPh sb="19" eb="23">
      <t>コウシンアンナイ</t>
    </rPh>
    <rPh sb="26" eb="28">
      <t>カクシュ</t>
    </rPh>
    <rPh sb="28" eb="30">
      <t>ジョウホウ</t>
    </rPh>
    <rPh sb="32" eb="34">
      <t>アンナイ</t>
    </rPh>
    <phoneticPr fontId="14"/>
  </si>
  <si>
    <t>※通知が不要の場合も上記サイトよりその旨をご申請ください。</t>
    <rPh sb="10" eb="12">
      <t>ジョウキ</t>
    </rPh>
    <rPh sb="19" eb="20">
      <t>ムネ</t>
    </rPh>
    <phoneticPr fontId="17"/>
  </si>
  <si>
    <t>情報通信業</t>
    <rPh sb="0" eb="2">
      <t>ジョウホウ</t>
    </rPh>
    <rPh sb="2" eb="4">
      <t>ツウシン</t>
    </rPh>
    <rPh sb="4" eb="5">
      <t>ギョウ</t>
    </rPh>
    <phoneticPr fontId="68"/>
  </si>
  <si>
    <t>情報通信業</t>
    <rPh sb="0" eb="5">
      <t>ジョウホウツウシンギョウ</t>
    </rPh>
    <phoneticPr fontId="68"/>
  </si>
  <si>
    <t>株式会社</t>
    <rPh sb="0" eb="4">
      <t>カ</t>
    </rPh>
    <phoneticPr fontId="10"/>
  </si>
  <si>
    <t>合資会社</t>
    <rPh sb="0" eb="4">
      <t>ゴウシガイシャ</t>
    </rPh>
    <phoneticPr fontId="10"/>
  </si>
  <si>
    <t>合同会社</t>
    <rPh sb="0" eb="2">
      <t>ゴウドウ</t>
    </rPh>
    <rPh sb="2" eb="4">
      <t>ガイシャ</t>
    </rPh>
    <phoneticPr fontId="10"/>
  </si>
  <si>
    <t>合名会社</t>
    <rPh sb="0" eb="4">
      <t>ゴウメイガイシャ</t>
    </rPh>
    <phoneticPr fontId="10"/>
  </si>
  <si>
    <t>公立大学法人</t>
    <rPh sb="0" eb="2">
      <t>コウリツ</t>
    </rPh>
    <rPh sb="2" eb="4">
      <t>ダイガク</t>
    </rPh>
    <rPh sb="4" eb="6">
      <t>ホウジン</t>
    </rPh>
    <phoneticPr fontId="10"/>
  </si>
  <si>
    <t>国立大学法人</t>
    <rPh sb="0" eb="4">
      <t>コクリツダイガク</t>
    </rPh>
    <rPh sb="4" eb="6">
      <t>ホウジン</t>
    </rPh>
    <phoneticPr fontId="10"/>
  </si>
  <si>
    <t>社会医療法人</t>
    <rPh sb="0" eb="6">
      <t>シャカイイリョウホウジン</t>
    </rPh>
    <phoneticPr fontId="10"/>
  </si>
  <si>
    <t>税理士法人</t>
    <rPh sb="0" eb="3">
      <t>ゼイリシ</t>
    </rPh>
    <rPh sb="3" eb="5">
      <t>ホウジン</t>
    </rPh>
    <phoneticPr fontId="10"/>
  </si>
  <si>
    <t>地方独立行政法人</t>
    <rPh sb="0" eb="6">
      <t>チホウドクリツギョウセイ</t>
    </rPh>
    <rPh sb="6" eb="8">
      <t>ホウジン</t>
    </rPh>
    <phoneticPr fontId="10"/>
  </si>
  <si>
    <t>特定医療法人</t>
    <rPh sb="0" eb="2">
      <t>トクテイ</t>
    </rPh>
    <rPh sb="2" eb="4">
      <t>イリョウ</t>
    </rPh>
    <rPh sb="4" eb="6">
      <t>ホウジン</t>
    </rPh>
    <phoneticPr fontId="10"/>
  </si>
  <si>
    <t>医療法人</t>
  </si>
  <si>
    <t>医療法人社団</t>
    <rPh sb="4" eb="6">
      <t>シャダン</t>
    </rPh>
    <phoneticPr fontId="10"/>
  </si>
  <si>
    <t>一般財団法人</t>
  </si>
  <si>
    <t>一般社団法人</t>
  </si>
  <si>
    <t>学校法人</t>
  </si>
  <si>
    <t>公益財団法人</t>
  </si>
  <si>
    <t>公益社団法人</t>
  </si>
  <si>
    <t>国立研究開発法人</t>
  </si>
  <si>
    <t>社会福祉法人</t>
  </si>
  <si>
    <t>特許業務法人</t>
  </si>
  <si>
    <t>特定非営利活動法人</t>
  </si>
  <si>
    <t>独立行政法人</t>
  </si>
  <si>
    <t>有限会社</t>
  </si>
  <si>
    <t>協同組合</t>
    <rPh sb="0" eb="2">
      <t>キョウドウ</t>
    </rPh>
    <rPh sb="2" eb="4">
      <t>クミアイ</t>
    </rPh>
    <phoneticPr fontId="10"/>
  </si>
  <si>
    <t>高等学校</t>
    <rPh sb="0" eb="2">
      <t>コウトウ</t>
    </rPh>
    <rPh sb="2" eb="4">
      <t>ガッコウ</t>
    </rPh>
    <phoneticPr fontId="10"/>
  </si>
  <si>
    <t>小学校</t>
    <rPh sb="0" eb="3">
      <t>ショウガッコウ</t>
    </rPh>
    <phoneticPr fontId="10"/>
  </si>
  <si>
    <t>信用金庫</t>
    <rPh sb="0" eb="4">
      <t>シンヨウキンコ</t>
    </rPh>
    <phoneticPr fontId="10"/>
  </si>
  <si>
    <t>信用組合</t>
    <rPh sb="0" eb="2">
      <t>シンヨウ</t>
    </rPh>
    <rPh sb="2" eb="4">
      <t>クミアイ</t>
    </rPh>
    <phoneticPr fontId="10"/>
  </si>
  <si>
    <t>専門学校</t>
    <rPh sb="0" eb="2">
      <t>センモン</t>
    </rPh>
    <rPh sb="2" eb="4">
      <t>ガッコウ</t>
    </rPh>
    <phoneticPr fontId="10"/>
  </si>
  <si>
    <t>中学校</t>
    <rPh sb="0" eb="3">
      <t>チュウガッコウ</t>
    </rPh>
    <phoneticPr fontId="10"/>
  </si>
  <si>
    <t>役所</t>
    <rPh sb="0" eb="2">
      <t>ヤクショ</t>
    </rPh>
    <phoneticPr fontId="10"/>
  </si>
  <si>
    <t>役場</t>
    <rPh sb="0" eb="2">
      <t>ヤクバ</t>
    </rPh>
    <phoneticPr fontId="10"/>
  </si>
  <si>
    <t>教育委員会</t>
  </si>
  <si>
    <t>税理士法人</t>
  </si>
  <si>
    <t>相互会社</t>
  </si>
  <si>
    <t>立図書館</t>
    <rPh sb="0" eb="1">
      <t>リツ</t>
    </rPh>
    <rPh sb="1" eb="4">
      <t>トショカン</t>
    </rPh>
    <phoneticPr fontId="10"/>
  </si>
  <si>
    <t>法人格_後</t>
    <rPh sb="0" eb="1">
      <t>ホウ</t>
    </rPh>
    <rPh sb="1" eb="3">
      <t>ジンカク</t>
    </rPh>
    <rPh sb="4" eb="5">
      <t>ウシ</t>
    </rPh>
    <phoneticPr fontId="10"/>
  </si>
  <si>
    <t>法人格_前</t>
    <rPh sb="0" eb="1">
      <t>ホウ</t>
    </rPh>
    <rPh sb="1" eb="3">
      <t>ジンカク</t>
    </rPh>
    <rPh sb="4" eb="5">
      <t>マエ</t>
    </rPh>
    <phoneticPr fontId="10"/>
  </si>
  <si>
    <t>(該当なし)</t>
    <rPh sb="1" eb="3">
      <t>ガイトウ</t>
    </rPh>
    <phoneticPr fontId="68"/>
  </si>
  <si>
    <r>
      <t>◆エンドユーザー様情報</t>
    </r>
    <r>
      <rPr>
        <b/>
        <sz val="11"/>
        <color rgb="FFFF0000"/>
        <rFont val="ＭＳ Ｐゴシック"/>
        <family val="3"/>
        <charset val="128"/>
        <scheme val="minor"/>
      </rPr>
      <t>※</t>
    </r>
    <rPh sb="8" eb="9">
      <t>サマ</t>
    </rPh>
    <rPh sb="9" eb="11">
      <t>ジョウホウ</t>
    </rPh>
    <phoneticPr fontId="14"/>
  </si>
  <si>
    <r>
      <t>◆エンドユーザー様へ販売される販売店様情報</t>
    </r>
    <r>
      <rPr>
        <b/>
        <sz val="11"/>
        <color rgb="FFFF0000"/>
        <rFont val="ＭＳ Ｐゴシック"/>
        <family val="3"/>
        <charset val="128"/>
        <scheme val="minor"/>
      </rPr>
      <t>※</t>
    </r>
    <rPh sb="8" eb="9">
      <t>サマ</t>
    </rPh>
    <rPh sb="10" eb="12">
      <t>ハンバイ</t>
    </rPh>
    <rPh sb="15" eb="17">
      <t>ハンバイ</t>
    </rPh>
    <rPh sb="17" eb="18">
      <t>テン</t>
    </rPh>
    <rPh sb="18" eb="19">
      <t>サマ</t>
    </rPh>
    <rPh sb="19" eb="21">
      <t>ジョウホウ</t>
    </rPh>
    <phoneticPr fontId="14"/>
  </si>
  <si>
    <t>法人・団体名</t>
    <rPh sb="0" eb="2">
      <t>ホウジン</t>
    </rPh>
    <rPh sb="3" eb="5">
      <t>ダンタイ</t>
    </rPh>
    <rPh sb="5" eb="6">
      <t>メイ</t>
    </rPh>
    <phoneticPr fontId="14"/>
  </si>
  <si>
    <t>部署名</t>
    <rPh sb="0" eb="2">
      <t>ブショ</t>
    </rPh>
    <rPh sb="2" eb="3">
      <t>メイ</t>
    </rPh>
    <phoneticPr fontId="14"/>
  </si>
  <si>
    <t>業種</t>
    <phoneticPr fontId="17"/>
  </si>
  <si>
    <t>担当者名</t>
    <rPh sb="0" eb="2">
      <t>タントウ</t>
    </rPh>
    <rPh sb="2" eb="3">
      <t>シャ</t>
    </rPh>
    <rPh sb="3" eb="4">
      <t>メイ</t>
    </rPh>
    <phoneticPr fontId="14"/>
  </si>
  <si>
    <t>エンドユーザー様へ販売される販売店様と</t>
    <rPh sb="7" eb="8">
      <t>サマ</t>
    </rPh>
    <rPh sb="9" eb="11">
      <t>ハンバイ</t>
    </rPh>
    <rPh sb="14" eb="16">
      <t>ハンバイ</t>
    </rPh>
    <rPh sb="16" eb="17">
      <t>テン</t>
    </rPh>
    <rPh sb="17" eb="18">
      <t>サマ</t>
    </rPh>
    <phoneticPr fontId="68"/>
  </si>
  <si>
    <t>GIGAスクール版</t>
    <rPh sb="8" eb="9">
      <t>バン</t>
    </rPh>
    <phoneticPr fontId="68"/>
  </si>
  <si>
    <t>子ども見守り
システム</t>
    <rPh sb="0" eb="1">
      <t>コ</t>
    </rPh>
    <rPh sb="3" eb="5">
      <t>ミマモ</t>
    </rPh>
    <phoneticPr fontId="17"/>
  </si>
  <si>
    <t>申請区分</t>
    <rPh sb="0" eb="2">
      <t>シンセイ</t>
    </rPh>
    <rPh sb="2" eb="4">
      <t>クブン</t>
    </rPh>
    <phoneticPr fontId="17"/>
  </si>
  <si>
    <t>GIGAスクール版</t>
  </si>
  <si>
    <t>エディション移行，バージョンアップ</t>
    <phoneticPr fontId="14"/>
  </si>
  <si>
    <t>追加(エディション移行，バージョンアップ同時)</t>
    <phoneticPr fontId="14"/>
  </si>
  <si>
    <t>追加(更新・エディション移行，バージョンアップ同時)</t>
    <phoneticPr fontId="14"/>
  </si>
  <si>
    <t>申請区分_GIGAスクール版</t>
    <rPh sb="0" eb="2">
      <t>シンセイ</t>
    </rPh>
    <rPh sb="2" eb="4">
      <t>クブン</t>
    </rPh>
    <rPh sb="13" eb="14">
      <t>バン</t>
    </rPh>
    <phoneticPr fontId="68"/>
  </si>
  <si>
    <t>エディション移行</t>
    <phoneticPr fontId="68"/>
  </si>
  <si>
    <t>更新(エディション移行同時)</t>
    <rPh sb="11" eb="13">
      <t>ドウジ</t>
    </rPh>
    <phoneticPr fontId="68"/>
  </si>
  <si>
    <t>更新(減数)</t>
    <rPh sb="0" eb="2">
      <t>コウシン</t>
    </rPh>
    <phoneticPr fontId="68"/>
  </si>
  <si>
    <t>追加(更新同時)</t>
    <phoneticPr fontId="68"/>
  </si>
  <si>
    <t>追加(エディション移行同時)</t>
    <phoneticPr fontId="68"/>
  </si>
  <si>
    <t>追加(更新・エディション移行同時)</t>
    <phoneticPr fontId="68"/>
  </si>
  <si>
    <t>追加(エディション移行同時)</t>
  </si>
  <si>
    <t>追加(更新・エディション移行同時)</t>
  </si>
  <si>
    <t>更新(エディション移行，バージョンアップ同時)</t>
    <phoneticPr fontId="14"/>
  </si>
  <si>
    <t>ソフトウェアオプション区分_GIGA</t>
    <rPh sb="11" eb="13">
      <t>クブン</t>
    </rPh>
    <phoneticPr fontId="14"/>
  </si>
  <si>
    <t>ライセンス</t>
    <phoneticPr fontId="68"/>
  </si>
  <si>
    <t>以下の利用規約を適用することに同意します。なお、ご購入後、当社の製品又はサービスを利用する過程で表示される利用規約と
当該リンク先の利用規約の内容が異なる場合は、当該リンク先の利用規約が優先して適用されるものとします。</t>
    <phoneticPr fontId="68"/>
  </si>
  <si>
    <t>利用規約　</t>
    <rPh sb="0" eb="2">
      <t>リヨウ</t>
    </rPh>
    <rPh sb="2" eb="4">
      <t>キヤク</t>
    </rPh>
    <phoneticPr fontId="68"/>
  </si>
  <si>
    <t>子ども見守りシステム</t>
    <rPh sb="0" eb="1">
      <t>コ</t>
    </rPh>
    <rPh sb="3" eb="5">
      <t>ミマモ</t>
    </rPh>
    <phoneticPr fontId="14"/>
  </si>
  <si>
    <t>子ども見守り</t>
    <rPh sb="0" eb="1">
      <t>コ</t>
    </rPh>
    <rPh sb="3" eb="5">
      <t>ミマモ</t>
    </rPh>
    <phoneticPr fontId="68"/>
  </si>
  <si>
    <t>other_product_3</t>
  </si>
  <si>
    <t>other_product_3</t>
    <phoneticPr fontId="68"/>
  </si>
  <si>
    <t>other_product_3</t>
    <phoneticPr fontId="68"/>
  </si>
  <si>
    <t>DigitalArts@Cloud ライセンス購入申請書（A表）</t>
    <rPh sb="23" eb="25">
      <t>コウニュウ</t>
    </rPh>
    <rPh sb="25" eb="28">
      <t>シンセイショ</t>
    </rPh>
    <rPh sb="30" eb="31">
      <t>ヒョウ</t>
    </rPh>
    <phoneticPr fontId="14"/>
  </si>
  <si>
    <t>ライセンス購入申請書（A表）</t>
    <rPh sb="5" eb="7">
      <t>コウニュウ</t>
    </rPh>
    <rPh sb="7" eb="10">
      <t>シンセイショ</t>
    </rPh>
    <rPh sb="12" eb="13">
      <t>ヒョウ</t>
    </rPh>
    <phoneticPr fontId="14"/>
  </si>
  <si>
    <t>パトランプ
購入</t>
    <rPh sb="6" eb="8">
      <t>コウニュウ</t>
    </rPh>
    <phoneticPr fontId="17"/>
  </si>
  <si>
    <t>D-SPA 購入申請書（A表）</t>
    <rPh sb="6" eb="8">
      <t>コウニュウ</t>
    </rPh>
    <rPh sb="8" eb="11">
      <t>シンセイショ</t>
    </rPh>
    <rPh sb="13" eb="14">
      <t>ヒョウ</t>
    </rPh>
    <phoneticPr fontId="14"/>
  </si>
  <si>
    <t>D-SPA 購入申請書－B表</t>
    <rPh sb="6" eb="8">
      <t>コウニュウ</t>
    </rPh>
    <rPh sb="8" eb="11">
      <t>シンセイショ</t>
    </rPh>
    <rPh sb="13" eb="14">
      <t>ヒョウ</t>
    </rPh>
    <phoneticPr fontId="14"/>
  </si>
  <si>
    <t>新規</t>
    <rPh sb="0" eb="2">
      <t>シンキ</t>
    </rPh>
    <phoneticPr fontId="68"/>
  </si>
  <si>
    <t>追加</t>
    <rPh sb="0" eb="2">
      <t>ツイカ</t>
    </rPh>
    <phoneticPr fontId="68"/>
  </si>
  <si>
    <t>更新</t>
    <rPh sb="0" eb="2">
      <t>コウシン</t>
    </rPh>
    <phoneticPr fontId="68"/>
  </si>
  <si>
    <t>SPA_2000_M4</t>
    <phoneticPr fontId="68"/>
  </si>
  <si>
    <t>SPA_2000</t>
    <phoneticPr fontId="68"/>
  </si>
  <si>
    <t>SPA_1900_M3</t>
    <phoneticPr fontId="68"/>
  </si>
  <si>
    <t>SPA_1900_M2</t>
    <phoneticPr fontId="68"/>
  </si>
  <si>
    <t>SPA_1900</t>
    <phoneticPr fontId="68"/>
  </si>
  <si>
    <t>SPA_1800</t>
    <phoneticPr fontId="68"/>
  </si>
  <si>
    <t>SPA_1700</t>
    <phoneticPr fontId="68"/>
  </si>
  <si>
    <t>SPA_4000_M4</t>
    <phoneticPr fontId="68"/>
  </si>
  <si>
    <t>SPA_4000</t>
    <phoneticPr fontId="68"/>
  </si>
  <si>
    <t>SPA_3700_M3</t>
    <phoneticPr fontId="68"/>
  </si>
  <si>
    <t>SPA_3700_M2</t>
    <phoneticPr fontId="68"/>
  </si>
  <si>
    <t>SPA_3700</t>
    <phoneticPr fontId="68"/>
  </si>
  <si>
    <t>SPA_3600</t>
    <phoneticPr fontId="68"/>
  </si>
  <si>
    <t>SPA_3500</t>
    <phoneticPr fontId="68"/>
  </si>
  <si>
    <t>SPA_7000_M5</t>
    <phoneticPr fontId="68"/>
  </si>
  <si>
    <t>SPA_7000</t>
    <phoneticPr fontId="68"/>
  </si>
  <si>
    <t>SPA_6700</t>
    <phoneticPr fontId="68"/>
  </si>
  <si>
    <t>SPA_6600</t>
    <phoneticPr fontId="68"/>
  </si>
  <si>
    <t>SPA_6500</t>
    <phoneticPr fontId="68"/>
  </si>
  <si>
    <t>SPA_15000_M5</t>
    <phoneticPr fontId="68"/>
  </si>
  <si>
    <t>SPA_15000</t>
    <phoneticPr fontId="68"/>
  </si>
  <si>
    <t>SPA_14000</t>
    <phoneticPr fontId="68"/>
  </si>
  <si>
    <t>SPA_13000</t>
    <phoneticPr fontId="68"/>
  </si>
  <si>
    <t>SPA_12000</t>
    <phoneticPr fontId="68"/>
  </si>
  <si>
    <t>MGR_1100</t>
    <phoneticPr fontId="68"/>
  </si>
  <si>
    <t>MGR_1000</t>
    <phoneticPr fontId="68"/>
  </si>
  <si>
    <t>MGR_3100</t>
    <phoneticPr fontId="68"/>
  </si>
  <si>
    <t>MGR_3000</t>
    <phoneticPr fontId="68"/>
  </si>
  <si>
    <t>旧モデル区分</t>
    <rPh sb="0" eb="1">
      <t>キュウ</t>
    </rPh>
    <rPh sb="4" eb="6">
      <t>クブン</t>
    </rPh>
    <phoneticPr fontId="68"/>
  </si>
  <si>
    <t>最新モデル区分</t>
    <rPh sb="0" eb="2">
      <t>サイシン</t>
    </rPh>
    <rPh sb="5" eb="7">
      <t>クブン</t>
    </rPh>
    <phoneticPr fontId="68"/>
  </si>
  <si>
    <t>現モデル保守</t>
    <rPh sb="0" eb="1">
      <t>ゲン</t>
    </rPh>
    <rPh sb="4" eb="6">
      <t>ホシュ</t>
    </rPh>
    <phoneticPr fontId="68"/>
  </si>
  <si>
    <t>V2モデル保守</t>
    <rPh sb="5" eb="7">
      <t>ホシュ</t>
    </rPh>
    <phoneticPr fontId="68"/>
  </si>
  <si>
    <t>Basic Plus</t>
    <phoneticPr fontId="68"/>
  </si>
  <si>
    <t>Silver Plus</t>
    <phoneticPr fontId="68"/>
  </si>
  <si>
    <t>Gold Plus</t>
    <phoneticPr fontId="68"/>
  </si>
  <si>
    <t>Platinum</t>
    <phoneticPr fontId="68"/>
  </si>
  <si>
    <t>Basic</t>
    <phoneticPr fontId="68"/>
  </si>
  <si>
    <t>Silver</t>
    <phoneticPr fontId="68"/>
  </si>
  <si>
    <t>Gold</t>
    <phoneticPr fontId="68"/>
  </si>
  <si>
    <t>i-FILTER for D-SPA</t>
    <phoneticPr fontId="14"/>
  </si>
  <si>
    <t>AV Adapter for D-SPA</t>
    <phoneticPr fontId="14"/>
  </si>
  <si>
    <t>Info Board for D-SPA</t>
    <phoneticPr fontId="14"/>
  </si>
  <si>
    <t>APT Protection for D-SPA</t>
    <phoneticPr fontId="14"/>
  </si>
  <si>
    <t>現モデルiF</t>
    <rPh sb="0" eb="1">
      <t>ゲン</t>
    </rPh>
    <phoneticPr fontId="68"/>
  </si>
  <si>
    <t>○ (GIGAスクール)</t>
    <phoneticPr fontId="68"/>
  </si>
  <si>
    <t>× なし</t>
    <phoneticPr fontId="68"/>
  </si>
  <si>
    <t>SSL Adapter for D-SPA</t>
    <phoneticPr fontId="14"/>
  </si>
  <si>
    <t>other_product_4</t>
    <phoneticPr fontId="68"/>
  </si>
  <si>
    <t>パトランプ</t>
    <phoneticPr fontId="68"/>
  </si>
  <si>
    <t>i-FILTER for D-SPA GIGAスクール</t>
    <phoneticPr fontId="14"/>
  </si>
  <si>
    <t>子ども見守りシステム</t>
    <phoneticPr fontId="68"/>
  </si>
  <si>
    <r>
      <t>◆ホスティングサービス提供者様情報</t>
    </r>
    <r>
      <rPr>
        <b/>
        <sz val="11"/>
        <color rgb="FFFF0000"/>
        <rFont val="ＭＳ Ｐゴシック"/>
        <family val="3"/>
        <charset val="128"/>
        <scheme val="minor"/>
      </rPr>
      <t>※</t>
    </r>
    <rPh sb="11" eb="13">
      <t>テイキョウ</t>
    </rPh>
    <rPh sb="13" eb="14">
      <t>シャ</t>
    </rPh>
    <rPh sb="14" eb="15">
      <t>サマ</t>
    </rPh>
    <rPh sb="15" eb="17">
      <t>ジョウホウ</t>
    </rPh>
    <phoneticPr fontId="14"/>
  </si>
  <si>
    <r>
      <t>◆ホスティングサービス提供者様へ販売される販売店様情報</t>
    </r>
    <r>
      <rPr>
        <b/>
        <sz val="9"/>
        <color rgb="FFFF0000"/>
        <rFont val="ＭＳ Ｐゴシック"/>
        <family val="3"/>
        <charset val="128"/>
        <scheme val="minor"/>
      </rPr>
      <t>※</t>
    </r>
    <rPh sb="11" eb="14">
      <t>テイキョウシャ</t>
    </rPh>
    <rPh sb="14" eb="15">
      <t>サマ</t>
    </rPh>
    <rPh sb="16" eb="18">
      <t>ハンバイ</t>
    </rPh>
    <rPh sb="21" eb="23">
      <t>ハンバイ</t>
    </rPh>
    <rPh sb="23" eb="24">
      <t>テン</t>
    </rPh>
    <rPh sb="24" eb="25">
      <t>サマ</t>
    </rPh>
    <rPh sb="25" eb="27">
      <t>ジョウホウ</t>
    </rPh>
    <phoneticPr fontId="14"/>
  </si>
  <si>
    <t>販売店名</t>
    <rPh sb="0" eb="3">
      <t>ハンバイテン</t>
    </rPh>
    <rPh sb="3" eb="4">
      <t>メイ</t>
    </rPh>
    <phoneticPr fontId="14"/>
  </si>
  <si>
    <t>業種</t>
    <rPh sb="0" eb="2">
      <t>ギョウシュ</t>
    </rPh>
    <phoneticPr fontId="68"/>
  </si>
  <si>
    <t>代理ホス</t>
  </si>
  <si>
    <t>E-mail</t>
    <phoneticPr fontId="14"/>
  </si>
  <si>
    <t>代ホ_入力フォームDSPA</t>
    <phoneticPr fontId="68"/>
  </si>
  <si>
    <t>代ホ_入力フォームiF・mF・MA</t>
    <phoneticPr fontId="68"/>
  </si>
  <si>
    <r>
      <t>◆ホスティングサービス提供者様情報</t>
    </r>
    <r>
      <rPr>
        <b/>
        <sz val="11"/>
        <color rgb="FFFF0000"/>
        <rFont val="ＭＳ Ｐゴシック"/>
        <family val="3"/>
        <charset val="128"/>
        <scheme val="minor"/>
      </rPr>
      <t>※</t>
    </r>
    <rPh sb="11" eb="14">
      <t>テイキョウシャ</t>
    </rPh>
    <rPh sb="14" eb="15">
      <t>サマ</t>
    </rPh>
    <rPh sb="15" eb="17">
      <t>ジョウホウ</t>
    </rPh>
    <phoneticPr fontId="14"/>
  </si>
  <si>
    <t>下記にはホスティングサービス提供者様へ弊社製品をご提供、ご契約される販売店様をご記入ください。</t>
    <phoneticPr fontId="68"/>
  </si>
  <si>
    <r>
      <t>◆ホスティングサービス提供者様へ販売される販売店様情報</t>
    </r>
    <r>
      <rPr>
        <b/>
        <sz val="9"/>
        <color rgb="FFFF0000"/>
        <rFont val="ＭＳ Ｐゴシック"/>
        <family val="3"/>
        <charset val="128"/>
        <scheme val="minor"/>
      </rPr>
      <t>※</t>
    </r>
    <rPh sb="11" eb="13">
      <t>テイキョウ</t>
    </rPh>
    <rPh sb="13" eb="15">
      <t>シャサマ</t>
    </rPh>
    <rPh sb="16" eb="18">
      <t>ハンバイ</t>
    </rPh>
    <rPh sb="21" eb="25">
      <t>ハンバイテンサマ</t>
    </rPh>
    <rPh sb="25" eb="27">
      <t>ジョウホウ</t>
    </rPh>
    <phoneticPr fontId="14"/>
  </si>
  <si>
    <t>document_type</t>
  </si>
  <si>
    <t>仕様詳細：</t>
    <rPh sb="0" eb="2">
      <t>シヨウ</t>
    </rPh>
    <rPh sb="2" eb="4">
      <t>ショウサイ</t>
    </rPh>
    <phoneticPr fontId="68"/>
  </si>
  <si>
    <t>https://confluence.daj-net.daj.co.jp:8443/wiki/pages/viewpage.action?pageId=648577462</t>
    <phoneticPr fontId="68"/>
  </si>
  <si>
    <t>代ホ m‐FILTER</t>
    <rPh sb="0" eb="1">
      <t>ダイ</t>
    </rPh>
    <phoneticPr fontId="68"/>
  </si>
  <si>
    <t>代ホ i‐FILTER</t>
    <rPh sb="0" eb="1">
      <t>ダイ</t>
    </rPh>
    <phoneticPr fontId="68"/>
  </si>
  <si>
    <t>代ホ MA</t>
    <rPh sb="0" eb="1">
      <t>ダイ</t>
    </rPh>
    <phoneticPr fontId="68"/>
  </si>
  <si>
    <t>代ホ_オンプレ発注/見積の表</t>
    <rPh sb="0" eb="1">
      <t>ダイ</t>
    </rPh>
    <rPh sb="7" eb="9">
      <t>ハッチュウ</t>
    </rPh>
    <rPh sb="10" eb="12">
      <t>ミツ</t>
    </rPh>
    <rPh sb="13" eb="14">
      <t>ヒョウ</t>
    </rPh>
    <phoneticPr fontId="68"/>
  </si>
  <si>
    <r>
      <rPr>
        <b/>
        <vertAlign val="superscript"/>
        <sz val="7.5"/>
        <color rgb="FFFF0000"/>
        <rFont val="ＭＳ Ｐゴシック"/>
        <family val="3"/>
        <charset val="128"/>
        <scheme val="minor"/>
      </rPr>
      <t>※</t>
    </r>
    <r>
      <rPr>
        <b/>
        <sz val="7.5"/>
        <color theme="1"/>
        <rFont val="ＭＳ Ｐゴシック"/>
        <family val="3"/>
        <charset val="128"/>
        <scheme val="minor"/>
      </rPr>
      <t>ホスティングサービス提供者様へ販売される販売店様と</t>
    </r>
    <rPh sb="11" eb="13">
      <t>テイキョウ</t>
    </rPh>
    <rPh sb="13" eb="14">
      <t>シャ</t>
    </rPh>
    <rPh sb="14" eb="15">
      <t>サマ</t>
    </rPh>
    <rPh sb="16" eb="18">
      <t>ハンバイ</t>
    </rPh>
    <rPh sb="21" eb="23">
      <t>ハンバイ</t>
    </rPh>
    <rPh sb="23" eb="24">
      <t>テン</t>
    </rPh>
    <rPh sb="24" eb="25">
      <t>サマ</t>
    </rPh>
    <phoneticPr fontId="68"/>
  </si>
  <si>
    <t>D-SPA SPA-2000 M4</t>
    <phoneticPr fontId="68"/>
  </si>
  <si>
    <t>D-SPA SPA-2000</t>
    <phoneticPr fontId="68"/>
  </si>
  <si>
    <t>D-SPA SPA-1900 M3</t>
    <phoneticPr fontId="68"/>
  </si>
  <si>
    <t>D-SPA SPA-1900 M2</t>
    <phoneticPr fontId="68"/>
  </si>
  <si>
    <t>D-SPA SPA-1900</t>
    <phoneticPr fontId="68"/>
  </si>
  <si>
    <t>D-SPA SPA-1800</t>
    <phoneticPr fontId="68"/>
  </si>
  <si>
    <t>D-SPA SPA-1700</t>
    <phoneticPr fontId="68"/>
  </si>
  <si>
    <t>D-SPA SPA-4000 M4</t>
    <phoneticPr fontId="68"/>
  </si>
  <si>
    <t>D-SPA SPA-4000</t>
    <phoneticPr fontId="68"/>
  </si>
  <si>
    <t>D-SPA SPA-3700 M3</t>
    <phoneticPr fontId="68"/>
  </si>
  <si>
    <t>D-SPA SPA-3700 M2</t>
    <phoneticPr fontId="68"/>
  </si>
  <si>
    <t>D-SPA SPA-3700</t>
    <phoneticPr fontId="68"/>
  </si>
  <si>
    <t>D-SPA SPA-3600</t>
    <phoneticPr fontId="68"/>
  </si>
  <si>
    <t>D-SPA SPA-3500</t>
    <phoneticPr fontId="68"/>
  </si>
  <si>
    <t>D-SPA SPA-7000 M5</t>
    <phoneticPr fontId="68"/>
  </si>
  <si>
    <t>D-SPA SPA-7000</t>
    <phoneticPr fontId="68"/>
  </si>
  <si>
    <t>D-SPA SPA-6700</t>
    <phoneticPr fontId="68"/>
  </si>
  <si>
    <t>D-SPA SPA-6600</t>
    <phoneticPr fontId="68"/>
  </si>
  <si>
    <t>D-SPA SPA-6500</t>
    <phoneticPr fontId="68"/>
  </si>
  <si>
    <t>D-SPA SPA-15000 M5</t>
    <phoneticPr fontId="68"/>
  </si>
  <si>
    <t>D-SPA SPA-15000</t>
    <phoneticPr fontId="68"/>
  </si>
  <si>
    <t>D-SPA SPA-14000</t>
    <phoneticPr fontId="68"/>
  </si>
  <si>
    <t>D-SPA SPA-13000</t>
    <phoneticPr fontId="68"/>
  </si>
  <si>
    <t>D-SPA SPA-12000</t>
    <phoneticPr fontId="68"/>
  </si>
  <si>
    <t>D-SPA MGR-1100</t>
    <phoneticPr fontId="68"/>
  </si>
  <si>
    <t>D-SPA MGR-1000</t>
    <phoneticPr fontId="68"/>
  </si>
  <si>
    <t>D-SPA MGR-3100</t>
    <phoneticPr fontId="68"/>
  </si>
  <si>
    <t>D-SPA MGR-3000</t>
    <phoneticPr fontId="68"/>
  </si>
  <si>
    <t>代ホ DSPA</t>
    <rPh sb="0" eb="1">
      <t>ダイ</t>
    </rPh>
    <phoneticPr fontId="68"/>
  </si>
  <si>
    <t>代ホ_DSPA発注/見積の表</t>
    <rPh sb="0" eb="1">
      <t>ダイ</t>
    </rPh>
    <rPh sb="7" eb="9">
      <t>ハッチュウ</t>
    </rPh>
    <rPh sb="10" eb="12">
      <t>ミツ</t>
    </rPh>
    <rPh sb="13" eb="14">
      <t>ヒョウ</t>
    </rPh>
    <phoneticPr fontId="68"/>
  </si>
  <si>
    <t>D-SPA_GDBライセンス数</t>
    <phoneticPr fontId="68"/>
  </si>
  <si>
    <t>代ホE/U業種</t>
    <phoneticPr fontId="68"/>
  </si>
  <si>
    <t>hosting_end_company_id</t>
    <phoneticPr fontId="68"/>
  </si>
  <si>
    <t>hosting_end_company_name</t>
    <phoneticPr fontId="68"/>
  </si>
  <si>
    <t>hosting_end_company_postal_code</t>
    <phoneticPr fontId="68"/>
  </si>
  <si>
    <t>hosting_end_company_prefectures</t>
    <phoneticPr fontId="68"/>
  </si>
  <si>
    <t>hosting_end_company_city</t>
    <phoneticPr fontId="68"/>
  </si>
  <si>
    <t>hosting_end_company_address</t>
    <phoneticPr fontId="68"/>
  </si>
  <si>
    <t>hosting_end_company_building</t>
    <phoneticPr fontId="68"/>
  </si>
  <si>
    <t>hosting_end_company_industry</t>
    <phoneticPr fontId="68"/>
  </si>
  <si>
    <t>更新(エディション移行：バージョンアップ同時)</t>
    <phoneticPr fontId="68"/>
  </si>
  <si>
    <t>更新（エディション移行同時）</t>
    <phoneticPr fontId="14"/>
  </si>
  <si>
    <t>更新（減数・エディション移行同時）</t>
    <phoneticPr fontId="14"/>
  </si>
  <si>
    <t>closed_contract_id</t>
    <phoneticPr fontId="68"/>
  </si>
  <si>
    <t>i-FILTER ブラウザー&amp;クラウド</t>
  </si>
  <si>
    <t>m-FILTER MailAdviser</t>
  </si>
  <si>
    <t>i-FILTER_通常</t>
    <rPh sb="9" eb="11">
      <t>ツウジョウ</t>
    </rPh>
    <phoneticPr fontId="68"/>
  </si>
  <si>
    <t>m-FILTER_通常</t>
    <phoneticPr fontId="14"/>
  </si>
  <si>
    <t>MailAdviser（2.0/2.1)更新用_通常</t>
    <phoneticPr fontId="14"/>
  </si>
  <si>
    <t>i-F B&amp;C</t>
    <phoneticPr fontId="14"/>
  </si>
  <si>
    <t>FinalCode Ver.6 VA</t>
    <phoneticPr fontId="101"/>
  </si>
  <si>
    <t>サーバー台数/管理者数</t>
    <rPh sb="4" eb="6">
      <t>ダイスウ</t>
    </rPh>
    <rPh sb="7" eb="10">
      <t>カンリシャ</t>
    </rPh>
    <rPh sb="10" eb="11">
      <t>スウ</t>
    </rPh>
    <phoneticPr fontId="68"/>
  </si>
  <si>
    <t>列追加：住所を全て１つのセルへ統合、〒、県、ビル名の間へ全角スペース</t>
  </si>
  <si>
    <t>”DigitalArts Secure Proxy Appliance ”固定+モデル名</t>
  </si>
  <si>
    <t>空白</t>
  </si>
  <si>
    <t>固定：”1台”</t>
  </si>
  <si>
    <t>初年度のときは固定：”-01”、新規以外のときはシリアル</t>
  </si>
  <si>
    <t>H/Wの購入区分”価格”は削除</t>
  </si>
  <si>
    <t>追加　〒と住所の間に全角スペース</t>
  </si>
  <si>
    <t>H/W新規用</t>
  </si>
  <si>
    <t>一次店</t>
  </si>
  <si>
    <t>二次店等</t>
  </si>
  <si>
    <t>三次店</t>
  </si>
  <si>
    <t>導入販社</t>
  </si>
  <si>
    <t>ユーザー</t>
  </si>
  <si>
    <t>納品用</t>
  </si>
  <si>
    <t>社名</t>
  </si>
  <si>
    <t>部署名</t>
  </si>
  <si>
    <t>担当者</t>
  </si>
  <si>
    <t>電話</t>
  </si>
  <si>
    <t>FAX</t>
  </si>
  <si>
    <t>メール</t>
  </si>
  <si>
    <t>更新案内</t>
  </si>
  <si>
    <t>追加ネットワーク・インターフェースオプション</t>
  </si>
  <si>
    <t>電源冗長化オプション</t>
  </si>
  <si>
    <t>追加電源ケーブル</t>
  </si>
  <si>
    <t>HDD引渡しオプション</t>
  </si>
  <si>
    <t>連携製品</t>
  </si>
  <si>
    <t>連携製品シリアル</t>
  </si>
  <si>
    <t>クリプト便管理ID</t>
  </si>
  <si>
    <t>Dアラート通知先</t>
  </si>
  <si>
    <t>一次店業種</t>
  </si>
  <si>
    <t>一次店郵便番号</t>
  </si>
  <si>
    <t>一次店都道府県</t>
  </si>
  <si>
    <t>一次店市区町村</t>
  </si>
  <si>
    <t>一次店町名</t>
  </si>
  <si>
    <t>一次店ビル名</t>
  </si>
  <si>
    <t>二次店業種</t>
  </si>
  <si>
    <t>二次店郵便番号</t>
  </si>
  <si>
    <t>二次店都道府県</t>
  </si>
  <si>
    <t>二次店市区町村</t>
  </si>
  <si>
    <t>二次店町名</t>
  </si>
  <si>
    <t>二次店ビル名</t>
  </si>
  <si>
    <t>子ども見守り</t>
  </si>
  <si>
    <t>H/W_01</t>
  </si>
  <si>
    <t>1台</t>
  </si>
  <si>
    <t>情報通信業</t>
  </si>
  <si>
    <t>SWOP新規用</t>
  </si>
  <si>
    <t>固定：D-SPA Option License</t>
  </si>
  <si>
    <t>オプションのサーバ台数による</t>
  </si>
  <si>
    <t>OP8：メール無害化</t>
  </si>
  <si>
    <t>OP9：FileZen</t>
  </si>
  <si>
    <t>OP10：マイナンバー</t>
  </si>
  <si>
    <t>パトランプ</t>
  </si>
  <si>
    <t>D-SPA_GDBライセンス数</t>
  </si>
  <si>
    <t>@Cloud管理者Mail</t>
    <phoneticPr fontId="68"/>
  </si>
  <si>
    <t>@Cloud_iF/mF連携</t>
    <phoneticPr fontId="68"/>
  </si>
  <si>
    <t>@Cloud_mF/FC連携</t>
    <phoneticPr fontId="68"/>
  </si>
  <si>
    <t>@Cloud既存シリアル</t>
    <phoneticPr fontId="68"/>
  </si>
  <si>
    <t>代ホ　オンプレ</t>
    <rPh sb="0" eb="1">
      <t>ダイ</t>
    </rPh>
    <phoneticPr fontId="68"/>
  </si>
  <si>
    <t>開始日</t>
    <phoneticPr fontId="14"/>
  </si>
  <si>
    <t>Cloud</t>
    <phoneticPr fontId="68"/>
  </si>
  <si>
    <t>i-FILTER情報_代ホ</t>
    <rPh sb="8" eb="10">
      <t>ジョウホウ</t>
    </rPh>
    <rPh sb="11" eb="12">
      <t>ダイ</t>
    </rPh>
    <phoneticPr fontId="14"/>
  </si>
  <si>
    <t>m-FILTER情報_代ホ</t>
    <rPh sb="8" eb="10">
      <t>ジョウホウ</t>
    </rPh>
    <phoneticPr fontId="14"/>
  </si>
  <si>
    <t>MailAdviser情報_代ホ</t>
    <rPh sb="11" eb="13">
      <t>ジョウホウ</t>
    </rPh>
    <phoneticPr fontId="14"/>
  </si>
  <si>
    <t>i-FILTER 情報</t>
    <rPh sb="9" eb="11">
      <t>ジョウホウ</t>
    </rPh>
    <phoneticPr fontId="14"/>
  </si>
  <si>
    <t>代ホ　D-SPA</t>
    <rPh sb="0" eb="1">
      <t>ダイ</t>
    </rPh>
    <phoneticPr fontId="68"/>
  </si>
  <si>
    <t>SWOP新規用</t>
    <phoneticPr fontId="68"/>
  </si>
  <si>
    <t>オンプレ</t>
    <phoneticPr fontId="68"/>
  </si>
  <si>
    <t>代ホ_SWOP新規用</t>
    <rPh sb="0" eb="1">
      <t>ダイ</t>
    </rPh>
    <phoneticPr fontId="68"/>
  </si>
  <si>
    <t>i-FILTER_代ホ</t>
    <rPh sb="9" eb="10">
      <t>ダイ</t>
    </rPh>
    <phoneticPr fontId="68"/>
  </si>
  <si>
    <t>m-FILTER_代ホ</t>
    <rPh sb="9" eb="10">
      <t>ダイ</t>
    </rPh>
    <phoneticPr fontId="68"/>
  </si>
  <si>
    <t>MailAdviser（2.0/2.1)更新用_代ホ</t>
    <rPh sb="24" eb="25">
      <t>ダイ</t>
    </rPh>
    <phoneticPr fontId="68"/>
  </si>
  <si>
    <t>H/W_01_代ホ</t>
    <phoneticPr fontId="68"/>
  </si>
  <si>
    <t>H/W_02_代ホ</t>
    <phoneticPr fontId="68"/>
  </si>
  <si>
    <t>H/W_03_代ホ</t>
    <phoneticPr fontId="68"/>
  </si>
  <si>
    <t>H/W_04_代ホ</t>
    <phoneticPr fontId="68"/>
  </si>
  <si>
    <t>H/W_05_代ホ</t>
    <phoneticPr fontId="68"/>
  </si>
  <si>
    <t>OP新規用_代ホ</t>
    <phoneticPr fontId="68"/>
  </si>
  <si>
    <t>OP新規用</t>
    <phoneticPr fontId="68"/>
  </si>
  <si>
    <t>標準価格</t>
  </si>
  <si>
    <t>D-SPA 購入申請書（A表）代理ホスティング用</t>
    <rPh sb="6" eb="8">
      <t>コウニュウ</t>
    </rPh>
    <rPh sb="8" eb="11">
      <t>シンセイショ</t>
    </rPh>
    <rPh sb="13" eb="14">
      <t>ヒョウ</t>
    </rPh>
    <rPh sb="15" eb="17">
      <t>ダイリ</t>
    </rPh>
    <rPh sb="23" eb="24">
      <t>ヨウ</t>
    </rPh>
    <phoneticPr fontId="14"/>
  </si>
  <si>
    <t>ライセンス購入申請書（A表）代理ホスティング用</t>
    <rPh sb="5" eb="7">
      <t>コウニュウ</t>
    </rPh>
    <rPh sb="7" eb="10">
      <t>シンセイショ</t>
    </rPh>
    <rPh sb="12" eb="13">
      <t>ヒョウ</t>
    </rPh>
    <rPh sb="14" eb="16">
      <t>ダイリ</t>
    </rPh>
    <rPh sb="22" eb="23">
      <t>ヨウ</t>
    </rPh>
    <phoneticPr fontId="14"/>
  </si>
  <si>
    <t>商品名_旧管理シートAC列</t>
    <rPh sb="0" eb="3">
      <t>ショウヒンメイ</t>
    </rPh>
    <rPh sb="4" eb="7">
      <t>キュウカンリ</t>
    </rPh>
    <rPh sb="12" eb="13">
      <t>レツ</t>
    </rPh>
    <phoneticPr fontId="68"/>
  </si>
  <si>
    <t>商品名</t>
    <rPh sb="0" eb="3">
      <t>ショウヒンメイ</t>
    </rPh>
    <phoneticPr fontId="68"/>
  </si>
  <si>
    <t>サーバー台数</t>
    <rPh sb="4" eb="6">
      <t>ダイスウ</t>
    </rPh>
    <phoneticPr fontId="68"/>
  </si>
  <si>
    <t>通常　ハード保守期間</t>
    <rPh sb="0" eb="2">
      <t>ツウジョウ</t>
    </rPh>
    <rPh sb="6" eb="8">
      <t>ホシュ</t>
    </rPh>
    <rPh sb="8" eb="10">
      <t>キカン</t>
    </rPh>
    <phoneticPr fontId="14"/>
  </si>
  <si>
    <t>終了日</t>
    <rPh sb="0" eb="3">
      <t>シュウリョウビ</t>
    </rPh>
    <phoneticPr fontId="68"/>
  </si>
  <si>
    <t>契約年数</t>
    <rPh sb="0" eb="2">
      <t>ケイヤク</t>
    </rPh>
    <rPh sb="2" eb="4">
      <t>ネンスウ</t>
    </rPh>
    <phoneticPr fontId="68"/>
  </si>
  <si>
    <t>開始日_年</t>
    <rPh sb="4" eb="5">
      <t>ネン</t>
    </rPh>
    <phoneticPr fontId="68"/>
  </si>
  <si>
    <t>開始日_月</t>
    <rPh sb="4" eb="5">
      <t>ガツ</t>
    </rPh>
    <phoneticPr fontId="68"/>
  </si>
  <si>
    <t>開始日_日</t>
    <rPh sb="4" eb="5">
      <t>ヒ</t>
    </rPh>
    <phoneticPr fontId="68"/>
  </si>
  <si>
    <t>開始日_年月日</t>
    <rPh sb="4" eb="7">
      <t>ネンガッピ</t>
    </rPh>
    <phoneticPr fontId="68"/>
  </si>
  <si>
    <t>通常　SW_オプション期間</t>
    <rPh sb="0" eb="2">
      <t>ツウジョウ</t>
    </rPh>
    <rPh sb="11" eb="13">
      <t>キカン</t>
    </rPh>
    <phoneticPr fontId="14"/>
  </si>
  <si>
    <t>代ホ　ハード保守期間</t>
    <rPh sb="0" eb="1">
      <t>ダイ</t>
    </rPh>
    <rPh sb="6" eb="8">
      <t>ホシュ</t>
    </rPh>
    <rPh sb="8" eb="10">
      <t>キカン</t>
    </rPh>
    <phoneticPr fontId="14"/>
  </si>
  <si>
    <t>代ホ　SW_オプション期間</t>
    <rPh sb="0" eb="1">
      <t>ダイ</t>
    </rPh>
    <rPh sb="11" eb="13">
      <t>キカン</t>
    </rPh>
    <phoneticPr fontId="14"/>
  </si>
  <si>
    <t>通常　ハード新規区分</t>
    <rPh sb="0" eb="2">
      <t>ツウジョウ</t>
    </rPh>
    <rPh sb="6" eb="8">
      <t>シンキ</t>
    </rPh>
    <rPh sb="8" eb="10">
      <t>クブン</t>
    </rPh>
    <phoneticPr fontId="68"/>
  </si>
  <si>
    <t>代ホ　ハード新規区分</t>
    <rPh sb="0" eb="1">
      <t>ダイ</t>
    </rPh>
    <rPh sb="6" eb="8">
      <t>シンキ</t>
    </rPh>
    <rPh sb="8" eb="10">
      <t>クブン</t>
    </rPh>
    <phoneticPr fontId="68"/>
  </si>
  <si>
    <t>通常　設置場所</t>
    <rPh sb="0" eb="2">
      <t>ツウジョウ</t>
    </rPh>
    <rPh sb="3" eb="5">
      <t>セッチ</t>
    </rPh>
    <rPh sb="5" eb="7">
      <t>バショ</t>
    </rPh>
    <phoneticPr fontId="68"/>
  </si>
  <si>
    <t>代ホ　設置場所</t>
    <rPh sb="0" eb="1">
      <t>ダイ</t>
    </rPh>
    <rPh sb="3" eb="5">
      <t>セッチ</t>
    </rPh>
    <rPh sb="5" eb="7">
      <t>バショ</t>
    </rPh>
    <phoneticPr fontId="68"/>
  </si>
  <si>
    <t>通常　ソフトウェアOP</t>
    <rPh sb="0" eb="2">
      <t>ツウジョウ</t>
    </rPh>
    <phoneticPr fontId="68"/>
  </si>
  <si>
    <t>代ホ　ソフトウェアOP</t>
    <rPh sb="0" eb="1">
      <t>ダイ</t>
    </rPh>
    <phoneticPr fontId="68"/>
  </si>
  <si>
    <t>SSL Adapter for D-SPA</t>
  </si>
  <si>
    <t>SSL APT Adapter for D-SPA</t>
  </si>
  <si>
    <t>Global Database for D-SPA</t>
  </si>
  <si>
    <t>子ども見守りシステム</t>
  </si>
  <si>
    <t>i-FILTER for D-SPA</t>
    <phoneticPr fontId="68"/>
  </si>
  <si>
    <t>APT Protection for D-SPA</t>
    <phoneticPr fontId="68"/>
  </si>
  <si>
    <t>iF10</t>
    <phoneticPr fontId="14"/>
  </si>
  <si>
    <t>iF9</t>
    <phoneticPr fontId="14"/>
  </si>
  <si>
    <t>iF8</t>
    <phoneticPr fontId="14"/>
  </si>
  <si>
    <t>発注日</t>
    <rPh sb="0" eb="2">
      <t>ハッチュウ</t>
    </rPh>
    <rPh sb="2" eb="3">
      <t>ビ</t>
    </rPh>
    <phoneticPr fontId="14"/>
  </si>
  <si>
    <t>名</t>
    <rPh sb="0" eb="1">
      <t>メイ</t>
    </rPh>
    <phoneticPr fontId="14"/>
  </si>
  <si>
    <t>エンド名</t>
    <rPh sb="3" eb="4">
      <t>メイ</t>
    </rPh>
    <phoneticPr fontId="14"/>
  </si>
  <si>
    <t>業種</t>
    <rPh sb="0" eb="2">
      <t>ギョウシュ</t>
    </rPh>
    <phoneticPr fontId="14"/>
  </si>
  <si>
    <t>郵便番号</t>
    <rPh sb="0" eb="4">
      <t>ユウビンバンゴウ</t>
    </rPh>
    <phoneticPr fontId="14"/>
  </si>
  <si>
    <t>都道府県</t>
    <rPh sb="0" eb="4">
      <t>トドウフケン</t>
    </rPh>
    <phoneticPr fontId="14"/>
  </si>
  <si>
    <t>市区町村</t>
    <rPh sb="0" eb="2">
      <t>シク</t>
    </rPh>
    <rPh sb="2" eb="4">
      <t>チョウソン</t>
    </rPh>
    <phoneticPr fontId="14"/>
  </si>
  <si>
    <t>町名・番地</t>
    <rPh sb="0" eb="2">
      <t>チョウメイ</t>
    </rPh>
    <rPh sb="3" eb="5">
      <t>バンチ</t>
    </rPh>
    <phoneticPr fontId="14"/>
  </si>
  <si>
    <t>ビル</t>
    <phoneticPr fontId="14"/>
  </si>
  <si>
    <t>部署名</t>
    <rPh sb="0" eb="2">
      <t>ブショ</t>
    </rPh>
    <rPh sb="2" eb="3">
      <t>メイ</t>
    </rPh>
    <phoneticPr fontId="14"/>
  </si>
  <si>
    <t>氏</t>
    <rPh sb="0" eb="1">
      <t>シ</t>
    </rPh>
    <phoneticPr fontId="14"/>
  </si>
  <si>
    <t>TEL</t>
    <phoneticPr fontId="14"/>
  </si>
  <si>
    <t>E-Mail</t>
    <phoneticPr fontId="14"/>
  </si>
  <si>
    <t>更新案内</t>
    <rPh sb="0" eb="2">
      <t>コウシン</t>
    </rPh>
    <rPh sb="2" eb="4">
      <t>アンナイ</t>
    </rPh>
    <phoneticPr fontId="14"/>
  </si>
  <si>
    <t>直エンド販社名</t>
    <rPh sb="0" eb="1">
      <t>チョク</t>
    </rPh>
    <rPh sb="4" eb="6">
      <t>ハンシャ</t>
    </rPh>
    <rPh sb="6" eb="7">
      <t>メイ</t>
    </rPh>
    <phoneticPr fontId="14"/>
  </si>
  <si>
    <t>代ホエンド名</t>
    <rPh sb="0" eb="1">
      <t>ダイ</t>
    </rPh>
    <rPh sb="5" eb="6">
      <t>メイ</t>
    </rPh>
    <phoneticPr fontId="14"/>
  </si>
  <si>
    <t>納品先１</t>
    <rPh sb="0" eb="2">
      <t>ノウヒン</t>
    </rPh>
    <rPh sb="2" eb="3">
      <t>サキ</t>
    </rPh>
    <phoneticPr fontId="14"/>
  </si>
  <si>
    <t>納品先２</t>
    <rPh sb="0" eb="2">
      <t>ノウヒン</t>
    </rPh>
    <rPh sb="2" eb="3">
      <t>サキ</t>
    </rPh>
    <phoneticPr fontId="14"/>
  </si>
  <si>
    <t>一次店-直エンド</t>
    <rPh sb="0" eb="2">
      <t>イチジ</t>
    </rPh>
    <rPh sb="2" eb="3">
      <t>テン</t>
    </rPh>
    <rPh sb="4" eb="5">
      <t>チョク</t>
    </rPh>
    <phoneticPr fontId="14"/>
  </si>
  <si>
    <t>二次店-直エンド</t>
    <rPh sb="0" eb="3">
      <t>ニジテン</t>
    </rPh>
    <rPh sb="2" eb="3">
      <t>テン</t>
    </rPh>
    <phoneticPr fontId="14"/>
  </si>
  <si>
    <t>社名</t>
    <rPh sb="0" eb="2">
      <t>シャメイ</t>
    </rPh>
    <phoneticPr fontId="14"/>
  </si>
  <si>
    <t>発注番号１</t>
    <rPh sb="0" eb="2">
      <t>ハッチュウ</t>
    </rPh>
    <rPh sb="2" eb="4">
      <t>バンゴウ</t>
    </rPh>
    <phoneticPr fontId="14"/>
  </si>
  <si>
    <t>発注番号２</t>
    <rPh sb="0" eb="2">
      <t>ハッチュウ</t>
    </rPh>
    <rPh sb="2" eb="4">
      <t>バンゴウ</t>
    </rPh>
    <phoneticPr fontId="14"/>
  </si>
  <si>
    <t>発注対象シート</t>
    <rPh sb="0" eb="2">
      <t>ハッチュウ</t>
    </rPh>
    <rPh sb="2" eb="4">
      <t>タイショウ</t>
    </rPh>
    <phoneticPr fontId="14"/>
  </si>
  <si>
    <t>申請区分有無</t>
    <rPh sb="0" eb="2">
      <t>シンセイ</t>
    </rPh>
    <rPh sb="2" eb="4">
      <t>クブン</t>
    </rPh>
    <rPh sb="4" eb="6">
      <t>ウム</t>
    </rPh>
    <phoneticPr fontId="14"/>
  </si>
  <si>
    <t>通常オンプレ</t>
    <rPh sb="0" eb="2">
      <t>ツウジョウ</t>
    </rPh>
    <phoneticPr fontId="14"/>
  </si>
  <si>
    <t>発注対象</t>
    <rPh sb="0" eb="2">
      <t>ハッチュウ</t>
    </rPh>
    <rPh sb="2" eb="4">
      <t>タイショウ</t>
    </rPh>
    <phoneticPr fontId="14"/>
  </si>
  <si>
    <t>Cloud</t>
    <phoneticPr fontId="14"/>
  </si>
  <si>
    <t>通常DSPA</t>
    <rPh sb="0" eb="2">
      <t>ツウジョウ</t>
    </rPh>
    <phoneticPr fontId="14"/>
  </si>
  <si>
    <t>代ホ_オンプレ</t>
    <rPh sb="0" eb="1">
      <t>ダイ</t>
    </rPh>
    <phoneticPr fontId="14"/>
  </si>
  <si>
    <t>代ホ_DSPA</t>
    <rPh sb="0" eb="1">
      <t>ダイ</t>
    </rPh>
    <phoneticPr fontId="14"/>
  </si>
  <si>
    <t>情報通信業</t>
    <phoneticPr fontId="14"/>
  </si>
  <si>
    <t>trial_serial</t>
    <phoneticPr fontId="68"/>
  </si>
  <si>
    <t>Desk@Cloud申請区分</t>
    <rPh sb="10" eb="12">
      <t>シンセイ</t>
    </rPh>
    <rPh sb="12" eb="14">
      <t>クブン</t>
    </rPh>
    <phoneticPr fontId="14"/>
  </si>
  <si>
    <t>De＠C</t>
    <phoneticPr fontId="68"/>
  </si>
  <si>
    <t>A表まとめ</t>
    <rPh sb="1" eb="2">
      <t>ヒョウ</t>
    </rPh>
    <phoneticPr fontId="14"/>
  </si>
  <si>
    <t>下記にはホスティングサービス提供者様へ弊社製品をご提供・ご契約される販売店様をご記入ください。</t>
    <phoneticPr fontId="68"/>
  </si>
  <si>
    <t>標準(Desk@Cloud単独購入/保有)</t>
    <rPh sb="0" eb="2">
      <t>ヒョウジュン</t>
    </rPh>
    <rPh sb="13" eb="15">
      <t>タンドク</t>
    </rPh>
    <rPh sb="15" eb="17">
      <t>コウニュウ</t>
    </rPh>
    <rPh sb="18" eb="20">
      <t>ホユウ</t>
    </rPh>
    <phoneticPr fontId="68"/>
  </si>
  <si>
    <t>利用期間連動シリアル</t>
    <rPh sb="0" eb="2">
      <t>リヨウ</t>
    </rPh>
    <rPh sb="2" eb="4">
      <t>キカン</t>
    </rPh>
    <rPh sb="4" eb="6">
      <t>レンドウ</t>
    </rPh>
    <phoneticPr fontId="14"/>
  </si>
  <si>
    <t>契約期間</t>
    <rPh sb="0" eb="2">
      <t>ケイヤク</t>
    </rPh>
    <rPh sb="2" eb="4">
      <t>キカン</t>
    </rPh>
    <phoneticPr fontId="68"/>
  </si>
  <si>
    <r>
      <rPr>
        <b/>
        <sz val="9"/>
        <rFont val="MS UI Gothic"/>
        <family val="3"/>
        <charset val="128"/>
      </rPr>
      <t>今回の"新規"ご発注分のほかに</t>
    </r>
    <r>
      <rPr>
        <sz val="9"/>
        <rFont val="MS UI Gothic"/>
        <family val="3"/>
        <charset val="128"/>
      </rPr>
      <t>DigitalArts@Cloud製品をご利用中の場合は「有」をご選択ください。いずれかの製品の更新ご発注の場合も「有」をご選択ください。</t>
    </r>
    <rPh sb="4" eb="6">
      <t>シンキ</t>
    </rPh>
    <rPh sb="60" eb="62">
      <t>セイヒン</t>
    </rPh>
    <rPh sb="63" eb="65">
      <t>コウシン</t>
    </rPh>
    <rPh sb="66" eb="68">
      <t>ハッチュウ</t>
    </rPh>
    <rPh sb="69" eb="71">
      <t>バアイ</t>
    </rPh>
    <rPh sb="73" eb="74">
      <t>アリ</t>
    </rPh>
    <rPh sb="77" eb="79">
      <t>センタク</t>
    </rPh>
    <phoneticPr fontId="14"/>
  </si>
  <si>
    <t>i-FILTER Ver.9</t>
    <phoneticPr fontId="14"/>
  </si>
  <si>
    <t>i-FILTER Ver.9 アカデミック</t>
    <phoneticPr fontId="14"/>
  </si>
  <si>
    <t>m-FILTER Ver.4</t>
    <phoneticPr fontId="14"/>
  </si>
  <si>
    <t>m-FILTER Ver.4 アカデミック</t>
    <phoneticPr fontId="14"/>
  </si>
  <si>
    <t>i-FILTER Ver.10 GIGAスクール版</t>
    <rPh sb="24" eb="25">
      <t>バン</t>
    </rPh>
    <phoneticPr fontId="14"/>
  </si>
  <si>
    <t>標準(DigitalArts@Cloud保有)</t>
    <rPh sb="0" eb="2">
      <t>ヒョウジュン</t>
    </rPh>
    <rPh sb="20" eb="22">
      <t>ホユウ</t>
    </rPh>
    <phoneticPr fontId="101"/>
  </si>
  <si>
    <t>標準(弊社他製品のみ保有)</t>
    <rPh sb="0" eb="2">
      <t>ヒョウジュン</t>
    </rPh>
    <rPh sb="3" eb="5">
      <t>ヘイシャ</t>
    </rPh>
    <rPh sb="5" eb="6">
      <t>タ</t>
    </rPh>
    <rPh sb="6" eb="8">
      <t>セイヒン</t>
    </rPh>
    <rPh sb="10" eb="12">
      <t>ホユウ</t>
    </rPh>
    <phoneticPr fontId="101"/>
  </si>
  <si>
    <t>i-FILTER 学校向けサイトライセンス Ver.9</t>
    <phoneticPr fontId="14"/>
  </si>
  <si>
    <t>※「HDD拡充オプション」、「追加ネットワーク・インターフェース・オプション」、「電源冗長化オプション」についてはD-SPA本体の機種により適用可能なオプションの組み合わせが制限を受けます。また、各価格の適用や、</t>
    <rPh sb="41" eb="43">
      <t>デンゲン</t>
    </rPh>
    <rPh sb="43" eb="45">
      <t>ジョウチョウ</t>
    </rPh>
    <rPh sb="45" eb="46">
      <t>カ</t>
    </rPh>
    <rPh sb="62" eb="64">
      <t>ホンタイ</t>
    </rPh>
    <rPh sb="65" eb="67">
      <t>キシュ</t>
    </rPh>
    <rPh sb="70" eb="72">
      <t>テキヨウ</t>
    </rPh>
    <rPh sb="72" eb="74">
      <t>カノウ</t>
    </rPh>
    <rPh sb="81" eb="82">
      <t>ク</t>
    </rPh>
    <rPh sb="83" eb="84">
      <t>ア</t>
    </rPh>
    <rPh sb="87" eb="89">
      <t>セイゲン</t>
    </rPh>
    <rPh sb="90" eb="91">
      <t>ウ</t>
    </rPh>
    <phoneticPr fontId="14"/>
  </si>
  <si>
    <t>入力フォームDA_Cloud</t>
    <phoneticPr fontId="68"/>
  </si>
  <si>
    <t>登録ユーザー数</t>
    <rPh sb="0" eb="2">
      <t>トウロク</t>
    </rPh>
    <rPh sb="6" eb="7">
      <t>スウ</t>
    </rPh>
    <phoneticPr fontId="68"/>
  </si>
  <si>
    <t>dspa_maintenance_level</t>
    <phoneticPr fontId="68"/>
  </si>
  <si>
    <t>ライセンスカウント方法</t>
    <rPh sb="9" eb="11">
      <t>ホウホウ</t>
    </rPh>
    <phoneticPr fontId="68"/>
  </si>
  <si>
    <t>other_product_5</t>
    <phoneticPr fontId="68"/>
  </si>
  <si>
    <t>other_product_6</t>
  </si>
  <si>
    <t>other_product_7</t>
  </si>
  <si>
    <t>other_product_8</t>
  </si>
  <si>
    <t>other_product_9</t>
  </si>
  <si>
    <t>other_product_10</t>
  </si>
  <si>
    <t>other_product_6</t>
    <phoneticPr fontId="68"/>
  </si>
  <si>
    <t>other_product_7</t>
    <phoneticPr fontId="68"/>
  </si>
  <si>
    <t>other_product_8</t>
    <phoneticPr fontId="68"/>
  </si>
  <si>
    <t>other_product_9</t>
    <phoneticPr fontId="68"/>
  </si>
  <si>
    <t>other_product_10</t>
    <phoneticPr fontId="68"/>
  </si>
  <si>
    <t>term_year</t>
    <phoneticPr fontId="68"/>
  </si>
  <si>
    <t>ご記入いただいたE-Mailアドレスに更新案内および各種情報をご案内してよろしいですか？
（注）「いいえ」の場合でも、重要な製品情報はお送りする場合がございます。</t>
    <rPh sb="1" eb="3">
      <t>キニュウ</t>
    </rPh>
    <rPh sb="19" eb="23">
      <t>コウシンアンナイ</t>
    </rPh>
    <rPh sb="26" eb="28">
      <t>カクシュ</t>
    </rPh>
    <rPh sb="28" eb="30">
      <t>ジョウホウ</t>
    </rPh>
    <rPh sb="32" eb="34">
      <t>アンナイ</t>
    </rPh>
    <phoneticPr fontId="14"/>
  </si>
  <si>
    <t>「API利用に関する同意書」の提出状況</t>
    <rPh sb="4" eb="6">
      <t>リヨウ</t>
    </rPh>
    <rPh sb="7" eb="8">
      <t>カン</t>
    </rPh>
    <rPh sb="10" eb="12">
      <t>ドウイ</t>
    </rPh>
    <rPh sb="12" eb="13">
      <t>ショ</t>
    </rPh>
    <rPh sb="15" eb="17">
      <t>テイシュツ</t>
    </rPh>
    <rPh sb="17" eb="19">
      <t>ジョウキョウ</t>
    </rPh>
    <phoneticPr fontId="14"/>
  </si>
  <si>
    <t>GIGA版
申請欄</t>
    <rPh sb="4" eb="5">
      <t>バン</t>
    </rPh>
    <rPh sb="6" eb="8">
      <t>シンセイ</t>
    </rPh>
    <rPh sb="8" eb="9">
      <t>ラン</t>
    </rPh>
    <phoneticPr fontId="68"/>
  </si>
  <si>
    <r>
      <rPr>
        <b/>
        <sz val="9"/>
        <rFont val="MS UI Gothic"/>
        <family val="3"/>
        <charset val="128"/>
      </rPr>
      <t>Chrome OS-Agent</t>
    </r>
    <r>
      <rPr>
        <b/>
        <sz val="8"/>
        <rFont val="MS UI Gothic"/>
        <family val="3"/>
        <charset val="128"/>
      </rPr>
      <t>利用</t>
    </r>
    <rPh sb="15" eb="17">
      <t>リヨウ</t>
    </rPh>
    <phoneticPr fontId="68"/>
  </si>
  <si>
    <r>
      <rPr>
        <b/>
        <sz val="9"/>
        <rFont val="MS UI Gothic"/>
        <family val="3"/>
        <charset val="128"/>
      </rPr>
      <t>iOS-Agent</t>
    </r>
    <r>
      <rPr>
        <b/>
        <sz val="8"/>
        <rFont val="MS UI Gothic"/>
        <family val="3"/>
        <charset val="128"/>
      </rPr>
      <t>利用</t>
    </r>
    <rPh sb="9" eb="11">
      <t>リヨウ</t>
    </rPh>
    <phoneticPr fontId="68"/>
  </si>
  <si>
    <r>
      <rPr>
        <b/>
        <sz val="9"/>
        <rFont val="MS UI Gothic"/>
        <family val="3"/>
        <charset val="128"/>
      </rPr>
      <t>Windows-Agent</t>
    </r>
    <r>
      <rPr>
        <b/>
        <sz val="8"/>
        <rFont val="MS UI Gothic"/>
        <family val="3"/>
        <charset val="128"/>
      </rPr>
      <t>利用</t>
    </r>
    <rPh sb="13" eb="15">
      <t>リヨウ</t>
    </rPh>
    <phoneticPr fontId="68"/>
  </si>
  <si>
    <r>
      <rPr>
        <b/>
        <sz val="9"/>
        <rFont val="MS UI Gothic"/>
        <family val="3"/>
        <charset val="128"/>
      </rPr>
      <t>Windows</t>
    </r>
    <r>
      <rPr>
        <b/>
        <sz val="8"/>
        <rFont val="MS UI Gothic"/>
        <family val="3"/>
        <charset val="128"/>
      </rPr>
      <t>-プロキシ利用</t>
    </r>
    <rPh sb="12" eb="14">
      <t>リヨウ</t>
    </rPh>
    <phoneticPr fontId="68"/>
  </si>
  <si>
    <r>
      <rPr>
        <b/>
        <sz val="9"/>
        <rFont val="MS UI Gothic"/>
        <family val="3"/>
        <charset val="128"/>
      </rPr>
      <t>iOS</t>
    </r>
    <r>
      <rPr>
        <b/>
        <sz val="8"/>
        <rFont val="MS UI Gothic"/>
        <family val="3"/>
        <charset val="128"/>
      </rPr>
      <t>-プロキシ利用</t>
    </r>
    <rPh sb="8" eb="10">
      <t>リヨウ</t>
    </rPh>
    <phoneticPr fontId="68"/>
  </si>
  <si>
    <r>
      <rPr>
        <b/>
        <sz val="9"/>
        <rFont val="MS UI Gothic"/>
        <family val="3"/>
        <charset val="128"/>
      </rPr>
      <t>Chrome OS</t>
    </r>
    <r>
      <rPr>
        <b/>
        <sz val="8"/>
        <rFont val="MS UI Gothic"/>
        <family val="3"/>
        <charset val="128"/>
      </rPr>
      <t>-プロキシ利用</t>
    </r>
    <rPh sb="14" eb="16">
      <t>リヨウ</t>
    </rPh>
    <phoneticPr fontId="68"/>
  </si>
  <si>
    <t>利用OS内訳
(端末台数)</t>
    <rPh sb="0" eb="2">
      <t>リヨウ</t>
    </rPh>
    <rPh sb="4" eb="6">
      <t>ウチワケ</t>
    </rPh>
    <rPh sb="8" eb="10">
      <t>タンマツ</t>
    </rPh>
    <rPh sb="10" eb="12">
      <t>ダイスウ</t>
    </rPh>
    <phoneticPr fontId="68"/>
  </si>
  <si>
    <t>user_count</t>
    <phoneticPr fontId="68"/>
  </si>
  <si>
    <t>license_count_type</t>
    <phoneticPr fontId="68"/>
  </si>
  <si>
    <t>Tcount_win_agent</t>
    <phoneticPr fontId="68"/>
  </si>
  <si>
    <t>Tcount_ios_agent</t>
    <phoneticPr fontId="68"/>
  </si>
  <si>
    <t>Tcount_chrome_agent</t>
    <phoneticPr fontId="68"/>
  </si>
  <si>
    <t>Tcount_win_proxy</t>
    <phoneticPr fontId="68"/>
  </si>
  <si>
    <t>Tcount_ios_proxy</t>
    <phoneticPr fontId="68"/>
  </si>
  <si>
    <t>Tcount_chrome_proxy</t>
    <phoneticPr fontId="68"/>
  </si>
  <si>
    <r>
      <t>※</t>
    </r>
    <r>
      <rPr>
        <b/>
        <sz val="6"/>
        <color theme="1"/>
        <rFont val="ＭＳ Ｐゴシック"/>
        <family val="3"/>
        <charset val="128"/>
        <scheme val="minor"/>
      </rPr>
      <t>E-Mail (1)</t>
    </r>
    <phoneticPr fontId="68"/>
  </si>
  <si>
    <t>業種</t>
    <phoneticPr fontId="14"/>
  </si>
  <si>
    <t>フリガナ</t>
    <phoneticPr fontId="14"/>
  </si>
  <si>
    <t>TEL</t>
    <phoneticPr fontId="68"/>
  </si>
  <si>
    <t>ユーザー数</t>
    <rPh sb="4" eb="5">
      <t>スウ</t>
    </rPh>
    <phoneticPr fontId="68"/>
  </si>
  <si>
    <t>ライセンスカウント方法</t>
    <rPh sb="9" eb="11">
      <t>ホウホウ</t>
    </rPh>
    <phoneticPr fontId="68"/>
  </si>
  <si>
    <t>OS内訳_Win_Agent</t>
    <rPh sb="2" eb="4">
      <t>ウチワケ</t>
    </rPh>
    <phoneticPr fontId="68"/>
  </si>
  <si>
    <t>OS内訳_iOS_Agent</t>
    <rPh sb="2" eb="4">
      <t>ウチワケ</t>
    </rPh>
    <phoneticPr fontId="68"/>
  </si>
  <si>
    <t>OS内訳_Chrome_Agent</t>
    <rPh sb="2" eb="4">
      <t>ウチワケ</t>
    </rPh>
    <phoneticPr fontId="68"/>
  </si>
  <si>
    <t>OS内訳_Win_proxy</t>
    <rPh sb="2" eb="4">
      <t>ウチワケ</t>
    </rPh>
    <phoneticPr fontId="68"/>
  </si>
  <si>
    <t>OS内訳_iOS_proxy</t>
    <rPh sb="2" eb="4">
      <t>ウチワケ</t>
    </rPh>
    <phoneticPr fontId="68"/>
  </si>
  <si>
    <t>OS内訳_Chrome_proxy</t>
    <rPh sb="2" eb="4">
      <t>ウチワケ</t>
    </rPh>
    <phoneticPr fontId="68"/>
  </si>
  <si>
    <t>合計</t>
    <rPh sb="0" eb="2">
      <t>ゴウケイ</t>
    </rPh>
    <phoneticPr fontId="68"/>
  </si>
  <si>
    <t>※0以上の数字をご入力ください。</t>
    <phoneticPr fontId="68"/>
  </si>
  <si>
    <t>DigitalArts@Cloud Agent について</t>
  </si>
  <si>
    <r>
      <t>※端末利用時のパスワード入力が不要になる、</t>
    </r>
    <r>
      <rPr>
        <sz val="9"/>
        <color rgb="FFFF0000"/>
        <rFont val="MS UI Gothic"/>
        <family val="3"/>
        <charset val="128"/>
      </rPr>
      <t>Agent</t>
    </r>
    <r>
      <rPr>
        <sz val="8"/>
        <color rgb="FFFF0000"/>
        <rFont val="MS UI Gothic"/>
        <family val="3"/>
        <charset val="128"/>
      </rPr>
      <t>のご利用を推奨しております。</t>
    </r>
    <rPh sb="12" eb="14">
      <t>ニュウリョク</t>
    </rPh>
    <phoneticPr fontId="68"/>
  </si>
  <si>
    <t>暗号化強固OP</t>
    <rPh sb="0" eb="3">
      <t>アンゴウカ</t>
    </rPh>
    <rPh sb="3" eb="5">
      <t>キョウコ</t>
    </rPh>
    <phoneticPr fontId="68"/>
  </si>
  <si>
    <t>暗号化強固OP</t>
    <phoneticPr fontId="17"/>
  </si>
  <si>
    <t>暗号化強固OP</t>
    <phoneticPr fontId="68"/>
  </si>
  <si>
    <t>暗号化強固OP</t>
    <phoneticPr fontId="17"/>
  </si>
  <si>
    <t>暗号化強固オプション</t>
    <phoneticPr fontId="14"/>
  </si>
  <si>
    <t>「File Scan」をご契約されない場合、「マクロ除去」機能をご利用いただけないことについてご了承ください。</t>
    <rPh sb="13" eb="15">
      <t>ケイヤク</t>
    </rPh>
    <rPh sb="19" eb="21">
      <t>バアイ</t>
    </rPh>
    <rPh sb="26" eb="28">
      <t>ジョキョ</t>
    </rPh>
    <rPh sb="29" eb="31">
      <t>キノウ</t>
    </rPh>
    <rPh sb="33" eb="35">
      <t>リヨウ</t>
    </rPh>
    <rPh sb="48" eb="50">
      <t>リョウショウ</t>
    </rPh>
    <phoneticPr fontId="17"/>
  </si>
  <si>
    <t>FC主管理者
E-mail</t>
    <rPh sb="2" eb="3">
      <t>シュ</t>
    </rPh>
    <phoneticPr fontId="17"/>
  </si>
  <si>
    <t>FinalCode
保有シリアル</t>
    <phoneticPr fontId="68"/>
  </si>
  <si>
    <t>アーカイブ
保存</t>
    <rPh sb="6" eb="8">
      <t>ホゾン</t>
    </rPh>
    <phoneticPr fontId="14"/>
  </si>
  <si>
    <t>FC主管理者E-mail</t>
    <rPh sb="2" eb="3">
      <t>シュ</t>
    </rPh>
    <phoneticPr fontId="68"/>
  </si>
  <si>
    <t>FC主管理者
E-mail</t>
    <rPh sb="2" eb="3">
      <t>シュ</t>
    </rPh>
    <phoneticPr fontId="68"/>
  </si>
  <si>
    <t>fc_admin_email_address</t>
    <phoneticPr fontId="68"/>
  </si>
  <si>
    <t>finalcode_serial</t>
  </si>
  <si>
    <t>オフライン暗号・
閲覧機能</t>
    <rPh sb="5" eb="7">
      <t>アンゴウ</t>
    </rPh>
    <rPh sb="9" eb="13">
      <t>エツランキノウ</t>
    </rPh>
    <phoneticPr fontId="17"/>
  </si>
  <si>
    <t>・FinalCodeの使用上の注意https://www.finalcode.com/jp/support/ を確認しました。
・動作検証済みソフトウェアなど、FinalCodeの動作環境について https://www.finalcode.com/jp/product/spec を確認しました。</t>
    <phoneticPr fontId="14"/>
  </si>
  <si>
    <t>VOTIRO
連携</t>
    <rPh sb="7" eb="9">
      <t>レンケイ</t>
    </rPh>
    <phoneticPr fontId="17"/>
  </si>
  <si>
    <t>OPSWAT連携
サーバー台数</t>
    <phoneticPr fontId="17"/>
  </si>
  <si>
    <t>m-FILTER クリプト便 Adapter/クリプト便 for m-FILTER</t>
    <rPh sb="13" eb="14">
      <t>ビン</t>
    </rPh>
    <phoneticPr fontId="14"/>
  </si>
  <si>
    <t>m-FILTER クリプト便 Adapter/クリプト便 for m-FILTER</t>
    <phoneticPr fontId="14"/>
  </si>
  <si>
    <t>FileZen S
Adapter</t>
    <phoneticPr fontId="17"/>
  </si>
  <si>
    <t>子ども見守り/OPSWAT台数</t>
    <rPh sb="0" eb="1">
      <t>コ</t>
    </rPh>
    <rPh sb="3" eb="5">
      <t>ミマモ</t>
    </rPh>
    <rPh sb="13" eb="15">
      <t>ダイスウ</t>
    </rPh>
    <phoneticPr fontId="68"/>
  </si>
  <si>
    <t>OPSWAT連携
サーバー台数</t>
    <phoneticPr fontId="14"/>
  </si>
  <si>
    <t>VOTIRO
連携</t>
    <rPh sb="7" eb="9">
      <t>レンケイ</t>
    </rPh>
    <phoneticPr fontId="14"/>
  </si>
  <si>
    <t>FileZen S
Adapter</t>
    <phoneticPr fontId="14"/>
  </si>
  <si>
    <t>「FineZen Adapter」、「FileZen S Adapter」をご利用の場合は右記の内容をご確認いただき、右側の「はい」を選んでご同意ください。</t>
    <rPh sb="39" eb="41">
      <t>リヨウ</t>
    </rPh>
    <rPh sb="42" eb="44">
      <t>バアイ</t>
    </rPh>
    <rPh sb="45" eb="47">
      <t>ウキ</t>
    </rPh>
    <rPh sb="48" eb="50">
      <t>ナイヨウ</t>
    </rPh>
    <rPh sb="52" eb="54">
      <t>カクニン</t>
    </rPh>
    <rPh sb="59" eb="61">
      <t>ミギガワ</t>
    </rPh>
    <rPh sb="67" eb="68">
      <t>エラ</t>
    </rPh>
    <rPh sb="71" eb="73">
      <t>ドウイ</t>
    </rPh>
    <phoneticPr fontId="14"/>
  </si>
  <si>
    <t>「FineZen Adapter」をご利用の場合は右記の内容をご確認いただき、右側の「はい」を選んでご同意ください。</t>
    <rPh sb="19" eb="21">
      <t>リヨウ</t>
    </rPh>
    <rPh sb="22" eb="24">
      <t>バアイ</t>
    </rPh>
    <rPh sb="25" eb="27">
      <t>ウキ</t>
    </rPh>
    <rPh sb="28" eb="30">
      <t>ナイヨウ</t>
    </rPh>
    <rPh sb="32" eb="34">
      <t>カクニン</t>
    </rPh>
    <rPh sb="39" eb="41">
      <t>ミギガワ</t>
    </rPh>
    <rPh sb="47" eb="48">
      <t>エラ</t>
    </rPh>
    <rPh sb="51" eb="53">
      <t>ドウイ</t>
    </rPh>
    <phoneticPr fontId="17"/>
  </si>
  <si>
    <t>Dアラート Quick-IR</t>
    <phoneticPr fontId="68"/>
  </si>
  <si>
    <t>アーカイブ保存7年</t>
    <rPh sb="5" eb="7">
      <t>ホゾン</t>
    </rPh>
    <rPh sb="8" eb="9">
      <t>ネン</t>
    </rPh>
    <phoneticPr fontId="101"/>
  </si>
  <si>
    <t>アーカイブ保存10年</t>
    <rPh sb="5" eb="7">
      <t>ホゾン</t>
    </rPh>
    <rPh sb="9" eb="10">
      <t>ネン</t>
    </rPh>
    <phoneticPr fontId="101"/>
  </si>
  <si>
    <t>ログ保存7年</t>
    <rPh sb="2" eb="4">
      <t>ホゾン</t>
    </rPh>
    <rPh sb="5" eb="6">
      <t>ネン</t>
    </rPh>
    <phoneticPr fontId="101"/>
  </si>
  <si>
    <t>ログ保存10年</t>
    <rPh sb="2" eb="4">
      <t>ホゾン</t>
    </rPh>
    <rPh sb="6" eb="7">
      <t>ネン</t>
    </rPh>
    <phoneticPr fontId="101"/>
  </si>
  <si>
    <t>クリプト便 for
 m-FILTER
管理ID</t>
    <phoneticPr fontId="17"/>
  </si>
  <si>
    <t>OP11</t>
    <phoneticPr fontId="68"/>
  </si>
  <si>
    <t>暗号化強固OP
CAD暗号機能</t>
    <rPh sb="0" eb="5">
      <t>アンゴウカキョウコ</t>
    </rPh>
    <rPh sb="11" eb="13">
      <t>アンゴウ</t>
    </rPh>
    <rPh sb="13" eb="15">
      <t>キノウ</t>
    </rPh>
    <phoneticPr fontId="17"/>
  </si>
  <si>
    <t>暗号化強固OP
CAD暗号機能</t>
    <phoneticPr fontId="68"/>
  </si>
  <si>
    <t>CAD暗号機能</t>
    <phoneticPr fontId="14"/>
  </si>
  <si>
    <t>暗号化強固OP
CAD暗号機能</t>
    <phoneticPr fontId="17"/>
  </si>
  <si>
    <t>Dアラート
通知先</t>
    <rPh sb="6" eb="9">
      <t>ツウチサキ</t>
    </rPh>
    <phoneticPr fontId="68"/>
  </si>
  <si>
    <t>Dアラートを通知してよろしいでしょうか？
（注）「いいえ」の場合、Dアラートは通知いたしません。</t>
    <phoneticPr fontId="68"/>
  </si>
  <si>
    <t>Dアラートを通知してよろしいでしょうか？
（注）「いいえ」の場合、Dアラートは通知いたしません。</t>
    <phoneticPr fontId="68"/>
  </si>
  <si>
    <t>Dアラート
通知先</t>
    <rPh sb="6" eb="9">
      <t>ツウチサキ</t>
    </rPh>
    <phoneticPr fontId="68"/>
  </si>
  <si>
    <t>d_alert_email_address_1</t>
    <phoneticPr fontId="68"/>
  </si>
  <si>
    <t>cloud_admin_email_address</t>
    <phoneticPr fontId="68"/>
  </si>
  <si>
    <t>※通知先の変更は上記サイトよりその旨をご申請ください。</t>
    <phoneticPr fontId="17"/>
  </si>
  <si>
    <t>※通知先の変更は上記サイトよりその旨ご申請ください。</t>
    <rPh sb="3" eb="4">
      <t>サキ</t>
    </rPh>
    <rPh sb="5" eb="7">
      <t>ヘンコウ</t>
    </rPh>
    <rPh sb="8" eb="10">
      <t>ジョウキ</t>
    </rPh>
    <rPh sb="17" eb="18">
      <t>ムネ</t>
    </rPh>
    <phoneticPr fontId="17"/>
  </si>
  <si>
    <t>Splunk連携</t>
    <rPh sb="6" eb="8">
      <t>レンケイ</t>
    </rPh>
    <phoneticPr fontId="68"/>
  </si>
  <si>
    <t>OP12</t>
    <phoneticPr fontId="68"/>
  </si>
  <si>
    <t>Anti-Virus&amp;
Sandbox</t>
    <phoneticPr fontId="68"/>
  </si>
  <si>
    <t>AntiVirus&amp;
Sandbox</t>
    <phoneticPr fontId="17"/>
  </si>
  <si>
    <t>Anti-Virus
&amp;Sandox</t>
    <phoneticPr fontId="14"/>
  </si>
  <si>
    <t>FileZen Adapter(POP)</t>
    <phoneticPr fontId="14"/>
  </si>
  <si>
    <t>m-FILTER Anti-Virus &amp; Sandbox</t>
    <phoneticPr fontId="14"/>
  </si>
  <si>
    <t>m-FILTER VOTIRO連携</t>
    <rPh sb="15" eb="17">
      <t>レンケイ</t>
    </rPh>
    <phoneticPr fontId="14"/>
  </si>
  <si>
    <t>m-FILTER FileZen Adapter</t>
    <phoneticPr fontId="14"/>
  </si>
  <si>
    <t>m-FILTER FileZen S Adapter</t>
    <phoneticPr fontId="14"/>
  </si>
  <si>
    <t>m-FILTER OPSWAT連携</t>
    <phoneticPr fontId="14"/>
  </si>
  <si>
    <t>Anti-Virus &amp; Sandbox</t>
    <phoneticPr fontId="17"/>
  </si>
  <si>
    <t>Anti-Virus &amp; Sandbox</t>
    <phoneticPr fontId="68"/>
  </si>
  <si>
    <t>Anti-Virus &amp; Sandbox for D-SPA</t>
    <phoneticPr fontId="68"/>
  </si>
  <si>
    <t>ソフトウェアオプションを購入されていないお客様</t>
    <rPh sb="12" eb="14">
      <t>コウニュウ</t>
    </rPh>
    <rPh sb="21" eb="23">
      <t>キャクサマ</t>
    </rPh>
    <phoneticPr fontId="14"/>
  </si>
  <si>
    <t>ソフトウェアオプションを購入されていないお客様</t>
    <phoneticPr fontId="68"/>
  </si>
  <si>
    <t>○  (スタンダード)</t>
    <phoneticPr fontId="68"/>
  </si>
  <si>
    <t>○  (アカデミック)</t>
    <phoneticPr fontId="68"/>
  </si>
  <si>
    <t>Global Database for D-SPA</t>
    <phoneticPr fontId="14"/>
  </si>
  <si>
    <t>モデル</t>
    <phoneticPr fontId="14"/>
  </si>
  <si>
    <t>年</t>
    <rPh sb="0" eb="1">
      <t>ネン</t>
    </rPh>
    <phoneticPr fontId="68"/>
  </si>
  <si>
    <t>月</t>
    <rPh sb="0" eb="1">
      <t>ツキ</t>
    </rPh>
    <phoneticPr fontId="68"/>
  </si>
  <si>
    <t>日</t>
    <rPh sb="0" eb="1">
      <t>ヒ</t>
    </rPh>
    <phoneticPr fontId="68"/>
  </si>
  <si>
    <t>〒</t>
    <phoneticPr fontId="68"/>
  </si>
  <si>
    <t>日</t>
    <rPh sb="0" eb="1">
      <t>ニチ</t>
    </rPh>
    <phoneticPr fontId="68"/>
  </si>
  <si>
    <t>開始日_年月日変換⇒</t>
    <rPh sb="3" eb="6">
      <t>ネンガッピ</t>
    </rPh>
    <rPh sb="6" eb="8">
      <t>ヘンカン</t>
    </rPh>
    <phoneticPr fontId="68"/>
  </si>
  <si>
    <t>クリプト便</t>
    <rPh sb="4" eb="5">
      <t>ビン</t>
    </rPh>
    <phoneticPr fontId="101"/>
  </si>
  <si>
    <t>有/ビジネスプラン（20MB）</t>
    <phoneticPr fontId="68"/>
  </si>
  <si>
    <t>有/エコノミープラン（10MB）</t>
    <phoneticPr fontId="68"/>
  </si>
  <si>
    <t>無</t>
    <phoneticPr fontId="68"/>
  </si>
  <si>
    <t>有/エンタープライズプラン（100MB）</t>
    <phoneticPr fontId="68"/>
  </si>
  <si>
    <t>クリプト便(変換)</t>
    <rPh sb="4" eb="5">
      <t>ビン</t>
    </rPh>
    <rPh sb="6" eb="8">
      <t>ヘンカン</t>
    </rPh>
    <phoneticPr fontId="101"/>
  </si>
  <si>
    <t>エコノミープラン（10MB）</t>
    <phoneticPr fontId="68"/>
  </si>
  <si>
    <t>ビジネスプラン（20MB）</t>
    <phoneticPr fontId="68"/>
  </si>
  <si>
    <t>エンタープライズプラン（100MB）</t>
    <phoneticPr fontId="68"/>
  </si>
  <si>
    <t>クリプト便 for m-FILTER@Cloud 
管理者 ID</t>
    <phoneticPr fontId="68"/>
  </si>
  <si>
    <t>Dアラートとは</t>
    <phoneticPr fontId="68"/>
  </si>
  <si>
    <t>https://www.daj.jp/bs/d-alert/</t>
    <phoneticPr fontId="68"/>
  </si>
  <si>
    <t>tayoreru_user_identifier</t>
  </si>
  <si>
    <t>tayoreru_user_identifier</t>
    <phoneticPr fontId="68"/>
  </si>
  <si>
    <t>Dアラートとは</t>
  </si>
  <si>
    <t>※通知先の変更は上記サイトよりその旨をご申請ください。
※通知先の変更には「シリアルNo.」と「パスワード」が必要となります。</t>
    <phoneticPr fontId="68"/>
  </si>
  <si>
    <t>Dアラート発信
レポートサービス</t>
    <phoneticPr fontId="68"/>
  </si>
  <si>
    <t>登録ユーザー数チェック</t>
    <rPh sb="0" eb="2">
      <t>トウロク</t>
    </rPh>
    <rPh sb="6" eb="7">
      <t>スウ</t>
    </rPh>
    <phoneticPr fontId="68"/>
  </si>
  <si>
    <t>OS区分検知</t>
    <rPh sb="2" eb="4">
      <t>クブン</t>
    </rPh>
    <rPh sb="4" eb="6">
      <t>ケンチ</t>
    </rPh>
    <phoneticPr fontId="68"/>
  </si>
  <si>
    <t>判定分</t>
    <rPh sb="0" eb="3">
      <t>ハンテイブン</t>
    </rPh>
    <phoneticPr fontId="68"/>
  </si>
  <si>
    <t>正常</t>
    <rPh sb="0" eb="2">
      <t>セイジョウ</t>
    </rPh>
    <phoneticPr fontId="68"/>
  </si>
  <si>
    <t>要確認</t>
    <rPh sb="0" eb="3">
      <t>ヨウカクニン</t>
    </rPh>
    <phoneticPr fontId="68"/>
  </si>
  <si>
    <t>・登録ユーザー数とOS区分は正常です。</t>
    <rPh sb="1" eb="3">
      <t>トウロク</t>
    </rPh>
    <rPh sb="7" eb="8">
      <t>スウ</t>
    </rPh>
    <rPh sb="11" eb="13">
      <t>クブン</t>
    </rPh>
    <rPh sb="14" eb="16">
      <t>セイジョウ</t>
    </rPh>
    <phoneticPr fontId="68"/>
  </si>
  <si>
    <t>脅威URL
ブロック</t>
    <rPh sb="0" eb="2">
      <t>キョウイ</t>
    </rPh>
    <phoneticPr fontId="68"/>
  </si>
  <si>
    <t>m-FILTER 脅威URLブロック</t>
    <rPh sb="9" eb="11">
      <t>キョウイ</t>
    </rPh>
    <phoneticPr fontId="14"/>
  </si>
  <si>
    <t>デジタルアーツ（営管）入力欄</t>
    <rPh sb="8" eb="10">
      <t>エイカン</t>
    </rPh>
    <rPh sb="11" eb="14">
      <t>ニュウリョクラン</t>
    </rPh>
    <phoneticPr fontId="17"/>
  </si>
  <si>
    <t>オンプレ</t>
    <phoneticPr fontId="14"/>
  </si>
  <si>
    <t>クラウド</t>
    <phoneticPr fontId="14"/>
  </si>
  <si>
    <t>直エンド販社枝番取得　⇒</t>
    <rPh sb="0" eb="1">
      <t>チョク</t>
    </rPh>
    <rPh sb="4" eb="6">
      <t>ハンシャ</t>
    </rPh>
    <rPh sb="6" eb="8">
      <t>エダバン</t>
    </rPh>
    <rPh sb="8" eb="10">
      <t>シュトク</t>
    </rPh>
    <phoneticPr fontId="14"/>
  </si>
  <si>
    <t>1次店販社枝番取得　⇒</t>
    <rPh sb="1" eb="3">
      <t>ジテン</t>
    </rPh>
    <rPh sb="3" eb="5">
      <t>ハンシャ</t>
    </rPh>
    <rPh sb="5" eb="7">
      <t>エダバン</t>
    </rPh>
    <rPh sb="7" eb="9">
      <t>シュトク</t>
    </rPh>
    <phoneticPr fontId="14"/>
  </si>
  <si>
    <t>SPA_2000_M5</t>
    <phoneticPr fontId="68"/>
  </si>
  <si>
    <t>SPA_4000_M5</t>
    <phoneticPr fontId="68"/>
  </si>
  <si>
    <t>D-SPA SPA-2000_M5</t>
    <phoneticPr fontId="68"/>
  </si>
  <si>
    <t>D-SPA SPA-4000_M5</t>
    <phoneticPr fontId="68"/>
  </si>
  <si>
    <t>Ⅲ</t>
    <phoneticPr fontId="14"/>
  </si>
  <si>
    <t>Ⅰ</t>
    <phoneticPr fontId="14"/>
  </si>
  <si>
    <t>Ⅱ</t>
    <phoneticPr fontId="14"/>
  </si>
  <si>
    <t>Ⅳ</t>
    <phoneticPr fontId="14"/>
  </si>
  <si>
    <t>Ⅴ</t>
    <phoneticPr fontId="14"/>
  </si>
  <si>
    <t>Ⅵ</t>
    <phoneticPr fontId="14"/>
  </si>
  <si>
    <t>Ⅶ</t>
    <phoneticPr fontId="68"/>
  </si>
  <si>
    <t>Ⅷ</t>
    <phoneticPr fontId="14"/>
  </si>
  <si>
    <t>Ⅸ</t>
    <phoneticPr fontId="68"/>
  </si>
  <si>
    <t>desk</t>
    <phoneticPr fontId="14"/>
  </si>
  <si>
    <t>アーカイブ</t>
    <phoneticPr fontId="68"/>
  </si>
  <si>
    <t>有</t>
    <rPh sb="0" eb="1">
      <t>アリ</t>
    </rPh>
    <phoneticPr fontId="68"/>
  </si>
  <si>
    <t>無</t>
    <rPh sb="0" eb="1">
      <t>ナ</t>
    </rPh>
    <phoneticPr fontId="68"/>
  </si>
  <si>
    <t>ISMAP対応</t>
    <rPh sb="5" eb="7">
      <t>タイオウ</t>
    </rPh>
    <phoneticPr fontId="68"/>
  </si>
  <si>
    <t>見守り</t>
    <rPh sb="0" eb="2">
      <t>ミマモ</t>
    </rPh>
    <phoneticPr fontId="68"/>
  </si>
  <si>
    <t>1か月延長</t>
    <rPh sb="2" eb="5">
      <t>ゲツエンチョウ</t>
    </rPh>
    <phoneticPr fontId="14"/>
  </si>
  <si>
    <t>か月</t>
    <rPh sb="1" eb="2">
      <t>ゲツ</t>
    </rPh>
    <phoneticPr fontId="68"/>
  </si>
  <si>
    <t>A表入力欄に他シートとアドレスが違う場合にアラートが出るようにしてほしい</t>
    <rPh sb="1" eb="2">
      <t>ヒョウ</t>
    </rPh>
    <rPh sb="2" eb="5">
      <t>ニュウリョクラン</t>
    </rPh>
    <rPh sb="6" eb="7">
      <t>ホカ</t>
    </rPh>
    <rPh sb="16" eb="17">
      <t>チガ</t>
    </rPh>
    <rPh sb="18" eb="20">
      <t>バアイ</t>
    </rPh>
    <rPh sb="26" eb="27">
      <t>デ</t>
    </rPh>
    <phoneticPr fontId="14"/>
  </si>
  <si>
    <t>Desk 購入申請欄</t>
    <rPh sb="5" eb="7">
      <t>コウニュウ</t>
    </rPh>
    <rPh sb="7" eb="9">
      <t>シンセイ</t>
    </rPh>
    <rPh sb="9" eb="10">
      <t>ラン</t>
    </rPh>
    <phoneticPr fontId="14"/>
  </si>
  <si>
    <t>Desk</t>
    <phoneticPr fontId="14"/>
  </si>
  <si>
    <t>Webinar</t>
    <phoneticPr fontId="14"/>
  </si>
  <si>
    <t>term_month</t>
    <phoneticPr fontId="68"/>
  </si>
  <si>
    <t>webinar_opt_max_attendees</t>
  </si>
  <si>
    <t>webinar_opt_max_attendees</t>
    <phoneticPr fontId="68"/>
  </si>
  <si>
    <t>term_month</t>
  </si>
  <si>
    <t>webinar_opt_storage</t>
  </si>
  <si>
    <t>chat_disk_expansion</t>
  </si>
  <si>
    <t>Desk</t>
    <phoneticPr fontId="101"/>
  </si>
  <si>
    <t>契約期間</t>
    <rPh sb="0" eb="4">
      <t>ケイヤクキカン</t>
    </rPh>
    <phoneticPr fontId="68"/>
  </si>
  <si>
    <t>契約開始日</t>
    <rPh sb="0" eb="5">
      <t>ケイヤクカイシビ</t>
    </rPh>
    <phoneticPr fontId="68"/>
  </si>
  <si>
    <t>期間延長（月選択）</t>
    <rPh sb="0" eb="4">
      <t>キカンエンチョウ</t>
    </rPh>
    <rPh sb="5" eb="6">
      <t>ゲツ</t>
    </rPh>
    <rPh sb="6" eb="8">
      <t>センタク</t>
    </rPh>
    <phoneticPr fontId="68"/>
  </si>
  <si>
    <t>Desk@Cloud 購入申請欄</t>
    <rPh sb="11" eb="13">
      <t>コウニュウ</t>
    </rPh>
    <rPh sb="13" eb="15">
      <t>シンセイ</t>
    </rPh>
    <rPh sb="15" eb="16">
      <t>ラン</t>
    </rPh>
    <phoneticPr fontId="14"/>
  </si>
  <si>
    <t>Desk発注/見積の表</t>
    <phoneticPr fontId="14"/>
  </si>
  <si>
    <t>i-FILTER@Cloud
専有IPアドレス</t>
    <phoneticPr fontId="68"/>
  </si>
  <si>
    <t>「i-FILTER@Cloud 専有IPアドレス」は新規ご契約時のみご購入が可能となります。ご契約期間および更新時の本オプションの追加は出来ません旨ご了承ください。
また、ご契約後に本オプションのみを解約することもできず、「i-FILTER@Cloud」の再申し込みが必要となる旨ご了承ください。</t>
    <phoneticPr fontId="68"/>
  </si>
  <si>
    <t>専有IPアドレスお申込時の注意事項</t>
    <rPh sb="9" eb="11">
      <t>モウシコ</t>
    </rPh>
    <rPh sb="11" eb="12">
      <t>ジ</t>
    </rPh>
    <rPh sb="13" eb="17">
      <t>チュウイジコウ</t>
    </rPh>
    <phoneticPr fontId="68"/>
  </si>
  <si>
    <t>種別</t>
    <phoneticPr fontId="17"/>
  </si>
  <si>
    <t>OPSWAT連携Adapter</t>
    <phoneticPr fontId="17"/>
  </si>
  <si>
    <t>m-FILTER OPSWAT連携 Adapter</t>
    <rPh sb="15" eb="17">
      <t>レンケイ</t>
    </rPh>
    <phoneticPr fontId="14"/>
  </si>
  <si>
    <t>OP13</t>
  </si>
  <si>
    <t>OP13</t>
    <phoneticPr fontId="68"/>
  </si>
  <si>
    <t>d_alert_email_address_2</t>
    <phoneticPr fontId="68"/>
  </si>
  <si>
    <t>Desk Event 購入申請書</t>
    <rPh sb="11" eb="16">
      <t>コウニュウシンセイショ</t>
    </rPh>
    <phoneticPr fontId="68"/>
  </si>
  <si>
    <t>Desk情報</t>
    <rPh sb="4" eb="6">
      <t>ジョウホウ</t>
    </rPh>
    <phoneticPr fontId="14"/>
  </si>
  <si>
    <t>Desk Event</t>
    <phoneticPr fontId="68"/>
  </si>
  <si>
    <t>通常版</t>
    <rPh sb="0" eb="3">
      <t>ツウジョウバン</t>
    </rPh>
    <phoneticPr fontId="101"/>
  </si>
  <si>
    <t>GIGAスクール版</t>
    <rPh sb="8" eb="9">
      <t>バン</t>
    </rPh>
    <phoneticPr fontId="101"/>
  </si>
  <si>
    <t>無</t>
    <rPh sb="0" eb="1">
      <t>ナシ</t>
    </rPh>
    <phoneticPr fontId="68"/>
  </si>
  <si>
    <t>既に保有されているDigitalArts@Cloud製品のシリアルを【いずれか1つ】ご入力ください。この欄に入力されたシリアルを元に既存の保有情報を特定します。</t>
    <rPh sb="52" eb="53">
      <t>ラン</t>
    </rPh>
    <rPh sb="54" eb="56">
      <t>ニュウリョク</t>
    </rPh>
    <rPh sb="64" eb="65">
      <t>モト</t>
    </rPh>
    <rPh sb="66" eb="68">
      <t>キゾン</t>
    </rPh>
    <rPh sb="69" eb="71">
      <t>ホユウ</t>
    </rPh>
    <rPh sb="71" eb="73">
      <t>ジョウホウ</t>
    </rPh>
    <rPh sb="74" eb="76">
      <t>トクテイ</t>
    </rPh>
    <phoneticPr fontId="14"/>
  </si>
  <si>
    <t>・試用版のご利用がある場合は左欄にE-mailアドレスは入力せず、お手続きを希望される製品欄の「製品区分」の入力にお進みださい。</t>
    <rPh sb="1" eb="4">
      <t>シヨウバン</t>
    </rPh>
    <rPh sb="6" eb="8">
      <t>リヨウ</t>
    </rPh>
    <rPh sb="11" eb="13">
      <t>バアイ</t>
    </rPh>
    <rPh sb="14" eb="15">
      <t>ヒダリ</t>
    </rPh>
    <rPh sb="15" eb="16">
      <t>ラン</t>
    </rPh>
    <rPh sb="28" eb="30">
      <t>ニュウリョク</t>
    </rPh>
    <rPh sb="34" eb="36">
      <t>テツヅ</t>
    </rPh>
    <rPh sb="38" eb="40">
      <t>キボウ</t>
    </rPh>
    <rPh sb="43" eb="45">
      <t>セイヒン</t>
    </rPh>
    <rPh sb="45" eb="46">
      <t>ラン</t>
    </rPh>
    <rPh sb="48" eb="50">
      <t>セイヒン</t>
    </rPh>
    <rPh sb="50" eb="52">
      <t>クブン</t>
    </rPh>
    <rPh sb="54" eb="56">
      <t>ニュウリョク</t>
    </rPh>
    <rPh sb="58" eb="59">
      <t>スス</t>
    </rPh>
    <phoneticPr fontId="14"/>
  </si>
  <si>
    <t>i-FILTER@Cloud/m-FILTER@Cloud
FinalCode@Cloud</t>
    <phoneticPr fontId="68"/>
  </si>
  <si>
    <t>Desk/Desk Event</t>
    <phoneticPr fontId="68"/>
  </si>
  <si>
    <t xml:space="preserve"> </t>
    <phoneticPr fontId="68"/>
  </si>
  <si>
    <r>
      <rPr>
        <b/>
        <sz val="11"/>
        <color rgb="FFFF0000"/>
        <rFont val="ＭＳ Ｐゴシック"/>
        <family val="3"/>
        <charset val="128"/>
        <scheme val="minor"/>
      </rPr>
      <t>代理ホスティングのお客様用</t>
    </r>
    <r>
      <rPr>
        <b/>
        <sz val="11"/>
        <color theme="1"/>
        <rFont val="ＭＳ Ｐゴシック"/>
        <family val="3"/>
        <charset val="128"/>
        <scheme val="minor"/>
      </rPr>
      <t xml:space="preserve">
i-FILTER/m-FILTER/m-FILTER MailAdviser</t>
    </r>
    <rPh sb="0" eb="2">
      <t>ダイリ</t>
    </rPh>
    <rPh sb="10" eb="11">
      <t>キャク</t>
    </rPh>
    <rPh sb="11" eb="12">
      <t>サマ</t>
    </rPh>
    <rPh sb="12" eb="13">
      <t>ヨウ</t>
    </rPh>
    <phoneticPr fontId="68"/>
  </si>
  <si>
    <r>
      <rPr>
        <b/>
        <sz val="11"/>
        <color rgb="FFFF0000"/>
        <rFont val="ＭＳ Ｐゴシック"/>
        <family val="3"/>
        <charset val="128"/>
        <scheme val="minor"/>
      </rPr>
      <t>代理ホスティングのお客様用</t>
    </r>
    <r>
      <rPr>
        <b/>
        <sz val="11"/>
        <color theme="1"/>
        <rFont val="ＭＳ Ｐゴシック"/>
        <family val="3"/>
        <charset val="128"/>
        <scheme val="minor"/>
      </rPr>
      <t xml:space="preserve">
D-SPA</t>
    </r>
    <rPh sb="0" eb="2">
      <t>ダイリ</t>
    </rPh>
    <rPh sb="10" eb="11">
      <t>キャク</t>
    </rPh>
    <rPh sb="11" eb="12">
      <t>サマ</t>
    </rPh>
    <rPh sb="12" eb="13">
      <t>ヨウ</t>
    </rPh>
    <phoneticPr fontId="68"/>
  </si>
  <si>
    <t>オンライン会議
（時間無制限）</t>
    <phoneticPr fontId="14"/>
  </si>
  <si>
    <t>Desk ライセンス購入申請書　（B表）</t>
    <rPh sb="10" eb="12">
      <t>コウニュウ</t>
    </rPh>
    <rPh sb="12" eb="15">
      <t>シンセイショ</t>
    </rPh>
    <rPh sb="18" eb="19">
      <t>ヒョウ</t>
    </rPh>
    <phoneticPr fontId="14"/>
  </si>
  <si>
    <t>既存のご契約</t>
    <rPh sb="0" eb="2">
      <t>キソン</t>
    </rPh>
    <rPh sb="4" eb="6">
      <t>ケイヤク</t>
    </rPh>
    <phoneticPr fontId="14"/>
  </si>
  <si>
    <t>製品保有状況入力欄</t>
    <rPh sb="0" eb="6">
      <t>セイヒンホユウジョウキョウ</t>
    </rPh>
    <rPh sb="6" eb="8">
      <t>ニュウリョク</t>
    </rPh>
    <rPh sb="8" eb="9">
      <t>ラン</t>
    </rPh>
    <phoneticPr fontId="14"/>
  </si>
  <si>
    <t>Desk申請区分</t>
    <rPh sb="4" eb="6">
      <t>シンセイ</t>
    </rPh>
    <rPh sb="6" eb="8">
      <t>クブン</t>
    </rPh>
    <phoneticPr fontId="14"/>
  </si>
  <si>
    <t>契約期間処理（株主総会</t>
    <rPh sb="0" eb="6">
      <t>ケイヤクキカンショリ</t>
    </rPh>
    <rPh sb="7" eb="11">
      <t>カブヌシソウカイ</t>
    </rPh>
    <phoneticPr fontId="68"/>
  </si>
  <si>
    <t>利用開始日</t>
    <rPh sb="0" eb="5">
      <t>リヨウカイシビ</t>
    </rPh>
    <phoneticPr fontId="68"/>
  </si>
  <si>
    <t>基本契約期間</t>
    <rPh sb="0" eb="6">
      <t>キホンケイヤクキカン</t>
    </rPh>
    <phoneticPr fontId="68"/>
  </si>
  <si>
    <t>月の処理</t>
    <rPh sb="0" eb="1">
      <t>ツキ</t>
    </rPh>
    <rPh sb="2" eb="4">
      <t>ショリ</t>
    </rPh>
    <phoneticPr fontId="68"/>
  </si>
  <si>
    <t>1か月延長の値</t>
    <rPh sb="6" eb="7">
      <t>アタイ</t>
    </rPh>
    <phoneticPr fontId="68"/>
  </si>
  <si>
    <t>月の値の合計</t>
    <rPh sb="0" eb="1">
      <t>ツキ</t>
    </rPh>
    <rPh sb="2" eb="3">
      <t>アタイ</t>
    </rPh>
    <rPh sb="4" eb="6">
      <t>ゴウケイ</t>
    </rPh>
    <phoneticPr fontId="68"/>
  </si>
  <si>
    <t>利用終了日</t>
    <rPh sb="0" eb="5">
      <t>リヨウシュウリョウビ</t>
    </rPh>
    <phoneticPr fontId="68"/>
  </si>
  <si>
    <t>term_yearの値</t>
    <phoneticPr fontId="68"/>
  </si>
  <si>
    <t>term_monthの値</t>
    <phoneticPr fontId="68"/>
  </si>
  <si>
    <t>管理者E-mail</t>
    <rPh sb="0" eb="3">
      <t>カンリシャ</t>
    </rPh>
    <phoneticPr fontId="68"/>
  </si>
  <si>
    <t>保有
シリアル</t>
    <rPh sb="0" eb="2">
      <t>ホユウ</t>
    </rPh>
    <phoneticPr fontId="14"/>
  </si>
  <si>
    <t>ma_fc_adapter_license</t>
    <phoneticPr fontId="68"/>
  </si>
  <si>
    <t>finalcode_serial</t>
    <phoneticPr fontId="68"/>
  </si>
  <si>
    <t>試用版利用
有/無</t>
    <rPh sb="0" eb="3">
      <t>シヨウバン</t>
    </rPh>
    <rPh sb="3" eb="5">
      <t>リヨウ</t>
    </rPh>
    <rPh sb="6" eb="7">
      <t>アリ</t>
    </rPh>
    <rPh sb="8" eb="9">
      <t>ナシ</t>
    </rPh>
    <phoneticPr fontId="17"/>
  </si>
  <si>
    <t>保有/試用版
シリアル</t>
    <phoneticPr fontId="17"/>
  </si>
  <si>
    <t xml:space="preserve"> m-FILTER MailAdviser 購入申請欄</t>
    <rPh sb="22" eb="24">
      <t>コウニュウ</t>
    </rPh>
    <rPh sb="24" eb="26">
      <t>シンセイ</t>
    </rPh>
    <rPh sb="26" eb="27">
      <t>ラン</t>
    </rPh>
    <phoneticPr fontId="14"/>
  </si>
  <si>
    <t>暗号化
強固OP</t>
    <phoneticPr fontId="68"/>
  </si>
  <si>
    <t>Desk ライセンス購入申請書（A表）</t>
    <rPh sb="10" eb="12">
      <t>コウニュウ</t>
    </rPh>
    <rPh sb="12" eb="15">
      <t>シンセイショ</t>
    </rPh>
    <rPh sb="17" eb="18">
      <t>ヒョウ</t>
    </rPh>
    <phoneticPr fontId="14"/>
  </si>
  <si>
    <t>Dアラート
通知先</t>
    <rPh sb="6" eb="9">
      <t>ツウチサキ</t>
    </rPh>
    <phoneticPr fontId="17"/>
  </si>
  <si>
    <t>product_type</t>
    <phoneticPr fontId="68"/>
  </si>
  <si>
    <t>入力フォーム_Desk</t>
    <phoneticPr fontId="68"/>
  </si>
  <si>
    <t>登録
ユーザー数</t>
    <rPh sb="0" eb="2">
      <t>トウロク</t>
    </rPh>
    <rPh sb="7" eb="8">
      <t>スウ</t>
    </rPh>
    <phoneticPr fontId="68"/>
  </si>
  <si>
    <r>
      <t>既に保有されているDigitalArts@Cloud製品のシリアルを【いずれか1つ】ご入力ください。この欄に入力されたシリアルを元に既存の保有情報を特定します。また、ユーザー価格の対象製品を複数利用している場合は、</t>
    </r>
    <r>
      <rPr>
        <b/>
        <sz val="9"/>
        <color theme="1"/>
        <rFont val="ＭＳ Ｐゴシック"/>
        <family val="3"/>
        <charset val="128"/>
        <scheme val="minor"/>
      </rPr>
      <t>ライセンス数が最も多い製品</t>
    </r>
    <r>
      <rPr>
        <sz val="9"/>
        <color theme="1"/>
        <rFont val="ＭＳ Ｐゴシック"/>
        <family val="3"/>
        <charset val="128"/>
        <scheme val="minor"/>
      </rPr>
      <t>のシリアルを記入してください。</t>
    </r>
    <rPh sb="52" eb="53">
      <t>ラン</t>
    </rPh>
    <rPh sb="54" eb="56">
      <t>ニュウリョク</t>
    </rPh>
    <rPh sb="64" eb="65">
      <t>モト</t>
    </rPh>
    <rPh sb="66" eb="68">
      <t>キゾン</t>
    </rPh>
    <rPh sb="69" eb="71">
      <t>ホユウ</t>
    </rPh>
    <rPh sb="71" eb="73">
      <t>ジョウホウ</t>
    </rPh>
    <rPh sb="74" eb="76">
      <t>トクテイ</t>
    </rPh>
    <phoneticPr fontId="14"/>
  </si>
  <si>
    <t>FinalCode
主管理者E-mail</t>
    <rPh sb="10" eb="14">
      <t>シュカンリシャ</t>
    </rPh>
    <phoneticPr fontId="68"/>
  </si>
  <si>
    <t>SPA_4000_M5</t>
  </si>
  <si>
    <t>スタンダード</t>
  </si>
  <si>
    <t>追加ネットワーク・インターフェース・オプション</t>
    <rPh sb="0" eb="2">
      <t>ツイカ</t>
    </rPh>
    <phoneticPr fontId="14"/>
  </si>
  <si>
    <t>デジタルアーツ（営管）入力欄</t>
    <rPh sb="8" eb="10">
      <t>エイカン</t>
    </rPh>
    <rPh sb="11" eb="14">
      <t>ニュウリョクラン</t>
    </rPh>
    <phoneticPr fontId="14"/>
  </si>
  <si>
    <t>f-FILTER</t>
  </si>
  <si>
    <t>f-FILTER</t>
    <phoneticPr fontId="68"/>
  </si>
  <si>
    <t>f-FILTER</t>
    <phoneticPr fontId="14"/>
  </si>
  <si>
    <t>f-FILTER発注/見積の表</t>
    <rPh sb="8" eb="10">
      <t>ハッチュウ</t>
    </rPh>
    <rPh sb="11" eb="13">
      <t>ミツ</t>
    </rPh>
    <rPh sb="14" eb="15">
      <t>ヒョウ</t>
    </rPh>
    <phoneticPr fontId="14"/>
  </si>
  <si>
    <t>f-FILTER ライセンス購入申請書（A表）</t>
    <rPh sb="14" eb="16">
      <t>コウニュウ</t>
    </rPh>
    <rPh sb="16" eb="19">
      <t>シンセイショ</t>
    </rPh>
    <rPh sb="21" eb="22">
      <t>ヒョウ</t>
    </rPh>
    <phoneticPr fontId="14"/>
  </si>
  <si>
    <t>f-FILTER ライセンス購入申請書　（B表）</t>
    <rPh sb="14" eb="16">
      <t>コウニュウ</t>
    </rPh>
    <rPh sb="16" eb="19">
      <t>シンセイショ</t>
    </rPh>
    <rPh sb="22" eb="23">
      <t>ヒョウ</t>
    </rPh>
    <phoneticPr fontId="14"/>
  </si>
  <si>
    <t>・試用版のご利用がある場合は左欄にE-mailアドレスは入力せず、f-FILTER購入申請欄の「製品区分」の入力にお進みださい。</t>
    <rPh sb="1" eb="4">
      <t>シヨウバン</t>
    </rPh>
    <rPh sb="6" eb="8">
      <t>リヨウ</t>
    </rPh>
    <rPh sb="11" eb="13">
      <t>バアイ</t>
    </rPh>
    <rPh sb="14" eb="15">
      <t>ヒダリ</t>
    </rPh>
    <rPh sb="15" eb="16">
      <t>ラン</t>
    </rPh>
    <rPh sb="28" eb="30">
      <t>ニュウリョク</t>
    </rPh>
    <rPh sb="41" eb="43">
      <t>コウニュウ</t>
    </rPh>
    <rPh sb="43" eb="45">
      <t>シンセイ</t>
    </rPh>
    <rPh sb="45" eb="46">
      <t>ラン</t>
    </rPh>
    <rPh sb="48" eb="50">
      <t>セイヒン</t>
    </rPh>
    <rPh sb="50" eb="52">
      <t>クブン</t>
    </rPh>
    <rPh sb="54" eb="56">
      <t>ニュウリョク</t>
    </rPh>
    <rPh sb="58" eb="59">
      <t>スス</t>
    </rPh>
    <phoneticPr fontId="14"/>
  </si>
  <si>
    <t>f-FILTER 購入申請欄</t>
    <rPh sb="9" eb="11">
      <t>コウニュウ</t>
    </rPh>
    <rPh sb="11" eb="13">
      <t>シンセイ</t>
    </rPh>
    <rPh sb="13" eb="14">
      <t>ラン</t>
    </rPh>
    <phoneticPr fontId="14"/>
  </si>
  <si>
    <t>入力フォーム f-FILTER</t>
    <rPh sb="0" eb="2">
      <t>ニュウリョク</t>
    </rPh>
    <phoneticPr fontId="68"/>
  </si>
  <si>
    <t>license_count</t>
    <phoneticPr fontId="68"/>
  </si>
  <si>
    <t>OP14</t>
    <phoneticPr fontId="68"/>
  </si>
  <si>
    <t>連携製品情報</t>
    <rPh sb="0" eb="2">
      <t>レンケイ</t>
    </rPh>
    <rPh sb="2" eb="4">
      <t>セイヒン</t>
    </rPh>
    <rPh sb="4" eb="6">
      <t>ジョウホウ</t>
    </rPh>
    <phoneticPr fontId="68"/>
  </si>
  <si>
    <t>i-FILTER製品</t>
    <rPh sb="8" eb="10">
      <t>セイヒン</t>
    </rPh>
    <phoneticPr fontId="68"/>
  </si>
  <si>
    <t>連携希望シリアル</t>
    <rPh sb="0" eb="2">
      <t>レンケイ</t>
    </rPh>
    <rPh sb="2" eb="4">
      <t>キボウ</t>
    </rPh>
    <phoneticPr fontId="68"/>
  </si>
  <si>
    <t>m-FILTER製品</t>
    <rPh sb="8" eb="10">
      <t>セイヒン</t>
    </rPh>
    <phoneticPr fontId="68"/>
  </si>
  <si>
    <t>f_filter_coop_i_filter_serial</t>
  </si>
  <si>
    <t>f_filter_coop_m_filter_serial</t>
  </si>
  <si>
    <t>見積番号</t>
    <rPh sb="0" eb="4">
      <t>ミツモリバンゴウ</t>
    </rPh>
    <phoneticPr fontId="68"/>
  </si>
  <si>
    <t>ライセンス数</t>
    <rPh sb="5" eb="6">
      <t>スウ</t>
    </rPh>
    <phoneticPr fontId="68"/>
  </si>
  <si>
    <t>開始日</t>
    <rPh sb="0" eb="3">
      <t>カイシビ</t>
    </rPh>
    <phoneticPr fontId="68"/>
  </si>
  <si>
    <t>購入年数</t>
    <rPh sb="0" eb="2">
      <t>コウニュウ</t>
    </rPh>
    <rPh sb="2" eb="4">
      <t>ネンスウ</t>
    </rPh>
    <phoneticPr fontId="68"/>
  </si>
  <si>
    <t>f-FILTER連携</t>
    <rPh sb="8" eb="10">
      <t>レンケイ</t>
    </rPh>
    <phoneticPr fontId="68"/>
  </si>
  <si>
    <t>B表プルダウン</t>
    <rPh sb="1" eb="2">
      <t>ヒョウ</t>
    </rPh>
    <phoneticPr fontId="68"/>
  </si>
  <si>
    <t>f-FILTER
保有シリアル</t>
    <rPh sb="9" eb="11">
      <t>ホユウ</t>
    </rPh>
    <phoneticPr fontId="68"/>
  </si>
  <si>
    <t>クラウドシリアル</t>
    <phoneticPr fontId="68"/>
  </si>
  <si>
    <t>試用版シリアル</t>
    <rPh sb="0" eb="3">
      <t>シヨウバン</t>
    </rPh>
    <phoneticPr fontId="68"/>
  </si>
  <si>
    <t>start_date</t>
    <phoneticPr fontId="68"/>
  </si>
  <si>
    <t>iF/mF連携OP購入時のproduct処理（ダミーライセンス処理）</t>
    <rPh sb="5" eb="7">
      <t>レンケイ</t>
    </rPh>
    <rPh sb="9" eb="12">
      <t>コウニュウジ</t>
    </rPh>
    <rPh sb="20" eb="22">
      <t>ショリ</t>
    </rPh>
    <rPh sb="31" eb="33">
      <t>ショリ</t>
    </rPh>
    <phoneticPr fontId="68"/>
  </si>
  <si>
    <t>iF[@]</t>
    <phoneticPr fontId="68"/>
  </si>
  <si>
    <t>mF[@]</t>
    <phoneticPr fontId="68"/>
  </si>
  <si>
    <t>iFオンプレ</t>
    <phoneticPr fontId="68"/>
  </si>
  <si>
    <t>mFオンプレ</t>
    <phoneticPr fontId="68"/>
  </si>
  <si>
    <t>cloud_serial</t>
    <phoneticPr fontId="68"/>
  </si>
  <si>
    <t>f-FILTER連携</t>
    <phoneticPr fontId="68"/>
  </si>
  <si>
    <t>f-FILTER
保有シリアル</t>
    <phoneticPr fontId="68"/>
  </si>
  <si>
    <t>有有</t>
    <rPh sb="0" eb="1">
      <t>アリ</t>
    </rPh>
    <rPh sb="1" eb="2">
      <t>アリ</t>
    </rPh>
    <phoneticPr fontId="68"/>
  </si>
  <si>
    <t>有無</t>
    <rPh sb="0" eb="1">
      <t>アリ</t>
    </rPh>
    <rPh sb="1" eb="2">
      <t>ナシ</t>
    </rPh>
    <phoneticPr fontId="68"/>
  </si>
  <si>
    <t>無有</t>
    <rPh sb="0" eb="1">
      <t>ナシ</t>
    </rPh>
    <rPh sb="1" eb="2">
      <t>アリ</t>
    </rPh>
    <phoneticPr fontId="68"/>
  </si>
  <si>
    <t>無無</t>
    <rPh sb="0" eb="1">
      <t>ナシ</t>
    </rPh>
    <rPh sb="1" eb="2">
      <t>ナシ</t>
    </rPh>
    <phoneticPr fontId="68"/>
  </si>
  <si>
    <t>判定</t>
    <rPh sb="0" eb="2">
      <t>ハンテイ</t>
    </rPh>
    <phoneticPr fontId="68"/>
  </si>
  <si>
    <t>f-FILTER連携</t>
    <rPh sb="8" eb="10">
      <t>レンケイ</t>
    </rPh>
    <phoneticPr fontId="17"/>
  </si>
  <si>
    <t>f-FILTER保有シリアル</t>
    <rPh sb="8" eb="10">
      <t>ホユウ</t>
    </rPh>
    <phoneticPr fontId="17"/>
  </si>
  <si>
    <t>管理者E-mail</t>
    <rPh sb="0" eb="3">
      <t>カンリシャ</t>
    </rPh>
    <phoneticPr fontId="17"/>
  </si>
  <si>
    <t>[@C]iF/mF連携OP購入時のproduct処理（ダミーライセンス見積番号処理）</t>
    <rPh sb="9" eb="11">
      <t>レンケイ</t>
    </rPh>
    <rPh sb="13" eb="16">
      <t>コウニュウジ</t>
    </rPh>
    <rPh sb="24" eb="26">
      <t>ショリ</t>
    </rPh>
    <rPh sb="35" eb="39">
      <t>ミツモリバンゴウ</t>
    </rPh>
    <rPh sb="39" eb="41">
      <t>ショリ</t>
    </rPh>
    <phoneticPr fontId="68"/>
  </si>
  <si>
    <t>[オンプレ]iF/mF連携OP購入時のproduct処理（ダミーライセンス見積番号処理）</t>
    <rPh sb="11" eb="13">
      <t>レンケイ</t>
    </rPh>
    <rPh sb="15" eb="18">
      <t>コウニュウジ</t>
    </rPh>
    <rPh sb="26" eb="28">
      <t>ショリ</t>
    </rPh>
    <rPh sb="37" eb="41">
      <t>ミツモリバンゴウ</t>
    </rPh>
    <rPh sb="41" eb="43">
      <t>ショリ</t>
    </rPh>
    <phoneticPr fontId="68"/>
  </si>
  <si>
    <t>値の取得[@]</t>
    <rPh sb="0" eb="1">
      <t>アタイ</t>
    </rPh>
    <rPh sb="2" eb="4">
      <t>シュトク</t>
    </rPh>
    <phoneticPr fontId="68"/>
  </si>
  <si>
    <t>値の取得[オンプレ]</t>
    <rPh sb="0" eb="1">
      <t>アタイ</t>
    </rPh>
    <rPh sb="2" eb="4">
      <t>シュトク</t>
    </rPh>
    <phoneticPr fontId="68"/>
  </si>
  <si>
    <t>iF連携シリアル</t>
    <rPh sb="2" eb="4">
      <t>レンケイ</t>
    </rPh>
    <phoneticPr fontId="68"/>
  </si>
  <si>
    <t>mF連携シリアル</t>
    <rPh sb="2" eb="4">
      <t>レンケイ</t>
    </rPh>
    <phoneticPr fontId="68"/>
  </si>
  <si>
    <t>FCLチェックツール</t>
    <phoneticPr fontId="14"/>
  </si>
  <si>
    <t>試用版/f-FILTER
シリアル利用有無</t>
    <rPh sb="0" eb="3">
      <t>シヨウバン</t>
    </rPh>
    <rPh sb="17" eb="19">
      <t>リヨウ</t>
    </rPh>
    <rPh sb="19" eb="21">
      <t>ウム</t>
    </rPh>
    <phoneticPr fontId="14"/>
  </si>
  <si>
    <t>dspa_maintenance_level</t>
  </si>
  <si>
    <t>other_product_4</t>
  </si>
  <si>
    <t>other_product_5</t>
  </si>
  <si>
    <t>trial_serial</t>
  </si>
  <si>
    <t>user_count</t>
  </si>
  <si>
    <t>license_count_type</t>
  </si>
  <si>
    <t>Tcount_win_agent</t>
  </si>
  <si>
    <t>Tcount_ios_agent</t>
  </si>
  <si>
    <t>Tcount_chrome_agent</t>
  </si>
  <si>
    <t>Tcount_win_proxy</t>
  </si>
  <si>
    <t>Tcount_ios_proxy</t>
  </si>
  <si>
    <t>Tcount_chrome_proxy</t>
  </si>
  <si>
    <t>VALUE</t>
  </si>
  <si>
    <t>productに渡す値</t>
    <rPh sb="8" eb="9">
      <t>ワタ</t>
    </rPh>
    <rPh sb="10" eb="11">
      <t>アタイ</t>
    </rPh>
    <phoneticPr fontId="68"/>
  </si>
  <si>
    <t>退避</t>
    <rPh sb="0" eb="2">
      <t>タイヒ</t>
    </rPh>
    <phoneticPr fontId="101"/>
  </si>
  <si>
    <t>↓更新、追加の数↓</t>
    <rPh sb="1" eb="3">
      <t>コウシン</t>
    </rPh>
    <rPh sb="4" eb="6">
      <t>ツイカ</t>
    </rPh>
    <rPh sb="7" eb="8">
      <t>カズ</t>
    </rPh>
    <phoneticPr fontId="101"/>
  </si>
  <si>
    <t>f-FILTER製品保有チェック</t>
    <rPh sb="8" eb="10">
      <t>セイヒン</t>
    </rPh>
    <rPh sb="10" eb="12">
      <t>ホユウ</t>
    </rPh>
    <phoneticPr fontId="68"/>
  </si>
  <si>
    <t>【"新規"ご発注の場合】DigitalArts@Cloud製品もしくはStartIn、Deskシリーズをご利用中の場合は「有」を選択し、ご利用中の製品シリアルをご入力ください。
【"追加もしくは更新"ご発注の場合】f-FILTER製品の追加もしくは更新ご発注の場合、「有」を選択し、f-FILTER製品のシリアルをご入力ください。</t>
    <rPh sb="2" eb="4">
      <t>シンキ</t>
    </rPh>
    <rPh sb="9" eb="11">
      <t>バアイ</t>
    </rPh>
    <rPh sb="64" eb="66">
      <t>センタク</t>
    </rPh>
    <rPh sb="69" eb="72">
      <t>リヨウチュウ</t>
    </rPh>
    <rPh sb="73" eb="75">
      <t>セイヒン</t>
    </rPh>
    <rPh sb="81" eb="83">
      <t>ニュウリョク</t>
    </rPh>
    <rPh sb="91" eb="93">
      <t>ツイカ</t>
    </rPh>
    <rPh sb="97" eb="99">
      <t>コウシン</t>
    </rPh>
    <rPh sb="115" eb="117">
      <t>セイヒン</t>
    </rPh>
    <rPh sb="118" eb="120">
      <t>ツイカ</t>
    </rPh>
    <rPh sb="124" eb="126">
      <t>コウシン</t>
    </rPh>
    <rPh sb="127" eb="129">
      <t>ハッチュウ</t>
    </rPh>
    <rPh sb="130" eb="132">
      <t>バアイ</t>
    </rPh>
    <rPh sb="134" eb="135">
      <t>アリ</t>
    </rPh>
    <rPh sb="137" eb="138">
      <t>タク</t>
    </rPh>
    <rPh sb="157" eb="159">
      <t>ニュウリョク</t>
    </rPh>
    <phoneticPr fontId="14"/>
  </si>
  <si>
    <r>
      <rPr>
        <b/>
        <sz val="9"/>
        <rFont val="MS UI Gothic"/>
        <family val="3"/>
        <charset val="128"/>
      </rPr>
      <t>【"新規"ご発注の場合】</t>
    </r>
    <r>
      <rPr>
        <sz val="9"/>
        <rFont val="MS UI Gothic"/>
        <family val="3"/>
        <charset val="128"/>
      </rPr>
      <t xml:space="preserve">DigitalArts@Cloud製品もしくは、StartIn、f-FILTERをご利用中の場合は「有」を選択し、DigitalArts@Cloud製品のシリアルをご入力ください。
</t>
    </r>
    <r>
      <rPr>
        <b/>
        <sz val="9"/>
        <rFont val="MS UI Gothic"/>
        <family val="3"/>
        <charset val="128"/>
      </rPr>
      <t>【"追加もしくは更新"ご発注の場合】</t>
    </r>
    <r>
      <rPr>
        <sz val="9"/>
        <rFont val="MS UI Gothic"/>
        <family val="3"/>
        <charset val="128"/>
      </rPr>
      <t>Desk製品の追加もしくは更新ご発注の場合、「有」を選択し、Desk製品のシリアルをご入力ください。</t>
    </r>
    <rPh sb="2" eb="4">
      <t>シンキ</t>
    </rPh>
    <rPh sb="9" eb="11">
      <t>バアイ</t>
    </rPh>
    <rPh sb="86" eb="88">
      <t>センタク</t>
    </rPh>
    <rPh sb="107" eb="109">
      <t>セイヒン</t>
    </rPh>
    <rPh sb="116" eb="118">
      <t>ニュウリョク</t>
    </rPh>
    <rPh sb="126" eb="128">
      <t>ツイカ</t>
    </rPh>
    <rPh sb="132" eb="134">
      <t>コウシン</t>
    </rPh>
    <rPh sb="146" eb="148">
      <t>セイヒン</t>
    </rPh>
    <rPh sb="149" eb="151">
      <t>ツイカ</t>
    </rPh>
    <rPh sb="155" eb="157">
      <t>コウシン</t>
    </rPh>
    <rPh sb="158" eb="160">
      <t>ハッチュウ</t>
    </rPh>
    <rPh sb="161" eb="163">
      <t>バアイ</t>
    </rPh>
    <rPh sb="165" eb="166">
      <t>アリ</t>
    </rPh>
    <rPh sb="168" eb="169">
      <t>タクセイヒンニュウリョク</t>
    </rPh>
    <phoneticPr fontId="14"/>
  </si>
  <si>
    <t>日付取得</t>
    <rPh sb="0" eb="2">
      <t>ヒヅケ</t>
    </rPh>
    <rPh sb="2" eb="4">
      <t>シュトク</t>
    </rPh>
    <phoneticPr fontId="101"/>
  </si>
  <si>
    <t>日付加工</t>
    <rPh sb="0" eb="2">
      <t>ヒヅケ</t>
    </rPh>
    <rPh sb="2" eb="4">
      <t>カコウ</t>
    </rPh>
    <phoneticPr fontId="101"/>
  </si>
  <si>
    <t>送る日付</t>
    <rPh sb="0" eb="1">
      <t>オク</t>
    </rPh>
    <rPh sb="2" eb="4">
      <t>ヒヅケ</t>
    </rPh>
    <phoneticPr fontId="101"/>
  </si>
  <si>
    <t>・Dアラートの通知先を登録してください。
・通知先は最大2件まで申請書から登録可能です。
・[Dアラート」の配信を停止したい場合は、「Dアラート通知先申請サイト」からお申込みください。</t>
    <rPh sb="7" eb="10">
      <t>ツウチサキ</t>
    </rPh>
    <rPh sb="11" eb="13">
      <t>トウロク</t>
    </rPh>
    <rPh sb="22" eb="25">
      <t>ツウチサキ</t>
    </rPh>
    <rPh sb="26" eb="28">
      <t>サイダイ</t>
    </rPh>
    <rPh sb="29" eb="30">
      <t>ケン</t>
    </rPh>
    <rPh sb="32" eb="35">
      <t>シンセイショ</t>
    </rPh>
    <rPh sb="37" eb="41">
      <t>トウロクカノウ</t>
    </rPh>
    <rPh sb="54" eb="56">
      <t>ハイシン</t>
    </rPh>
    <rPh sb="57" eb="59">
      <t>テイシ</t>
    </rPh>
    <rPh sb="62" eb="64">
      <t>バアイ</t>
    </rPh>
    <rPh sb="72" eb="74">
      <t>ツウチ</t>
    </rPh>
    <rPh sb="74" eb="75">
      <t>サキ</t>
    </rPh>
    <rPh sb="75" eb="77">
      <t>シンセイ</t>
    </rPh>
    <rPh sb="84" eb="86">
      <t>モウシコ</t>
    </rPh>
    <phoneticPr fontId="17"/>
  </si>
  <si>
    <t>・Dアラートの通知先を登録してください。
・通知先は最大2件まで申請書から登録可能です。
・[Dアラート」の配信を停止したい場合は、「Dアラート通知先申請サイト」からお申込みください。</t>
    <phoneticPr fontId="17"/>
  </si>
  <si>
    <t>SPA_7000_M6</t>
    <phoneticPr fontId="68"/>
  </si>
  <si>
    <t>SPA_15000_M6</t>
    <phoneticPr fontId="68"/>
  </si>
  <si>
    <t>Ⅹ</t>
    <phoneticPr fontId="68"/>
  </si>
  <si>
    <t>f-FILTER連携 for D-SPA Ver.4</t>
    <phoneticPr fontId="68"/>
  </si>
  <si>
    <t>f-FILTER連携プルダウン</t>
    <rPh sb="8" eb="10">
      <t>レンケイ</t>
    </rPh>
    <phoneticPr fontId="68"/>
  </si>
  <si>
    <t>○（f-FILTER保有・有・製品版）</t>
    <rPh sb="10" eb="12">
      <t>ホユウ</t>
    </rPh>
    <rPh sb="13" eb="14">
      <t>アリ</t>
    </rPh>
    <rPh sb="15" eb="18">
      <t>セイヒンバン</t>
    </rPh>
    <phoneticPr fontId="68"/>
  </si>
  <si>
    <t>○（f-FILTER保有・有・試用版）</t>
    <rPh sb="10" eb="12">
      <t>ホユウ</t>
    </rPh>
    <rPh sb="13" eb="14">
      <t>アリ</t>
    </rPh>
    <rPh sb="15" eb="18">
      <t>シヨウバン</t>
    </rPh>
    <phoneticPr fontId="68"/>
  </si>
  <si>
    <t>○（f-FILTER保有・無）</t>
    <rPh sb="10" eb="12">
      <t>ホユウ</t>
    </rPh>
    <rPh sb="13" eb="14">
      <t>ナシ</t>
    </rPh>
    <phoneticPr fontId="68"/>
  </si>
  <si>
    <t>×</t>
    <phoneticPr fontId="68"/>
  </si>
  <si>
    <t>SPA_7000_M5A</t>
  </si>
  <si>
    <t>SPA_7000_M5A</t>
    <phoneticPr fontId="68"/>
  </si>
  <si>
    <t>SPA_15000_M5A</t>
  </si>
  <si>
    <t>SPA_15000_M5A</t>
    <phoneticPr fontId="68"/>
  </si>
  <si>
    <t>SPA_7000_M6</t>
  </si>
  <si>
    <t>SPA_15000_M6</t>
  </si>
  <si>
    <t>旧モデル区分②</t>
    <rPh sb="0" eb="1">
      <t>キュウ</t>
    </rPh>
    <rPh sb="4" eb="6">
      <t>クブン</t>
    </rPh>
    <phoneticPr fontId="68"/>
  </si>
  <si>
    <t>追加</t>
    <rPh sb="0" eb="2">
      <t>ツイカ</t>
    </rPh>
    <phoneticPr fontId="68"/>
  </si>
  <si>
    <t>SPA_2000_M5</t>
  </si>
  <si>
    <t>モデル区分判別</t>
    <rPh sb="3" eb="5">
      <t>クブン</t>
    </rPh>
    <rPh sb="5" eb="7">
      <t>ハンベツ</t>
    </rPh>
    <phoneticPr fontId="68"/>
  </si>
  <si>
    <t>モデル区分</t>
    <rPh sb="3" eb="5">
      <t>クブン</t>
    </rPh>
    <phoneticPr fontId="68"/>
  </si>
  <si>
    <t>モデル名取得</t>
    <rPh sb="3" eb="4">
      <t>メイ</t>
    </rPh>
    <rPh sb="4" eb="6">
      <t>シュトク</t>
    </rPh>
    <phoneticPr fontId="68"/>
  </si>
  <si>
    <t>区分取得</t>
    <rPh sb="0" eb="4">
      <t>クブンシュトク</t>
    </rPh>
    <phoneticPr fontId="68"/>
  </si>
  <si>
    <t>モデル名取得（代ホ）</t>
    <rPh sb="3" eb="4">
      <t>メイ</t>
    </rPh>
    <rPh sb="4" eb="6">
      <t>シュトク</t>
    </rPh>
    <rPh sb="7" eb="8">
      <t>ダイ</t>
    </rPh>
    <phoneticPr fontId="68"/>
  </si>
  <si>
    <t>D-SPA SPA-7000_M5A</t>
    <phoneticPr fontId="68"/>
  </si>
  <si>
    <t>D-SPA SPA-15000_M5A</t>
    <phoneticPr fontId="68"/>
  </si>
  <si>
    <t>SPA_7000_M6</t>
    <phoneticPr fontId="68"/>
  </si>
  <si>
    <t>D-SPA SPA-7000_M6</t>
    <phoneticPr fontId="68"/>
  </si>
  <si>
    <t>SPA_15000_M6</t>
    <phoneticPr fontId="68"/>
  </si>
  <si>
    <t>D-SPA SPA-15000_M6</t>
    <phoneticPr fontId="68"/>
  </si>
  <si>
    <t>Outlook/Becky!/Thunderbird版</t>
    <phoneticPr fontId="14"/>
  </si>
  <si>
    <t>INDIRECT関数参照用↓</t>
    <rPh sb="8" eb="13">
      <t>カンスウサンショウヨウ</t>
    </rPh>
    <phoneticPr fontId="14"/>
  </si>
  <si>
    <t>MailAdviser (Outlook/Becky!/Thunderbird版)</t>
    <phoneticPr fontId="14"/>
  </si>
  <si>
    <t>MailAdviser  (Microsoft 365版)</t>
  </si>
  <si>
    <t>Microsoft 365版</t>
  </si>
  <si>
    <t xml:space="preserve"> m-FILTER MailAdviser (Outlook/Becky!/Thunderbird版) 購入申請欄</t>
    <rPh sb="49" eb="50">
      <t>バン</t>
    </rPh>
    <rPh sb="52" eb="54">
      <t>コウニュウ</t>
    </rPh>
    <rPh sb="54" eb="56">
      <t>シンセイ</t>
    </rPh>
    <rPh sb="56" eb="57">
      <t>ラン</t>
    </rPh>
    <phoneticPr fontId="14"/>
  </si>
  <si>
    <t>m-FILTER MailAdviser（Outlook/Becky!/Thunderbird版）</t>
  </si>
  <si>
    <t>m-FILTER MailAdviser（Microsoft 365版）</t>
  </si>
  <si>
    <t>MailAdviser (Outlook/Becky!/Thunderbird版)_代ホ</t>
    <rPh sb="42" eb="43">
      <t>ダイ</t>
    </rPh>
    <phoneticPr fontId="68"/>
  </si>
  <si>
    <t>HDD拡充あり　SPA-7000 M6用拡張（4TB）</t>
    <phoneticPr fontId="68"/>
  </si>
  <si>
    <t>HDD拡充あり　SPA-7000 M6用倍量拡張（8TB）</t>
    <phoneticPr fontId="68"/>
  </si>
  <si>
    <t>HDD拡充あり　SPA-15000 M6用拡張（8TB）</t>
    <phoneticPr fontId="68"/>
  </si>
  <si>
    <t>電源冗長化あり (SPA-7000 M6 または SPA-15000 M6用)</t>
    <phoneticPr fontId="68"/>
  </si>
  <si>
    <t>クリプト便
Adapter*1</t>
    <phoneticPr fontId="17"/>
  </si>
  <si>
    <t>クリプト便エディション</t>
    <rPh sb="4" eb="5">
      <t>ビン</t>
    </rPh>
    <phoneticPr fontId="14"/>
  </si>
  <si>
    <t>無</t>
    <rPh sb="0" eb="1">
      <t>ナ</t>
    </rPh>
    <phoneticPr fontId="14"/>
  </si>
  <si>
    <t>プラン変更なし</t>
    <phoneticPr fontId="14"/>
  </si>
  <si>
    <t>脅威URL
ブロック</t>
    <rPh sb="0" eb="2">
      <t>キョウイ</t>
    </rPh>
    <phoneticPr fontId="17"/>
  </si>
  <si>
    <t>追加枚数</t>
    <rPh sb="0" eb="4">
      <t>ツイカマイスウ</t>
    </rPh>
    <phoneticPr fontId="68"/>
  </si>
  <si>
    <t/>
  </si>
  <si>
    <t>start_in_use_cert_count</t>
  </si>
  <si>
    <t>start_in_use_cert_count</t>
    <phoneticPr fontId="68"/>
  </si>
  <si>
    <t>証明書追加発行OP</t>
    <rPh sb="0" eb="3">
      <t>ショウメイショ</t>
    </rPh>
    <rPh sb="3" eb="5">
      <t>ツイカ</t>
    </rPh>
    <rPh sb="5" eb="7">
      <t>ハッコウ</t>
    </rPh>
    <phoneticPr fontId="68"/>
  </si>
  <si>
    <t>・ライセンス数を超過して証明書を利用したい場合に超過分の証明書の枚数を入力してください。 
　(例)100ライセンスで、130枚証明書を利用したい場合は「追加枚数」の欄に「30」と記入
・既に本オプションでご購入いただいている場合で、さらに追加のご購入をご希望の場合は合算数の枚数を入力してください。
　(例)既に30枚購入しており、さらに追加で10枚購入ご希望の場合は「追加枚数」の欄に合算数の「40」と記入</t>
    <rPh sb="76" eb="80">
      <t>ツイカマイスウ</t>
    </rPh>
    <phoneticPr fontId="68"/>
  </si>
  <si>
    <t>エディション区分</t>
    <rPh sb="6" eb="7">
      <t>ブン</t>
    </rPh>
    <phoneticPr fontId="14"/>
  </si>
  <si>
    <t>製品区分</t>
    <rPh sb="0" eb="4">
      <t>セイヒンクブン</t>
    </rPh>
    <phoneticPr fontId="68"/>
  </si>
  <si>
    <t>商品名表示用</t>
    <rPh sb="0" eb="6">
      <t>ショウヒンメイヒョウジヨウ</t>
    </rPh>
    <phoneticPr fontId="68"/>
  </si>
  <si>
    <t>クリプト便 for m-FILTER @Cloud</t>
    <phoneticPr fontId="68"/>
  </si>
  <si>
    <t>クリプト便
ﾗｲｾﾝｽ数</t>
    <rPh sb="4" eb="5">
      <t>ビン</t>
    </rPh>
    <phoneticPr fontId="14"/>
  </si>
  <si>
    <t>オプション選択欄</t>
    <rPh sb="5" eb="8">
      <t>センタクラン</t>
    </rPh>
    <phoneticPr fontId="68"/>
  </si>
  <si>
    <t>保存期間延長OP</t>
    <rPh sb="0" eb="6">
      <t>ホゾンキカンエンチョウ</t>
    </rPh>
    <phoneticPr fontId="68"/>
  </si>
  <si>
    <t>大容量OP</t>
    <rPh sb="0" eb="3">
      <t>ダイヨウリョウ</t>
    </rPh>
    <phoneticPr fontId="68"/>
  </si>
  <si>
    <t>旧モデル区分②</t>
    <phoneticPr fontId="68"/>
  </si>
  <si>
    <t>有（f-FILTERシリアルなし）</t>
    <rPh sb="0" eb="1">
      <t>アリ</t>
    </rPh>
    <phoneticPr fontId="68"/>
  </si>
  <si>
    <t>有（f-FILTER試用版シリアルあり）</t>
  </si>
  <si>
    <t>有（f-FILTER保有シリアルあり）</t>
    <rPh sb="0" eb="1">
      <t>アリ</t>
    </rPh>
    <rPh sb="10" eb="12">
      <t>ホユウ</t>
    </rPh>
    <phoneticPr fontId="68"/>
  </si>
  <si>
    <t>SPA_2000_M6</t>
    <phoneticPr fontId="68"/>
  </si>
  <si>
    <t>SPA_4000_M6</t>
    <phoneticPr fontId="68"/>
  </si>
  <si>
    <t>SPA_4000_M6</t>
    <phoneticPr fontId="68"/>
  </si>
  <si>
    <t>SPA_2000_M6</t>
    <phoneticPr fontId="68"/>
  </si>
  <si>
    <t>HDD拡充あり　SPA-4000 M6用拡張（2TB）</t>
    <rPh sb="3" eb="5">
      <t>カクジュウ</t>
    </rPh>
    <rPh sb="19" eb="20">
      <t>ヨウ</t>
    </rPh>
    <rPh sb="20" eb="22">
      <t>カクチョウ</t>
    </rPh>
    <phoneticPr fontId="14"/>
  </si>
  <si>
    <t>HDD拡充あり　SPA-2000 M6用倍量拡張（2TB）</t>
    <rPh sb="3" eb="5">
      <t>カクジュウ</t>
    </rPh>
    <rPh sb="19" eb="20">
      <t>ヨウ</t>
    </rPh>
    <rPh sb="20" eb="22">
      <t>バイリョウ</t>
    </rPh>
    <rPh sb="22" eb="24">
      <t>カクチョウ</t>
    </rPh>
    <phoneticPr fontId="14"/>
  </si>
  <si>
    <t>HDD拡充あり　SPA-4000 M6用倍量拡張（4TB）</t>
    <rPh sb="3" eb="5">
      <t>カクジュウ</t>
    </rPh>
    <rPh sb="19" eb="20">
      <t>ヨウ</t>
    </rPh>
    <rPh sb="20" eb="22">
      <t>バイリョウ</t>
    </rPh>
    <rPh sb="22" eb="24">
      <t>カクチョウ</t>
    </rPh>
    <phoneticPr fontId="14"/>
  </si>
  <si>
    <t>SPA_4000_M6</t>
  </si>
  <si>
    <t>電源冗長化あり (SPA-2000 M6 または SPA-4000 M6用)</t>
  </si>
  <si>
    <t>電源冗長化あり (SPA-2000 M6 または SPA-4000 M6用)</t>
    <phoneticPr fontId="14"/>
  </si>
  <si>
    <t>f-FILTER保有シリアル</t>
    <phoneticPr fontId="68"/>
  </si>
  <si>
    <t>管理者
E-mail</t>
    <rPh sb="0" eb="3">
      <t>カンリシャ</t>
    </rPh>
    <phoneticPr fontId="17"/>
  </si>
  <si>
    <t>代ホ</t>
    <rPh sb="0" eb="1">
      <t>ダイ</t>
    </rPh>
    <phoneticPr fontId="101"/>
  </si>
  <si>
    <t>〇</t>
    <phoneticPr fontId="101"/>
  </si>
  <si>
    <t>PPAP対策
OP</t>
    <rPh sb="4" eb="6">
      <t>タイサク</t>
    </rPh>
    <phoneticPr fontId="17"/>
  </si>
  <si>
    <t>https://www.daj.jp/privacy/</t>
    <phoneticPr fontId="68"/>
  </si>
  <si>
    <t>https://dabp.daj.jp/salestools/atcloud/operation/#product_oath</t>
    <phoneticPr fontId="68"/>
  </si>
  <si>
    <t>※デジタルアーツ株式会社の製品関連の各種名称・ロゴ・アイコン・デザイン等登録商標または商標は以下弊社Webサイトに記載しております。</t>
    <phoneticPr fontId="14"/>
  </si>
  <si>
    <t>https://www.daj.jp/sitepolicy/</t>
    <phoneticPr fontId="14"/>
  </si>
  <si>
    <t>FinalCode@Cloudの主管理者として登録するアドレスを入力してください。
アドレスはエンドユーザー様ドメインのアドレスをご記載ください。</t>
    <phoneticPr fontId="68"/>
  </si>
  <si>
    <t>上書き保存、コピー・ペースト/キャプチャ、印刷に対する制御（IRM制御）がかかっている暗号化ファイルを開封するには動作検証済みソフトウェアを使用する必要があります。動作検証済みソフトウェアなど、FinalCodeの動作環境について https://www.finalcode.com/jp/product/spec を確認しました。</t>
    <phoneticPr fontId="14"/>
  </si>
  <si>
    <t>アドレスはエンドユーザー様ドメインのアドレスをご記載ください。</t>
    <phoneticPr fontId="17"/>
  </si>
  <si>
    <t>FinalCodeの使用上の注意 https://www.finalcode.com/jp/support/ を確認しました。</t>
    <rPh sb="10" eb="13">
      <t>シヨウジョウ</t>
    </rPh>
    <rPh sb="14" eb="16">
      <t>チュウイ</t>
    </rPh>
    <rPh sb="56" eb="58">
      <t>カクニン</t>
    </rPh>
    <phoneticPr fontId="14"/>
  </si>
  <si>
    <r>
      <t>デジタルアーツ株式会社　営業管理部 宛       送信先アドレス：　</t>
    </r>
    <r>
      <rPr>
        <b/>
        <u/>
        <sz val="20"/>
        <color rgb="FFFFFFFF"/>
        <rFont val="ＭＳ Ｐゴシック"/>
        <family val="3"/>
        <charset val="128"/>
      </rPr>
      <t>shinsei@daj.co.jp</t>
    </r>
    <rPh sb="7" eb="11">
      <t>カブシキガイシャ</t>
    </rPh>
    <rPh sb="12" eb="14">
      <t>エイギョウ</t>
    </rPh>
    <rPh sb="14" eb="16">
      <t>カンリ</t>
    </rPh>
    <rPh sb="16" eb="17">
      <t>ブ</t>
    </rPh>
    <rPh sb="18" eb="19">
      <t>アテ</t>
    </rPh>
    <rPh sb="26" eb="28">
      <t>ソウシン</t>
    </rPh>
    <rPh sb="28" eb="29">
      <t>サキ</t>
    </rPh>
    <phoneticPr fontId="14"/>
  </si>
  <si>
    <r>
      <rPr>
        <b/>
        <sz val="12"/>
        <color theme="0"/>
        <rFont val="MS UI Gothic"/>
        <family val="3"/>
        <charset val="128"/>
      </rPr>
      <t xml:space="preserve">デジタルアーツ株式会社　営業管理部 行   E-mail： </t>
    </r>
    <r>
      <rPr>
        <b/>
        <u/>
        <sz val="12"/>
        <color indexed="9"/>
        <rFont val="MS UI Gothic"/>
        <family val="3"/>
        <charset val="128"/>
      </rPr>
      <t>shinsei@daj.co.jp</t>
    </r>
    <r>
      <rPr>
        <b/>
        <sz val="14"/>
        <color indexed="9"/>
        <rFont val="MS UI Gothic"/>
        <family val="3"/>
        <charset val="128"/>
      </rPr>
      <t>　　</t>
    </r>
    <r>
      <rPr>
        <sz val="8"/>
        <color theme="0"/>
        <rFont val="MS UI Gothic"/>
        <family val="3"/>
        <charset val="128"/>
      </rPr>
      <t>ご注文の際に各発注先へご提示ください</t>
    </r>
    <rPh sb="7" eb="11">
      <t>カブシキガイシャ</t>
    </rPh>
    <rPh sb="12" eb="14">
      <t>エイギョウ</t>
    </rPh>
    <rPh sb="14" eb="16">
      <t>カンリ</t>
    </rPh>
    <rPh sb="16" eb="17">
      <t>ブ</t>
    </rPh>
    <rPh sb="18" eb="19">
      <t>イキ</t>
    </rPh>
    <rPh sb="50" eb="52">
      <t>チュウモン</t>
    </rPh>
    <rPh sb="53" eb="54">
      <t>サイ</t>
    </rPh>
    <rPh sb="55" eb="56">
      <t>カク</t>
    </rPh>
    <rPh sb="56" eb="58">
      <t>ハッチュウ</t>
    </rPh>
    <rPh sb="58" eb="59">
      <t>サキ</t>
    </rPh>
    <rPh sb="61" eb="63">
      <t>テイジ</t>
    </rPh>
    <phoneticPr fontId="14"/>
  </si>
  <si>
    <t>Z-FILTER 購入申請欄</t>
    <rPh sb="9" eb="11">
      <t>コウニュウ</t>
    </rPh>
    <rPh sb="11" eb="13">
      <t>シンセイ</t>
    </rPh>
    <rPh sb="13" eb="14">
      <t>ラン</t>
    </rPh>
    <phoneticPr fontId="14"/>
  </si>
  <si>
    <t>Z-FILTER
専有IPアドレス</t>
    <phoneticPr fontId="68"/>
  </si>
  <si>
    <t>Z-FILTER</t>
    <phoneticPr fontId="68"/>
  </si>
  <si>
    <t>SWG</t>
    <phoneticPr fontId="68"/>
  </si>
  <si>
    <t>SWG ID</t>
    <phoneticPr fontId="101"/>
  </si>
  <si>
    <t>SSE</t>
    <phoneticPr fontId="101"/>
  </si>
  <si>
    <t>申請区分</t>
    <rPh sb="0" eb="4">
      <t>シンセイクブン</t>
    </rPh>
    <phoneticPr fontId="68"/>
  </si>
  <si>
    <t>・登録ユーザー数と利用OS内訳が同数となるように入力してください。</t>
    <phoneticPr fontId="68"/>
  </si>
  <si>
    <t>帯域</t>
    <rPh sb="0" eb="2">
      <t>タイイキ</t>
    </rPh>
    <phoneticPr fontId="68"/>
  </si>
  <si>
    <t>容量</t>
    <rPh sb="0" eb="2">
      <t>ヨウリョウ</t>
    </rPh>
    <phoneticPr fontId="68"/>
  </si>
  <si>
    <t>500Mbps×</t>
    <phoneticPr fontId="68"/>
  </si>
  <si>
    <t>１TB×</t>
    <phoneticPr fontId="68"/>
  </si>
  <si>
    <t>Z-FILTER用仮想ネットワーク
のIP範囲</t>
    <phoneticPr fontId="68"/>
  </si>
  <si>
    <t>第１候補</t>
    <rPh sb="0" eb="1">
      <t>ダイ</t>
    </rPh>
    <rPh sb="2" eb="4">
      <t>コウホ</t>
    </rPh>
    <phoneticPr fontId="68"/>
  </si>
  <si>
    <t>第２候補</t>
    <rPh sb="0" eb="1">
      <t>ダイ</t>
    </rPh>
    <rPh sb="2" eb="4">
      <t>コウホ</t>
    </rPh>
    <phoneticPr fontId="68"/>
  </si>
  <si>
    <t>第３候補</t>
    <rPh sb="0" eb="1">
      <t>ダイ</t>
    </rPh>
    <rPh sb="2" eb="4">
      <t>コウホ</t>
    </rPh>
    <phoneticPr fontId="68"/>
  </si>
  <si>
    <t>第４候補</t>
    <rPh sb="0" eb="1">
      <t>ダイ</t>
    </rPh>
    <rPh sb="2" eb="4">
      <t>コウホ</t>
    </rPh>
    <phoneticPr fontId="68"/>
  </si>
  <si>
    <t>第５候補</t>
    <rPh sb="0" eb="1">
      <t>ダイ</t>
    </rPh>
    <rPh sb="2" eb="4">
      <t>コウホ</t>
    </rPh>
    <phoneticPr fontId="68"/>
  </si>
  <si>
    <t>10.</t>
    <phoneticPr fontId="68"/>
  </si>
  <si>
    <t>.0.0/16</t>
    <phoneticPr fontId="68"/>
  </si>
  <si>
    <t>Z-FILTER</t>
    <phoneticPr fontId="14"/>
  </si>
  <si>
    <t>※0以上の数字を入力してください。</t>
    <phoneticPr fontId="68"/>
  </si>
  <si>
    <t>fFシリアル</t>
    <phoneticPr fontId="68"/>
  </si>
  <si>
    <t>Ipsec　帯域</t>
    <rPh sb="6" eb="8">
      <t>タイイキ</t>
    </rPh>
    <phoneticPr fontId="101"/>
  </si>
  <si>
    <t>　Ipsec　容量</t>
    <rPh sb="7" eb="9">
      <t>ヨウリョウ</t>
    </rPh>
    <phoneticPr fontId="101"/>
  </si>
  <si>
    <t>TB</t>
    <phoneticPr fontId="101"/>
  </si>
  <si>
    <t>IPsec OP</t>
    <phoneticPr fontId="68"/>
  </si>
  <si>
    <t>申請区分</t>
    <phoneticPr fontId="14"/>
  </si>
  <si>
    <t>オプション選択欄</t>
    <phoneticPr fontId="14"/>
  </si>
  <si>
    <t>fF連携</t>
    <rPh sb="2" eb="4">
      <t>レンケイ</t>
    </rPh>
    <phoneticPr fontId="68"/>
  </si>
  <si>
    <t>※「ライセンス許諾証書の電子納品日＋5営業日後」
の翌月1日が契約開始日となります。</t>
    <phoneticPr fontId="101"/>
  </si>
  <si>
    <r>
      <rPr>
        <b/>
        <sz val="9"/>
        <rFont val="MS UI Gothic"/>
        <family val="3"/>
        <charset val="128"/>
      </rPr>
      <t>Windows</t>
    </r>
    <r>
      <rPr>
        <b/>
        <sz val="8"/>
        <rFont val="MS UI Gothic"/>
        <family val="3"/>
        <charset val="128"/>
      </rPr>
      <t>利用</t>
    </r>
    <rPh sb="7" eb="9">
      <t>リヨウ</t>
    </rPh>
    <phoneticPr fontId="68"/>
  </si>
  <si>
    <r>
      <rPr>
        <b/>
        <sz val="9"/>
        <rFont val="MS UI Gothic"/>
        <family val="3"/>
        <charset val="128"/>
      </rPr>
      <t>iOS</t>
    </r>
    <r>
      <rPr>
        <b/>
        <sz val="8"/>
        <rFont val="MS UI Gothic"/>
        <family val="3"/>
        <charset val="128"/>
      </rPr>
      <t>利用</t>
    </r>
    <rPh sb="3" eb="5">
      <t>リヨウ</t>
    </rPh>
    <phoneticPr fontId="68"/>
  </si>
  <si>
    <r>
      <t>・</t>
    </r>
    <r>
      <rPr>
        <u/>
        <sz val="8"/>
        <color theme="1"/>
        <rFont val="MS UI Gothic"/>
        <family val="3"/>
        <charset val="128"/>
      </rPr>
      <t>500Mbps単位</t>
    </r>
    <r>
      <rPr>
        <sz val="8"/>
        <color theme="1"/>
        <rFont val="MS UI Gothic"/>
        <family val="3"/>
        <charset val="128"/>
      </rPr>
      <t>で購入可能です（</t>
    </r>
    <r>
      <rPr>
        <u/>
        <sz val="8"/>
        <color theme="1"/>
        <rFont val="MS UI Gothic"/>
        <family val="3"/>
        <charset val="128"/>
      </rPr>
      <t>最大3000Mbps</t>
    </r>
    <r>
      <rPr>
        <sz val="8"/>
        <color theme="1"/>
        <rFont val="MS UI Gothic"/>
        <family val="3"/>
        <charset val="128"/>
      </rPr>
      <t>まで利用可能）
・既に本オプションでご購入いただいている場合で、さらに追加のご購入をご希望の場合は合算数の容量を入力してください。
　(例)</t>
    </r>
    <r>
      <rPr>
        <u/>
        <sz val="8"/>
        <color theme="1"/>
        <rFont val="MS UI Gothic"/>
        <family val="3"/>
        <charset val="128"/>
      </rPr>
      <t>既に1000Mbps購入</t>
    </r>
    <r>
      <rPr>
        <sz val="8"/>
        <color theme="1"/>
        <rFont val="MS UI Gothic"/>
        <family val="3"/>
        <charset val="128"/>
      </rPr>
      <t>しており、さらに</t>
    </r>
    <r>
      <rPr>
        <u/>
        <sz val="8"/>
        <color theme="1"/>
        <rFont val="MS UI Gothic"/>
        <family val="3"/>
        <charset val="128"/>
      </rPr>
      <t>追加で1000Mbps</t>
    </r>
    <r>
      <rPr>
        <sz val="8"/>
        <color theme="1"/>
        <rFont val="MS UI Gothic"/>
        <family val="3"/>
        <charset val="128"/>
      </rPr>
      <t>購入ご希望の場合は合算数２０００Mbpsに相当する</t>
    </r>
    <r>
      <rPr>
        <b/>
        <u/>
        <sz val="8"/>
        <color theme="1"/>
        <rFont val="MS UI Gothic"/>
        <family val="3"/>
        <charset val="128"/>
      </rPr>
      <t>「4」</t>
    </r>
    <r>
      <rPr>
        <sz val="8"/>
        <color theme="1"/>
        <rFont val="MS UI Gothic"/>
        <family val="3"/>
        <charset val="128"/>
      </rPr>
      <t>と記入</t>
    </r>
    <rPh sb="11" eb="15">
      <t>コウニュウカノウ</t>
    </rPh>
    <rPh sb="18" eb="20">
      <t>サイダイ</t>
    </rPh>
    <rPh sb="30" eb="34">
      <t>リヨウカノウ</t>
    </rPh>
    <rPh sb="81" eb="83">
      <t>ヨウリョウ</t>
    </rPh>
    <rPh sb="150" eb="152">
      <t>ソウトウ</t>
    </rPh>
    <phoneticPr fontId="68"/>
  </si>
  <si>
    <r>
      <t>・ライセンス数を超過して証明書を利用したい場合に</t>
    </r>
    <r>
      <rPr>
        <b/>
        <u/>
        <sz val="8"/>
        <color theme="1"/>
        <rFont val="MS UI Gothic"/>
        <family val="3"/>
        <charset val="128"/>
      </rPr>
      <t>超過分の証明書の枚数</t>
    </r>
    <r>
      <rPr>
        <sz val="8"/>
        <color theme="1"/>
        <rFont val="MS UI Gothic"/>
        <family val="3"/>
        <charset val="128"/>
      </rPr>
      <t>を入力してください。 
　(例)</t>
    </r>
    <r>
      <rPr>
        <u/>
        <sz val="8"/>
        <color theme="1"/>
        <rFont val="MS UI Gothic"/>
        <family val="3"/>
        <charset val="128"/>
      </rPr>
      <t>100ライセンス</t>
    </r>
    <r>
      <rPr>
        <sz val="8"/>
        <color theme="1"/>
        <rFont val="MS UI Gothic"/>
        <family val="3"/>
        <charset val="128"/>
      </rPr>
      <t>で、</t>
    </r>
    <r>
      <rPr>
        <u/>
        <sz val="8"/>
        <color theme="1"/>
        <rFont val="MS UI Gothic"/>
        <family val="3"/>
        <charset val="128"/>
      </rPr>
      <t>130枚証明書を利用</t>
    </r>
    <r>
      <rPr>
        <sz val="8"/>
        <color theme="1"/>
        <rFont val="MS UI Gothic"/>
        <family val="3"/>
        <charset val="128"/>
      </rPr>
      <t>したい場合は「追加枚数」の欄に</t>
    </r>
    <r>
      <rPr>
        <b/>
        <u/>
        <sz val="8"/>
        <color theme="1"/>
        <rFont val="MS UI Gothic"/>
        <family val="3"/>
        <charset val="128"/>
      </rPr>
      <t>「30」</t>
    </r>
    <r>
      <rPr>
        <sz val="8"/>
        <color theme="1"/>
        <rFont val="MS UI Gothic"/>
        <family val="3"/>
        <charset val="128"/>
      </rPr>
      <t>と記入
・既に本オプションでご購入いただいている場合で、さらに追加のご購入をご希望の場合は合算数の枚数を入力してください。
　(例)</t>
    </r>
    <r>
      <rPr>
        <u/>
        <sz val="8"/>
        <color theme="1"/>
        <rFont val="MS UI Gothic"/>
        <family val="3"/>
        <charset val="128"/>
      </rPr>
      <t>既に30枚購入</t>
    </r>
    <r>
      <rPr>
        <sz val="8"/>
        <color theme="1"/>
        <rFont val="MS UI Gothic"/>
        <family val="3"/>
        <charset val="128"/>
      </rPr>
      <t>しており、さらに</t>
    </r>
    <r>
      <rPr>
        <u/>
        <sz val="8"/>
        <color theme="1"/>
        <rFont val="MS UI Gothic"/>
        <family val="3"/>
        <charset val="128"/>
      </rPr>
      <t>追加で10枚</t>
    </r>
    <r>
      <rPr>
        <sz val="8"/>
        <color theme="1"/>
        <rFont val="MS UI Gothic"/>
        <family val="3"/>
        <charset val="128"/>
      </rPr>
      <t>購入ご希望の場合は「追加枚数」の欄に</t>
    </r>
    <r>
      <rPr>
        <b/>
        <u/>
        <sz val="8"/>
        <color theme="1"/>
        <rFont val="MS UI Gothic"/>
        <family val="3"/>
        <charset val="128"/>
      </rPr>
      <t>合算数の「40」</t>
    </r>
    <r>
      <rPr>
        <sz val="8"/>
        <color theme="1"/>
        <rFont val="MS UI Gothic"/>
        <family val="3"/>
        <charset val="128"/>
      </rPr>
      <t>と記入</t>
    </r>
    <rPh sb="76" eb="80">
      <t>ツイカマイスウ</t>
    </rPh>
    <phoneticPr fontId="68"/>
  </si>
  <si>
    <t>入力フォーム Z-FILTER</t>
    <rPh sb="0" eb="2">
      <t>ニュウリョク</t>
    </rPh>
    <phoneticPr fontId="68"/>
  </si>
  <si>
    <t>製品保有状況入力欄</t>
    <rPh sb="0" eb="6">
      <t>セイヒンホユウジョウキョウ</t>
    </rPh>
    <rPh sb="6" eb="9">
      <t>ニュウリョクラン</t>
    </rPh>
    <phoneticPr fontId="14"/>
  </si>
  <si>
    <t>OS内訳_Win</t>
    <rPh sb="2" eb="4">
      <t>ウチワケ</t>
    </rPh>
    <phoneticPr fontId="68"/>
  </si>
  <si>
    <t>OS内訳_iOS</t>
    <rPh sb="2" eb="4">
      <t>ウチワケ</t>
    </rPh>
    <phoneticPr fontId="68"/>
  </si>
  <si>
    <t>合計：</t>
    <rPh sb="0" eb="2">
      <t>ゴウケイ</t>
    </rPh>
    <phoneticPr fontId="68"/>
  </si>
  <si>
    <t>Mbps</t>
    <phoneticPr fontId="101"/>
  </si>
  <si>
    <t>合計：</t>
    <phoneticPr fontId="68"/>
  </si>
  <si>
    <t>枚</t>
    <rPh sb="0" eb="1">
      <t>マイ</t>
    </rPh>
    <phoneticPr fontId="68"/>
  </si>
  <si>
    <t>既存のご契約</t>
    <rPh sb="0" eb="2">
      <t>キゾン</t>
    </rPh>
    <rPh sb="4" eb="6">
      <t>ケイヤク</t>
    </rPh>
    <phoneticPr fontId="14"/>
  </si>
  <si>
    <t>「Z-FILTER 専有IPアドレス」は新規ご契約時のみご購入が可能となります。ご契約期間および更新時の本オプションの追加は出来ません旨ご了承ください。また、ご契約後に本オプションのみを解約することもできず、「Z-FILTER」の再申し込みが必要となる旨ご了承ください。</t>
    <phoneticPr fontId="68"/>
  </si>
  <si>
    <t>更新案内
Dアラート通知</t>
    <rPh sb="0" eb="2">
      <t>コウシン</t>
    </rPh>
    <rPh sb="2" eb="4">
      <t>アンナイ</t>
    </rPh>
    <rPh sb="10" eb="12">
      <t>ツウチ</t>
    </rPh>
    <phoneticPr fontId="14"/>
  </si>
  <si>
    <t>Dアラート通知先申請サイトはこちら</t>
    <phoneticPr fontId="68"/>
  </si>
  <si>
    <t>※通知先の変更には「シリアルNo.」と「パスワード」が必要となります。</t>
    <phoneticPr fontId="68"/>
  </si>
  <si>
    <r>
      <t>・</t>
    </r>
    <r>
      <rPr>
        <b/>
        <u/>
        <sz val="8"/>
        <color theme="1"/>
        <rFont val="MS UI Gothic"/>
        <family val="3"/>
        <charset val="128"/>
      </rPr>
      <t>標準で1TBご利用いただけます</t>
    </r>
    <r>
      <rPr>
        <sz val="8"/>
        <color theme="1"/>
        <rFont val="MS UI Gothic"/>
        <family val="3"/>
        <charset val="128"/>
      </rPr>
      <t>。２TB以上を追加でご利用の場合、</t>
    </r>
    <r>
      <rPr>
        <b/>
        <sz val="8"/>
        <color theme="1"/>
        <rFont val="MS UI Gothic"/>
        <family val="3"/>
        <charset val="128"/>
      </rPr>
      <t>追加する容量の個数</t>
    </r>
    <r>
      <rPr>
        <sz val="8"/>
        <color theme="1"/>
        <rFont val="MS UI Gothic"/>
        <family val="3"/>
        <charset val="128"/>
      </rPr>
      <t>を入力してください（標準と併せて</t>
    </r>
    <r>
      <rPr>
        <b/>
        <sz val="8"/>
        <color theme="1"/>
        <rFont val="MS UI Gothic"/>
        <family val="3"/>
        <charset val="128"/>
      </rPr>
      <t>最大２０TB</t>
    </r>
    <r>
      <rPr>
        <sz val="8"/>
        <color theme="1"/>
        <rFont val="MS UI Gothic"/>
        <family val="3"/>
        <charset val="128"/>
      </rPr>
      <t>まで）
（例）合計</t>
    </r>
    <r>
      <rPr>
        <b/>
        <u/>
        <sz val="8"/>
        <color theme="1"/>
        <rFont val="MS UI Gothic"/>
        <family val="3"/>
        <charset val="128"/>
      </rPr>
      <t>５TB</t>
    </r>
    <r>
      <rPr>
        <u/>
        <sz val="8"/>
        <color theme="1"/>
        <rFont val="MS UI Gothic"/>
        <family val="3"/>
        <charset val="128"/>
      </rPr>
      <t>を利用</t>
    </r>
    <r>
      <rPr>
        <sz val="8"/>
        <color theme="1"/>
        <rFont val="MS UI Gothic"/>
        <family val="3"/>
        <charset val="128"/>
      </rPr>
      <t>したい場合は</t>
    </r>
    <r>
      <rPr>
        <u/>
        <sz val="8"/>
        <color theme="1"/>
        <rFont val="MS UI Gothic"/>
        <family val="3"/>
        <charset val="128"/>
      </rPr>
      <t>１TB×</t>
    </r>
    <r>
      <rPr>
        <b/>
        <u/>
        <sz val="8"/>
        <color theme="1"/>
        <rFont val="MS UI Gothic"/>
        <family val="3"/>
        <charset val="128"/>
      </rPr>
      <t>「4」</t>
    </r>
    <r>
      <rPr>
        <sz val="8"/>
        <color theme="1"/>
        <rFont val="MS UI Gothic"/>
        <family val="3"/>
        <charset val="128"/>
      </rPr>
      <t>と記入。</t>
    </r>
    <r>
      <rPr>
        <b/>
        <u/>
        <sz val="8"/>
        <color theme="1"/>
        <rFont val="MS UI Gothic"/>
        <family val="3"/>
        <charset val="128"/>
      </rPr>
      <t>標準の１TBのみの利用</t>
    </r>
    <r>
      <rPr>
        <sz val="8"/>
        <color theme="1"/>
        <rFont val="MS UI Gothic"/>
        <family val="3"/>
        <charset val="128"/>
      </rPr>
      <t>の場合は</t>
    </r>
    <r>
      <rPr>
        <u/>
        <sz val="8"/>
        <color theme="1"/>
        <rFont val="MS UI Gothic"/>
        <family val="3"/>
        <charset val="128"/>
      </rPr>
      <t>１TB×</t>
    </r>
    <r>
      <rPr>
        <b/>
        <u/>
        <sz val="8"/>
        <color theme="1"/>
        <rFont val="MS UI Gothic"/>
        <family val="3"/>
        <charset val="128"/>
      </rPr>
      <t>「0」</t>
    </r>
    <r>
      <rPr>
        <sz val="8"/>
        <color theme="1"/>
        <rFont val="MS UI Gothic"/>
        <family val="3"/>
        <charset val="128"/>
      </rPr>
      <t>と記入。
・既に本オプションでご購入いただいている場合で、さらに追加のご購入をご希望の場合は合算数の容量を入力してください。
　(例)既に</t>
    </r>
    <r>
      <rPr>
        <u/>
        <sz val="8"/>
        <color theme="1"/>
        <rFont val="MS UI Gothic"/>
        <family val="3"/>
        <charset val="128"/>
      </rPr>
      <t>標準と併せて５TB購入</t>
    </r>
    <r>
      <rPr>
        <sz val="8"/>
        <color theme="1"/>
        <rFont val="MS UI Gothic"/>
        <family val="3"/>
        <charset val="128"/>
      </rPr>
      <t>しており、さらに</t>
    </r>
    <r>
      <rPr>
        <u/>
        <sz val="8"/>
        <color theme="1"/>
        <rFont val="MS UI Gothic"/>
        <family val="3"/>
        <charset val="128"/>
      </rPr>
      <t>追加で5TB購入</t>
    </r>
    <r>
      <rPr>
        <sz val="8"/>
        <color theme="1"/>
        <rFont val="MS UI Gothic"/>
        <family val="3"/>
        <charset val="128"/>
      </rPr>
      <t>ご希望の場合は</t>
    </r>
    <r>
      <rPr>
        <u/>
        <sz val="8"/>
        <color theme="1"/>
        <rFont val="MS UI Gothic"/>
        <family val="3"/>
        <charset val="128"/>
      </rPr>
      <t>1TB×</t>
    </r>
    <r>
      <rPr>
        <b/>
        <u/>
        <sz val="8"/>
        <color theme="1"/>
        <rFont val="MS UI Gothic"/>
        <family val="3"/>
        <charset val="128"/>
      </rPr>
      <t>「9」</t>
    </r>
    <r>
      <rPr>
        <sz val="8"/>
        <color theme="1"/>
        <rFont val="MS UI Gothic"/>
        <family val="3"/>
        <charset val="128"/>
      </rPr>
      <t>と記入</t>
    </r>
    <rPh sb="1" eb="3">
      <t>ヒョウジュン</t>
    </rPh>
    <rPh sb="8" eb="10">
      <t>リヨウ</t>
    </rPh>
    <rPh sb="20" eb="22">
      <t>イジョウ</t>
    </rPh>
    <rPh sb="23" eb="25">
      <t>ツイカ</t>
    </rPh>
    <rPh sb="27" eb="29">
      <t>リヨウ</t>
    </rPh>
    <rPh sb="30" eb="32">
      <t>バアイ</t>
    </rPh>
    <rPh sb="33" eb="35">
      <t>ツイカ</t>
    </rPh>
    <rPh sb="37" eb="39">
      <t>ヨウリョウ</t>
    </rPh>
    <rPh sb="40" eb="42">
      <t>コスウ</t>
    </rPh>
    <rPh sb="43" eb="45">
      <t>ニュウリョク</t>
    </rPh>
    <rPh sb="52" eb="54">
      <t>ヒョウジュン</t>
    </rPh>
    <rPh sb="55" eb="56">
      <t>アワ</t>
    </rPh>
    <rPh sb="58" eb="60">
      <t>サイダイ</t>
    </rPh>
    <rPh sb="69" eb="70">
      <t>レイ</t>
    </rPh>
    <rPh sb="71" eb="73">
      <t>ゴウケイ</t>
    </rPh>
    <rPh sb="77" eb="79">
      <t>リヨウ</t>
    </rPh>
    <rPh sb="82" eb="84">
      <t>バアイ</t>
    </rPh>
    <rPh sb="93" eb="95">
      <t>キニュウ</t>
    </rPh>
    <rPh sb="96" eb="98">
      <t>ヒョウジュン</t>
    </rPh>
    <rPh sb="105" eb="107">
      <t>リヨウ</t>
    </rPh>
    <rPh sb="108" eb="110">
      <t>バアイ</t>
    </rPh>
    <rPh sb="168" eb="170">
      <t>ヨウリョウ</t>
    </rPh>
    <rPh sb="187" eb="193">
      <t>ヒョウジュ</t>
    </rPh>
    <phoneticPr fontId="68"/>
  </si>
  <si>
    <t>Z-FILTER ライセンス購入申請書（A表）</t>
    <rPh sb="14" eb="16">
      <t>コウニュウ</t>
    </rPh>
    <rPh sb="16" eb="19">
      <t>シンセイショ</t>
    </rPh>
    <rPh sb="21" eb="22">
      <t>ヒョウ</t>
    </rPh>
    <phoneticPr fontId="14"/>
  </si>
  <si>
    <t>Z-FILTER ライセンス購入申請書　（B表）</t>
    <rPh sb="14" eb="16">
      <t>コウニュウ</t>
    </rPh>
    <rPh sb="16" eb="19">
      <t>シンセイショ</t>
    </rPh>
    <rPh sb="22" eb="23">
      <t>ヒョウ</t>
    </rPh>
    <phoneticPr fontId="14"/>
  </si>
  <si>
    <t>←オンプレシート</t>
    <phoneticPr fontId="14"/>
  </si>
  <si>
    <t>←代ホシート</t>
    <rPh sb="1" eb="2">
      <t>ダイ</t>
    </rPh>
    <phoneticPr fontId="14"/>
  </si>
  <si>
    <t>・「E-Mail」に入力したメールアドレス宛てに更新案内や製品情報をお送りします。
・新規購入時は、「Z-FILTER」「i-FILTER」「i-FILTER@Cloud」「m-FILTER」「m-FILTER@Cloud」をご利用の場合、Dアラート発生時の配信先メールアドレスとして登録します。
※試用版利用時にご登録いただいたメールアドレスと異なる場合、今回入力いただいたアドレスに上書きされます。
・Dアラートの配信先変更及び、配信停止は下記URLより設定可能です。</t>
    <rPh sb="149" eb="152">
      <t>シヨウバン</t>
    </rPh>
    <rPh sb="152" eb="155">
      <t>リヨウジ</t>
    </rPh>
    <rPh sb="157" eb="159">
      <t>トウロク</t>
    </rPh>
    <rPh sb="172" eb="173">
      <t>コト</t>
    </rPh>
    <rPh sb="175" eb="177">
      <t>バアイ</t>
    </rPh>
    <rPh sb="178" eb="182">
      <t>コンカイニュウリョク</t>
    </rPh>
    <rPh sb="192" eb="194">
      <t>ウワガ</t>
    </rPh>
    <phoneticPr fontId="14"/>
  </si>
  <si>
    <t>https://www.daj.jp/terms/</t>
    <phoneticPr fontId="68"/>
  </si>
  <si>
    <t>ファイル無害化OP</t>
    <rPh sb="4" eb="7">
      <t>ムガイカ</t>
    </rPh>
    <phoneticPr fontId="17"/>
  </si>
  <si>
    <t>ファイル無害化OP</t>
    <rPh sb="4" eb="7">
      <t>ムガイカ</t>
    </rPh>
    <phoneticPr fontId="68"/>
  </si>
  <si>
    <t>ファイル
無害化OP</t>
    <rPh sb="5" eb="8">
      <t>ムガイカ</t>
    </rPh>
    <phoneticPr fontId="68"/>
  </si>
  <si>
    <t>OP15</t>
    <phoneticPr fontId="68"/>
  </si>
  <si>
    <t>保有シリアル</t>
    <rPh sb="0" eb="2">
      <t>ホユウ</t>
    </rPh>
    <phoneticPr fontId="68"/>
  </si>
  <si>
    <t>a-FILTER保有</t>
    <rPh sb="8" eb="10">
      <t>ホユウ</t>
    </rPh>
    <phoneticPr fontId="68"/>
  </si>
  <si>
    <t>a-FILTER保有シリアル
に関する注意事項</t>
    <rPh sb="8" eb="10">
      <t>ホユウ</t>
    </rPh>
    <rPh sb="16" eb="17">
      <t>カン</t>
    </rPh>
    <rPh sb="19" eb="23">
      <t>チュウイジコウ</t>
    </rPh>
    <phoneticPr fontId="68"/>
  </si>
  <si>
    <t>有（a-FILTER保有シリアルあり）</t>
    <rPh sb="0" eb="1">
      <t>アリ</t>
    </rPh>
    <rPh sb="10" eb="12">
      <t>ホユウ</t>
    </rPh>
    <phoneticPr fontId="68"/>
  </si>
  <si>
    <t>有（a-FILTER試用版シリアルあり）</t>
  </si>
  <si>
    <t>a-FILTER ライセンス購入申請書（A表）</t>
    <rPh sb="14" eb="16">
      <t>コウニュウ</t>
    </rPh>
    <rPh sb="16" eb="19">
      <t>シンセイショ</t>
    </rPh>
    <rPh sb="21" eb="22">
      <t>ヒョウ</t>
    </rPh>
    <phoneticPr fontId="14"/>
  </si>
  <si>
    <t>a-FILTER ライセンス購入申請書　（B表）</t>
    <rPh sb="14" eb="16">
      <t>コウニュウ</t>
    </rPh>
    <rPh sb="16" eb="19">
      <t>シンセイショ</t>
    </rPh>
    <rPh sb="22" eb="23">
      <t>ヒョウ</t>
    </rPh>
    <phoneticPr fontId="14"/>
  </si>
  <si>
    <t>【"新規"ご発注の場合】DigitalArts@Cloud製品をご利用中の場合は「有」を選択し、DigitalArts@Cloud製品のシリアルをご入力ください。
【"追加もしくは更新"ご発注の場合】a-FILTER製品の追加もしくは更新ご発注の場合、「有」を選択し、a-FILTER製品のシリアルをご入力ください。</t>
    <rPh sb="2" eb="4">
      <t>シンキ</t>
    </rPh>
    <rPh sb="9" eb="11">
      <t>バアイ</t>
    </rPh>
    <rPh sb="44" eb="46">
      <t>センタク</t>
    </rPh>
    <rPh sb="65" eb="67">
      <t>セイヒン</t>
    </rPh>
    <rPh sb="74" eb="76">
      <t>ニュウリョク</t>
    </rPh>
    <rPh sb="84" eb="86">
      <t>ツイカ</t>
    </rPh>
    <rPh sb="90" eb="92">
      <t>コウシン</t>
    </rPh>
    <rPh sb="108" eb="110">
      <t>セイヒン</t>
    </rPh>
    <rPh sb="111" eb="113">
      <t>ツイカ</t>
    </rPh>
    <rPh sb="117" eb="119">
      <t>コウシン</t>
    </rPh>
    <rPh sb="120" eb="122">
      <t>ハッチュウ</t>
    </rPh>
    <rPh sb="123" eb="125">
      <t>バアイ</t>
    </rPh>
    <rPh sb="127" eb="128">
      <t>アリ</t>
    </rPh>
    <rPh sb="130" eb="131">
      <t>タク</t>
    </rPh>
    <rPh sb="150" eb="152">
      <t>ニュウリョク</t>
    </rPh>
    <phoneticPr fontId="14"/>
  </si>
  <si>
    <t>・試用版のご利用がある場合は左欄にE-mailアドレスは入力せず、a-FILTER購入申請欄の「製品区分」の入力にお進みださい。</t>
    <rPh sb="1" eb="4">
      <t>シヨウバン</t>
    </rPh>
    <rPh sb="6" eb="8">
      <t>リヨウ</t>
    </rPh>
    <rPh sb="11" eb="13">
      <t>バアイ</t>
    </rPh>
    <rPh sb="14" eb="15">
      <t>ヒダリ</t>
    </rPh>
    <rPh sb="15" eb="16">
      <t>ラン</t>
    </rPh>
    <rPh sb="28" eb="30">
      <t>ニュウリョク</t>
    </rPh>
    <rPh sb="41" eb="43">
      <t>コウニュウ</t>
    </rPh>
    <rPh sb="43" eb="45">
      <t>シンセイ</t>
    </rPh>
    <rPh sb="45" eb="46">
      <t>ラン</t>
    </rPh>
    <rPh sb="48" eb="50">
      <t>セイヒン</t>
    </rPh>
    <rPh sb="50" eb="52">
      <t>クブン</t>
    </rPh>
    <rPh sb="54" eb="56">
      <t>ニュウリョク</t>
    </rPh>
    <rPh sb="58" eb="59">
      <t>スス</t>
    </rPh>
    <phoneticPr fontId="14"/>
  </si>
  <si>
    <t>a-FILTER 購入申請欄</t>
    <rPh sb="9" eb="11">
      <t>コウニュウ</t>
    </rPh>
    <rPh sb="11" eb="13">
      <t>シンセイ</t>
    </rPh>
    <rPh sb="13" eb="14">
      <t>ラン</t>
    </rPh>
    <phoneticPr fontId="14"/>
  </si>
  <si>
    <t>a-FILTER</t>
  </si>
  <si>
    <t>a-FILTER発注/見積の表</t>
  </si>
  <si>
    <t>aFシリアル</t>
  </si>
  <si>
    <t>aF</t>
  </si>
  <si>
    <t>ZTNA</t>
    <phoneticPr fontId="101"/>
  </si>
  <si>
    <t>a-FILTER</t>
    <phoneticPr fontId="68"/>
  </si>
  <si>
    <t>本申請書に加え「a-FILTER」から「Z-FILTER」への契約切替申請書』のご提出が必須となります。別途ご提出をお願いいたします。</t>
    <phoneticPr fontId="68"/>
  </si>
  <si>
    <t>iFシリアル</t>
  </si>
  <si>
    <t>iFログ保存期間</t>
  </si>
  <si>
    <t>ログ保存期間</t>
    <rPh sb="2" eb="6">
      <t>ホゾンキカン</t>
    </rPh>
    <phoneticPr fontId="101"/>
  </si>
  <si>
    <t>入力フォーム a-FILTER</t>
    <rPh sb="0" eb="2">
      <t>ニュウリョク</t>
    </rPh>
    <phoneticPr fontId="68"/>
  </si>
  <si>
    <t>保有シリアル</t>
    <phoneticPr fontId="68"/>
  </si>
  <si>
    <t>i-FILTER@Cloud
ログDL期限延長希望</t>
    <rPh sb="19" eb="21">
      <t>キゲン</t>
    </rPh>
    <rPh sb="21" eb="23">
      <t>エンチョウ</t>
    </rPh>
    <rPh sb="23" eb="25">
      <t>キボウ</t>
    </rPh>
    <phoneticPr fontId="68"/>
  </si>
  <si>
    <t>※お客様環境にて、Z-FILTERが内部的に利用する仮想ネットワークのサブネット（「10.x.0.0/16」形式）を割り当てる必要がございます。 お客様ネットワークとのサブネット重複を防ぐため、本項目を必ずご記載ください。
※「使用希望のIPを指定する」をご選択いただいた場合、0～255までの数値を重複無しで入力してください。
　また、「使用希望のIPを指定する」をご選択いただいた場合、IPは必ず5つ入力してください。
※環境構築後のサブネットの変更は不可となります。</t>
    <phoneticPr fontId="68"/>
  </si>
  <si>
    <t>アイティクラウド株式会社</t>
    <phoneticPr fontId="68"/>
  </si>
  <si>
    <t>アイティクラウド株式会社</t>
    <phoneticPr fontId="17"/>
  </si>
  <si>
    <t>105-7511</t>
    <phoneticPr fontId="68"/>
  </si>
  <si>
    <t>105-7511</t>
    <phoneticPr fontId="17"/>
  </si>
  <si>
    <t>港区</t>
    <phoneticPr fontId="68"/>
  </si>
  <si>
    <t>港区</t>
    <phoneticPr fontId="17"/>
  </si>
  <si>
    <t>海岸１丁目７番１号</t>
    <phoneticPr fontId="68"/>
  </si>
  <si>
    <t>海岸１丁目７番１号</t>
    <phoneticPr fontId="17"/>
  </si>
  <si>
    <t>東京ポートシティ竹芝</t>
    <phoneticPr fontId="68"/>
  </si>
  <si>
    <t>東京ポートシティ竹芝</t>
    <phoneticPr fontId="17"/>
  </si>
  <si>
    <t>ＥＣ事業部</t>
    <rPh sb="2" eb="5">
      <t>ジギョウブ</t>
    </rPh>
    <phoneticPr fontId="68"/>
  </si>
  <si>
    <t>ＥＣ事業部</t>
    <phoneticPr fontId="68"/>
  </si>
  <si>
    <t>ＥＣ事業部</t>
    <phoneticPr fontId="17"/>
  </si>
  <si>
    <t>ライセンス担当者</t>
    <phoneticPr fontId="68"/>
  </si>
  <si>
    <t>ライセンス担当者</t>
    <phoneticPr fontId="17"/>
  </si>
  <si>
    <t>supply.bbss@licenseonline.jp</t>
    <phoneticPr fontId="68"/>
  </si>
  <si>
    <t>supply.bbss@licenseonline.jp</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</si>
</sst>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_ "/>
    <numFmt numFmtId="178" formatCode="0&quot;年&quot;_ "/>
    <numFmt numFmtId="179" formatCode="m/d"/>
    <numFmt numFmtId="180" formatCode="0_);[Red]\(0\)"/>
    <numFmt numFmtId="181" formatCode="[&lt;=999]000;[&lt;=9999]000\-00;000\-0000"/>
    <numFmt numFmtId="182" formatCode="00"/>
    <numFmt numFmtId="183" formatCode="****"/>
    <numFmt numFmtId="184" formatCode="0###########"/>
    <numFmt numFmtId="185" formatCode="&quot;OPSWAT台数：&quot;#"/>
    <numFmt numFmtId="186" formatCode="[$-F800]dddd\,\ mmmm\ dd\,\ yyyy"/>
  </numFmts>
  <fonts count="17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b/>
      <sz val="11"/>
      <color indexed="8"/>
      <name val="ＭＳ Ｐゴシック"/>
      <family val="3"/>
      <charset val="128"/>
    </font>
    <font>
      <sz val="10"/>
      <name val="ＭＳ Ｐゴシック"/>
      <family val="3"/>
      <charset val="128"/>
    </font>
    <font>
      <sz val="6"/>
      <name val="ＭＳ Ｐゴシック"/>
      <family val="3"/>
      <charset val="128"/>
    </font>
    <font>
      <u/>
      <sz val="9"/>
      <color indexed="12"/>
      <name val="ＭＳ Ｐゴシック"/>
      <family val="3"/>
      <charset val="128"/>
    </font>
    <font>
      <sz val="11"/>
      <color theme="1"/>
      <name val="ＭＳ Ｐゴシック"/>
      <family val="3"/>
      <charset val="128"/>
      <scheme val="minor"/>
    </font>
    <font>
      <sz val="8"/>
      <color theme="1"/>
      <name val="ＭＳ Ｐゴシック"/>
      <family val="3"/>
      <charset val="128"/>
      <scheme val="minor"/>
    </font>
    <font>
      <sz val="8"/>
      <color theme="0"/>
      <name val="ＭＳ Ｐゴシック"/>
      <family val="3"/>
      <charset val="128"/>
      <scheme val="minor"/>
    </font>
    <font>
      <b/>
      <sz val="8"/>
      <color theme="1"/>
      <name val="ＭＳ Ｐゴシック"/>
      <family val="3"/>
      <charset val="128"/>
      <scheme val="minor"/>
    </font>
    <font>
      <sz val="9"/>
      <color theme="1"/>
      <name val="ＭＳ Ｐゴシック"/>
      <family val="3"/>
      <charset val="128"/>
      <scheme val="minor"/>
    </font>
    <font>
      <sz val="8"/>
      <name val="ＭＳ Ｐゴシック"/>
      <family val="3"/>
      <charset val="128"/>
      <scheme val="minor"/>
    </font>
    <font>
      <b/>
      <sz val="16"/>
      <color theme="1"/>
      <name val="ＭＳ Ｐゴシック"/>
      <family val="3"/>
      <charset val="128"/>
      <scheme val="minor"/>
    </font>
    <font>
      <sz val="9"/>
      <color theme="0"/>
      <name val="ＭＳ Ｐゴシック"/>
      <family val="3"/>
      <charset val="128"/>
      <scheme val="minor"/>
    </font>
    <font>
      <sz val="9"/>
      <name val="ＭＳ Ｐゴシック"/>
      <family val="3"/>
      <charset val="128"/>
      <scheme val="minor"/>
    </font>
    <font>
      <sz val="11"/>
      <color theme="1"/>
      <name val="MS UI Gothic"/>
      <family val="3"/>
      <charset val="128"/>
    </font>
    <font>
      <sz val="9"/>
      <color theme="1"/>
      <name val="MS UI Gothic"/>
      <family val="3"/>
      <charset val="128"/>
    </font>
    <font>
      <b/>
      <sz val="8"/>
      <color rgb="FFFF0000"/>
      <name val="MS UI Gothic"/>
      <family val="3"/>
      <charset val="128"/>
    </font>
    <font>
      <b/>
      <sz val="8"/>
      <color theme="1"/>
      <name val="MS UI Gothic"/>
      <family val="3"/>
      <charset val="128"/>
    </font>
    <font>
      <sz val="11"/>
      <color theme="0"/>
      <name val="MS UI Gothic"/>
      <family val="3"/>
      <charset val="128"/>
    </font>
    <font>
      <u/>
      <sz val="11"/>
      <color indexed="12"/>
      <name val="MS UI Gothic"/>
      <family val="3"/>
      <charset val="128"/>
    </font>
    <font>
      <b/>
      <sz val="6"/>
      <color rgb="FFFF0000"/>
      <name val="MS UI Gothic"/>
      <family val="3"/>
      <charset val="128"/>
    </font>
    <font>
      <sz val="6"/>
      <color theme="1"/>
      <name val="MS UI Gothic"/>
      <family val="3"/>
      <charset val="128"/>
    </font>
    <font>
      <b/>
      <sz val="6"/>
      <name val="MS UI Gothic"/>
      <family val="3"/>
      <charset val="128"/>
    </font>
    <font>
      <sz val="8"/>
      <color theme="1"/>
      <name val="MS UI Gothic"/>
      <family val="3"/>
      <charset val="128"/>
    </font>
    <font>
      <sz val="12"/>
      <color theme="1"/>
      <name val="MS UI Gothic"/>
      <family val="3"/>
      <charset val="128"/>
    </font>
    <font>
      <sz val="6"/>
      <name val="MS UI Gothic"/>
      <family val="3"/>
      <charset val="128"/>
    </font>
    <font>
      <sz val="12"/>
      <color theme="0"/>
      <name val="MS UI Gothic"/>
      <family val="3"/>
      <charset val="128"/>
    </font>
    <font>
      <sz val="8"/>
      <color theme="0"/>
      <name val="MS UI Gothic"/>
      <family val="3"/>
      <charset val="128"/>
    </font>
    <font>
      <sz val="11"/>
      <name val="MS UI Gothic"/>
      <family val="3"/>
      <charset val="128"/>
    </font>
    <font>
      <sz val="7"/>
      <color theme="1"/>
      <name val="MS UI Gothic"/>
      <family val="3"/>
      <charset val="128"/>
    </font>
    <font>
      <b/>
      <sz val="8"/>
      <name val="MS UI Gothic"/>
      <family val="3"/>
      <charset val="128"/>
    </font>
    <font>
      <b/>
      <sz val="8"/>
      <color theme="0"/>
      <name val="MS UI Gothic"/>
      <family val="3"/>
      <charset val="128"/>
    </font>
    <font>
      <b/>
      <sz val="10"/>
      <color theme="1"/>
      <name val="MS UI Gothic"/>
      <family val="3"/>
      <charset val="128"/>
    </font>
    <font>
      <sz val="10"/>
      <name val="MS UI Gothic"/>
      <family val="3"/>
      <charset val="128"/>
    </font>
    <font>
      <sz val="10"/>
      <color theme="1"/>
      <name val="MS UI Gothic"/>
      <family val="3"/>
      <charset val="128"/>
    </font>
    <font>
      <b/>
      <sz val="6.5"/>
      <name val="MS UI Gothic"/>
      <family val="3"/>
      <charset val="128"/>
    </font>
    <font>
      <b/>
      <sz val="10"/>
      <color theme="0"/>
      <name val="MS UI Gothic"/>
      <family val="3"/>
      <charset val="128"/>
    </font>
    <font>
      <sz val="5"/>
      <color theme="1"/>
      <name val="MS UI Gothic"/>
      <family val="3"/>
      <charset val="128"/>
    </font>
    <font>
      <b/>
      <sz val="18"/>
      <color theme="1"/>
      <name val="MS UI Gothic"/>
      <family val="3"/>
      <charset val="128"/>
    </font>
    <font>
      <b/>
      <sz val="16"/>
      <color theme="0"/>
      <name val="MS UI Gothic"/>
      <family val="3"/>
      <charset val="128"/>
    </font>
    <font>
      <b/>
      <sz val="9"/>
      <color rgb="FFFF0000"/>
      <name val="MS UI Gothic"/>
      <family val="3"/>
      <charset val="128"/>
    </font>
    <font>
      <sz val="7"/>
      <color rgb="FFFF0000"/>
      <name val="MS UI Gothic"/>
      <family val="3"/>
      <charset val="128"/>
    </font>
    <font>
      <sz val="7"/>
      <color theme="0"/>
      <name val="MS UI Gothic"/>
      <family val="3"/>
      <charset val="128"/>
    </font>
    <font>
      <b/>
      <sz val="14"/>
      <color indexed="9"/>
      <name val="MS UI Gothic"/>
      <family val="3"/>
      <charset val="128"/>
    </font>
    <font>
      <b/>
      <sz val="12"/>
      <color theme="0"/>
      <name val="MS UI Gothic"/>
      <family val="3"/>
      <charset val="128"/>
    </font>
    <font>
      <b/>
      <u/>
      <sz val="12"/>
      <color indexed="9"/>
      <name val="MS UI Gothic"/>
      <family val="3"/>
      <charset val="128"/>
    </font>
    <font>
      <sz val="7"/>
      <color theme="1"/>
      <name val="ＭＳ Ｐゴシック"/>
      <family val="3"/>
      <charset val="128"/>
      <scheme val="minor"/>
    </font>
    <font>
      <sz val="8"/>
      <color theme="0" tint="-0.34998626667073579"/>
      <name val="ＭＳ Ｐゴシック"/>
      <family val="3"/>
      <charset val="128"/>
      <scheme val="minor"/>
    </font>
    <font>
      <b/>
      <vertAlign val="superscript"/>
      <sz val="8"/>
      <color theme="1"/>
      <name val="MS UI Gothic"/>
      <family val="3"/>
      <charset val="128"/>
    </font>
    <font>
      <sz val="7"/>
      <name val="MS UI Gothic"/>
      <family val="3"/>
      <charset val="128"/>
    </font>
    <font>
      <sz val="10"/>
      <color theme="0" tint="-0.249977111117893"/>
      <name val="MS UI Gothic"/>
      <family val="3"/>
      <charset val="128"/>
    </font>
    <font>
      <sz val="11"/>
      <name val="ＭＳ Ｐゴシック"/>
      <family val="3"/>
      <charset val="128"/>
      <scheme val="minor"/>
    </font>
    <font>
      <sz val="10"/>
      <color theme="1"/>
      <name val="ＭＳ Ｐゴシック"/>
      <family val="3"/>
      <charset val="128"/>
      <scheme val="minor"/>
    </font>
    <font>
      <sz val="7"/>
      <name val="ＭＳ Ｐゴシック"/>
      <family val="3"/>
      <charset val="128"/>
      <scheme val="minor"/>
    </font>
    <font>
      <sz val="6"/>
      <name val="ＭＳ Ｐゴシック"/>
      <family val="3"/>
      <charset val="128"/>
      <scheme val="minor"/>
    </font>
    <font>
      <sz val="8"/>
      <name val="MS UI Gothic"/>
      <family val="3"/>
      <charset val="128"/>
    </font>
    <font>
      <b/>
      <vertAlign val="superscript"/>
      <sz val="8"/>
      <color theme="1"/>
      <name val="ＭＳ Ｐゴシック"/>
      <family val="3"/>
      <charset val="128"/>
      <scheme val="minor"/>
    </font>
    <font>
      <sz val="9"/>
      <color theme="1"/>
      <name val="MS UI Gothic"/>
      <family val="2"/>
      <charset val="128"/>
    </font>
    <font>
      <sz val="9"/>
      <name val="MS UI Gothic"/>
      <family val="3"/>
      <charset val="128"/>
    </font>
    <font>
      <b/>
      <sz val="11"/>
      <color theme="0"/>
      <name val="ＭＳ Ｐゴシック"/>
      <family val="3"/>
      <charset val="128"/>
      <scheme val="minor"/>
    </font>
    <font>
      <b/>
      <sz val="6"/>
      <color rgb="FFFF0000"/>
      <name val="ＭＳ Ｐゴシック"/>
      <family val="3"/>
      <charset val="128"/>
      <scheme val="minor"/>
    </font>
    <font>
      <sz val="6"/>
      <color theme="1"/>
      <name val="ＭＳ Ｐゴシック"/>
      <family val="3"/>
      <charset val="128"/>
      <scheme val="minor"/>
    </font>
    <font>
      <u/>
      <sz val="11"/>
      <color indexed="12"/>
      <name val="ＭＳ Ｐゴシック"/>
      <family val="3"/>
      <charset val="128"/>
    </font>
    <font>
      <b/>
      <sz val="6"/>
      <color theme="1"/>
      <name val="ＭＳ Ｐゴシック"/>
      <family val="3"/>
      <charset val="128"/>
      <scheme val="minor"/>
    </font>
    <font>
      <b/>
      <sz val="9"/>
      <color theme="1"/>
      <name val="ＭＳ Ｐゴシック"/>
      <family val="3"/>
      <charset val="128"/>
      <scheme val="minor"/>
    </font>
    <font>
      <b/>
      <sz val="6"/>
      <color theme="1" tint="0.499984740745262"/>
      <name val="ＭＳ Ｐゴシック"/>
      <family val="3"/>
      <charset val="128"/>
    </font>
    <font>
      <b/>
      <sz val="6"/>
      <color rgb="FFFF0000"/>
      <name val="ＭＳ Ｐゴシック"/>
      <family val="3"/>
      <charset val="128"/>
    </font>
    <font>
      <b/>
      <sz val="8"/>
      <color theme="1" tint="0.499984740745262"/>
      <name val="ＭＳ Ｐゴシック"/>
      <family val="3"/>
      <charset val="128"/>
    </font>
    <font>
      <b/>
      <sz val="9"/>
      <name val="ＭＳ Ｐゴシック"/>
      <family val="3"/>
      <charset val="128"/>
      <scheme val="minor"/>
    </font>
    <font>
      <sz val="6"/>
      <color rgb="FFFF0000"/>
      <name val="ＭＳ Ｐゴシック"/>
      <family val="3"/>
      <charset val="128"/>
      <scheme val="minor"/>
    </font>
    <font>
      <sz val="7"/>
      <color theme="0"/>
      <name val="ＭＳ Ｐゴシック"/>
      <family val="3"/>
      <charset val="128"/>
      <scheme val="minor"/>
    </font>
    <font>
      <sz val="6.5"/>
      <name val="ＭＳ Ｐゴシック"/>
      <family val="3"/>
      <charset val="128"/>
      <scheme val="minor"/>
    </font>
    <font>
      <sz val="5"/>
      <color rgb="FFFF0000"/>
      <name val="ＭＳ Ｐゴシック"/>
      <family val="3"/>
      <charset val="128"/>
      <scheme val="minor"/>
    </font>
    <font>
      <sz val="5"/>
      <name val="ＭＳ Ｐゴシック"/>
      <family val="3"/>
      <charset val="128"/>
      <scheme val="minor"/>
    </font>
    <font>
      <sz val="7"/>
      <color rgb="FFFF0000"/>
      <name val="ＭＳ Ｐゴシック"/>
      <family val="3"/>
      <charset val="128"/>
      <scheme val="minor"/>
    </font>
    <font>
      <b/>
      <sz val="8"/>
      <color theme="1" tint="0.499984740745262"/>
      <name val="Arial Black"/>
      <family val="2"/>
    </font>
    <font>
      <b/>
      <sz val="10"/>
      <name val="ＭＳ Ｐゴシック"/>
      <family val="3"/>
      <charset val="128"/>
      <scheme val="minor"/>
    </font>
    <font>
      <sz val="12"/>
      <name val="ＭＳ Ｐゴシック"/>
      <family val="3"/>
      <charset val="128"/>
      <scheme val="minor"/>
    </font>
    <font>
      <sz val="10"/>
      <name val="ＭＳ Ｐゴシック"/>
      <family val="3"/>
      <charset val="128"/>
      <scheme val="minor"/>
    </font>
    <font>
      <b/>
      <sz val="8"/>
      <color indexed="23"/>
      <name val="ＭＳ Ｐゴシック"/>
      <family val="3"/>
      <charset val="128"/>
    </font>
    <font>
      <b/>
      <sz val="11"/>
      <name val="ＭＳ Ｐゴシック"/>
      <family val="3"/>
      <charset val="128"/>
      <scheme val="minor"/>
    </font>
    <font>
      <sz val="10"/>
      <color theme="1"/>
      <name val="ＭＳ ゴシック"/>
      <family val="3"/>
      <charset val="128"/>
    </font>
    <font>
      <sz val="9"/>
      <color rgb="FF0000FF"/>
      <name val="ＭＳ Ｐゴシック"/>
      <family val="3"/>
      <charset val="128"/>
      <scheme val="minor"/>
    </font>
    <font>
      <b/>
      <sz val="16"/>
      <color theme="1"/>
      <name val="MS UI Gothic"/>
      <family val="3"/>
      <charset val="128"/>
    </font>
    <font>
      <sz val="8"/>
      <color rgb="FFFF0000"/>
      <name val="MS UI Gothic"/>
      <family val="3"/>
      <charset val="128"/>
    </font>
    <font>
      <sz val="11"/>
      <name val="ＭＳ Ｐゴシック"/>
      <family val="3"/>
      <charset val="128"/>
    </font>
    <font>
      <sz val="8"/>
      <name val="ＭＳ Ｐゴシック"/>
      <family val="3"/>
      <charset val="128"/>
    </font>
    <font>
      <sz val="6"/>
      <name val="ＭＳ Ｐゴシック"/>
      <family val="2"/>
      <charset val="128"/>
      <scheme val="minor"/>
    </font>
    <font>
      <b/>
      <sz val="7"/>
      <color theme="1"/>
      <name val="ＭＳ Ｐゴシック"/>
      <family val="3"/>
      <charset val="128"/>
      <scheme val="minor"/>
    </font>
    <font>
      <sz val="8"/>
      <color theme="1"/>
      <name val="ＭＳ Ｐゴシック"/>
      <family val="2"/>
      <charset val="128"/>
      <scheme val="minor"/>
    </font>
    <font>
      <sz val="11"/>
      <color theme="1"/>
      <name val="ＭＳ Ｐゴシック"/>
      <family val="3"/>
      <charset val="128"/>
      <scheme val="major"/>
    </font>
    <font>
      <sz val="6"/>
      <color theme="1"/>
      <name val="ＭＳ Ｐゴシック"/>
      <family val="2"/>
      <charset val="128"/>
      <scheme val="minor"/>
    </font>
    <font>
      <b/>
      <sz val="11"/>
      <color theme="1"/>
      <name val="ＭＳ Ｐゴシック"/>
      <family val="3"/>
      <charset val="128"/>
      <scheme val="minor"/>
    </font>
    <font>
      <u/>
      <sz val="11"/>
      <color rgb="FF0000FF"/>
      <name val="ＭＳ Ｐゴシック"/>
      <family val="3"/>
      <charset val="128"/>
    </font>
    <font>
      <u/>
      <sz val="8"/>
      <color indexed="12"/>
      <name val="ＭＳ Ｐゴシック"/>
      <family val="3"/>
      <charset val="128"/>
    </font>
    <font>
      <b/>
      <vertAlign val="superscript"/>
      <sz val="9"/>
      <color rgb="FFFF0000"/>
      <name val="ＭＳ Ｐゴシック"/>
      <family val="3"/>
      <charset val="128"/>
      <scheme val="minor"/>
    </font>
    <font>
      <b/>
      <sz val="9"/>
      <color rgb="FFFF0000"/>
      <name val="ＭＳ Ｐゴシック"/>
      <family val="3"/>
      <charset val="128"/>
      <scheme val="minor"/>
    </font>
    <font>
      <b/>
      <sz val="11"/>
      <color rgb="FFFF0000"/>
      <name val="ＭＳ Ｐゴシック"/>
      <family val="3"/>
      <charset val="128"/>
      <scheme val="minor"/>
    </font>
    <font>
      <b/>
      <sz val="18"/>
      <color theme="1"/>
      <name val="ＭＳ Ｐゴシック"/>
      <family val="3"/>
      <charset val="128"/>
      <scheme val="minor"/>
    </font>
    <font>
      <b/>
      <sz val="8"/>
      <color rgb="FFFF0000"/>
      <name val="ＭＳ Ｐゴシック"/>
      <family val="3"/>
      <charset val="128"/>
    </font>
    <font>
      <b/>
      <sz val="8"/>
      <color rgb="FFFF0000"/>
      <name val="Arial Black"/>
      <family val="2"/>
    </font>
    <font>
      <b/>
      <sz val="11"/>
      <color rgb="FFFF0000"/>
      <name val="MS UI Gothic"/>
      <family val="3"/>
      <charset val="128"/>
    </font>
    <font>
      <sz val="9"/>
      <color theme="0"/>
      <name val="MS UI Gothic"/>
      <family val="3"/>
      <charset val="128"/>
    </font>
    <font>
      <u/>
      <sz val="8"/>
      <color theme="0"/>
      <name val="ＭＳ Ｐゴシック"/>
      <family val="3"/>
      <charset val="128"/>
    </font>
    <font>
      <sz val="8"/>
      <color theme="0"/>
      <name val="ＭＳ Ｐゴシック"/>
      <family val="2"/>
      <charset val="128"/>
      <scheme val="minor"/>
    </font>
    <font>
      <u/>
      <sz val="8"/>
      <name val="ＭＳ Ｐゴシック"/>
      <family val="3"/>
      <charset val="128"/>
    </font>
    <font>
      <sz val="11"/>
      <color theme="1"/>
      <name val="Meiryo UI"/>
      <family val="3"/>
      <charset val="128"/>
    </font>
    <font>
      <sz val="9"/>
      <color indexed="81"/>
      <name val="ＭＳ Ｐゴシック"/>
      <family val="3"/>
      <charset val="128"/>
    </font>
    <font>
      <b/>
      <sz val="9"/>
      <name val="MS UI Gothic"/>
      <family val="3"/>
      <charset val="128"/>
    </font>
    <font>
      <sz val="8"/>
      <color theme="1"/>
      <name val="ＭＳ ゴシック"/>
      <family val="3"/>
      <charset val="128"/>
    </font>
    <font>
      <b/>
      <u/>
      <sz val="9"/>
      <color indexed="12"/>
      <name val="ＭＳ Ｐゴシック"/>
      <family val="3"/>
      <charset val="128"/>
    </font>
    <font>
      <sz val="9"/>
      <color rgb="FFFF0000"/>
      <name val="ＭＳ Ｐゴシック"/>
      <family val="3"/>
      <charset val="128"/>
      <scheme val="minor"/>
    </font>
    <font>
      <b/>
      <sz val="9"/>
      <color indexed="81"/>
      <name val="ＭＳ Ｐゴシック"/>
      <family val="3"/>
      <charset val="128"/>
    </font>
    <font>
      <b/>
      <sz val="11"/>
      <color theme="0"/>
      <name val="MS UI Gothic"/>
      <family val="3"/>
      <charset val="128"/>
    </font>
    <font>
      <b/>
      <sz val="9"/>
      <color theme="0"/>
      <name val="MS UI Gothic"/>
      <family val="3"/>
      <charset val="128"/>
    </font>
    <font>
      <sz val="9"/>
      <color indexed="81"/>
      <name val="MS P ゴシック"/>
      <family val="3"/>
      <charset val="128"/>
    </font>
    <font>
      <sz val="8"/>
      <color theme="0" tint="-0.499984740745262"/>
      <name val="ＭＳ Ｐゴシック"/>
      <family val="3"/>
      <charset val="128"/>
      <scheme val="minor"/>
    </font>
    <font>
      <sz val="11"/>
      <color theme="0"/>
      <name val="Meiryo UI"/>
      <family val="3"/>
      <charset val="128"/>
    </font>
    <font>
      <sz val="11"/>
      <name val="Meiryo UI"/>
      <family val="3"/>
      <charset val="128"/>
    </font>
    <font>
      <b/>
      <sz val="7"/>
      <color rgb="FFFF0000"/>
      <name val="ＭＳ Ｐゴシック"/>
      <family val="3"/>
      <charset val="128"/>
      <scheme val="minor"/>
    </font>
    <font>
      <b/>
      <sz val="17"/>
      <color theme="1"/>
      <name val="MS UI Gothic"/>
      <family val="3"/>
      <charset val="128"/>
    </font>
    <font>
      <b/>
      <sz val="7.5"/>
      <color theme="1"/>
      <name val="ＭＳ Ｐゴシック"/>
      <family val="3"/>
      <charset val="128"/>
      <scheme val="minor"/>
    </font>
    <font>
      <b/>
      <vertAlign val="superscript"/>
      <sz val="7.5"/>
      <color rgb="FFFF0000"/>
      <name val="ＭＳ Ｐゴシック"/>
      <family val="3"/>
      <charset val="128"/>
      <scheme val="minor"/>
    </font>
    <font>
      <sz val="8"/>
      <color theme="1" tint="0.499984740745262"/>
      <name val="ＭＳ Ｐゴシック"/>
      <family val="3"/>
      <charset val="128"/>
      <scheme val="minor"/>
    </font>
    <font>
      <sz val="10"/>
      <color theme="1"/>
      <name val="ＭＳ Ｐゴシック"/>
      <family val="2"/>
      <charset val="128"/>
      <scheme val="minor"/>
    </font>
    <font>
      <b/>
      <sz val="7"/>
      <color theme="1"/>
      <name val="ＭＳ Ｐゴシック"/>
      <family val="3"/>
      <charset val="128"/>
      <scheme val="major"/>
    </font>
    <font>
      <b/>
      <sz val="8"/>
      <color theme="0"/>
      <name val="ＭＳ Ｐゴシック"/>
      <family val="3"/>
      <charset val="128"/>
      <scheme val="minor"/>
    </font>
    <font>
      <sz val="9"/>
      <color rgb="FFFF0000"/>
      <name val="MS UI Gothic"/>
      <family val="3"/>
      <charset val="128"/>
    </font>
    <font>
      <sz val="9"/>
      <color theme="0" tint="-0.249977111117893"/>
      <name val="ＭＳ Ｐゴシック"/>
      <family val="3"/>
      <charset val="128"/>
      <scheme val="minor"/>
    </font>
    <font>
      <sz val="9"/>
      <color indexed="12"/>
      <name val="ＭＳ Ｐゴシック"/>
      <family val="3"/>
      <charset val="128"/>
    </font>
    <font>
      <u/>
      <sz val="9"/>
      <color theme="0"/>
      <name val="ＭＳ Ｐゴシック"/>
      <family val="3"/>
      <charset val="128"/>
    </font>
    <font>
      <b/>
      <sz val="8"/>
      <color theme="0" tint="-0.34998626667073579"/>
      <name val="MS UI Gothic"/>
      <family val="3"/>
      <charset val="128"/>
    </font>
    <font>
      <sz val="11"/>
      <color theme="0" tint="-0.34998626667073579"/>
      <name val="MS UI Gothic"/>
      <family val="3"/>
      <charset val="128"/>
    </font>
    <font>
      <sz val="11"/>
      <color theme="0" tint="-0.249977111117893"/>
      <name val="MS UI Gothic"/>
      <family val="3"/>
      <charset val="128"/>
    </font>
    <font>
      <sz val="9"/>
      <color theme="1"/>
      <name val="ＭＳ Ｐゴシック"/>
      <family val="3"/>
      <charset val="128"/>
    </font>
    <font>
      <b/>
      <sz val="7"/>
      <color theme="1"/>
      <name val="MS UI Gothic"/>
      <family val="3"/>
      <charset val="128"/>
    </font>
    <font>
      <sz val="11"/>
      <name val="ＭＳ Ｐゴシック"/>
      <family val="3"/>
      <charset val="128"/>
      <scheme val="major"/>
    </font>
    <font>
      <b/>
      <sz val="6"/>
      <color theme="1"/>
      <name val="MS UI Gothic"/>
      <family val="3"/>
      <charset val="128"/>
    </font>
    <font>
      <b/>
      <sz val="8"/>
      <name val="ＭＳ Ｐゴシック"/>
      <family val="3"/>
      <charset val="128"/>
    </font>
    <font>
      <b/>
      <sz val="12"/>
      <color theme="0"/>
      <name val="ＭＳ Ｐゴシック"/>
      <family val="3"/>
      <charset val="128"/>
      <scheme val="minor"/>
    </font>
    <font>
      <b/>
      <sz val="16"/>
      <color theme="0"/>
      <name val="ＭＳ Ｐゴシック"/>
      <family val="3"/>
      <charset val="128"/>
      <scheme val="minor"/>
    </font>
    <font>
      <b/>
      <sz val="12"/>
      <color theme="1"/>
      <name val="ＭＳ Ｐゴシック"/>
      <family val="3"/>
      <charset val="128"/>
      <scheme val="minor"/>
    </font>
    <font>
      <b/>
      <u/>
      <sz val="20"/>
      <color rgb="FFFFFFFF"/>
      <name val="ＭＳ Ｐゴシック"/>
      <family val="3"/>
      <charset val="128"/>
    </font>
    <font>
      <b/>
      <u/>
      <sz val="11"/>
      <color indexed="12"/>
      <name val="ＭＳ Ｐゴシック"/>
      <family val="3"/>
      <charset val="128"/>
    </font>
    <font>
      <b/>
      <sz val="11"/>
      <color theme="1"/>
      <name val="MS UI Gothic"/>
      <family val="3"/>
      <charset val="128"/>
    </font>
    <font>
      <b/>
      <sz val="9"/>
      <color theme="1"/>
      <name val="MS UI Gothic"/>
      <family val="3"/>
      <charset val="128"/>
    </font>
    <font>
      <sz val="12"/>
      <name val="MS UI Gothic"/>
      <family val="3"/>
      <charset val="128"/>
    </font>
    <font>
      <sz val="9"/>
      <name val="ＭＳ Ｐゴシック"/>
      <family val="3"/>
      <charset val="128"/>
    </font>
    <font>
      <sz val="11"/>
      <color theme="1"/>
      <name val="ＭＳ Ｐゴシック"/>
      <family val="3"/>
      <charset val="128"/>
    </font>
    <font>
      <b/>
      <sz val="7.5"/>
      <color theme="1"/>
      <name val="MS UI Gothic"/>
      <family val="3"/>
      <charset val="128"/>
    </font>
    <font>
      <u/>
      <sz val="6"/>
      <color indexed="12"/>
      <name val="ＭＳ Ｐゴシック"/>
      <family val="3"/>
      <charset val="128"/>
    </font>
    <font>
      <u/>
      <sz val="5"/>
      <color indexed="12"/>
      <name val="ＭＳ Ｐゴシック"/>
      <family val="3"/>
      <charset val="128"/>
    </font>
    <font>
      <u/>
      <sz val="8"/>
      <color theme="1"/>
      <name val="MS UI Gothic"/>
      <family val="3"/>
      <charset val="128"/>
    </font>
    <font>
      <b/>
      <u/>
      <sz val="8"/>
      <color theme="1"/>
      <name val="MS UI Gothic"/>
      <family val="3"/>
      <charset val="128"/>
    </font>
    <font>
      <sz val="5"/>
      <color theme="1"/>
      <name val="ＭＳ Ｐゴシック"/>
      <family val="3"/>
      <charset val="128"/>
      <scheme val="minor"/>
    </font>
    <font>
      <sz val="7"/>
      <color theme="1"/>
      <name val="ＭＳ Ｐゴシック"/>
      <family val="3"/>
      <charset val="128"/>
    </font>
    <font>
      <b/>
      <u/>
      <sz val="8"/>
      <color indexed="12"/>
      <name val="ＭＳ Ｐゴシック"/>
      <family val="3"/>
      <charset val="128"/>
    </font>
    <font>
      <b/>
      <sz val="9"/>
      <name val="ＭＳ Ｐゴシック"/>
      <family val="3"/>
      <charset val="128"/>
    </font>
  </fonts>
  <fills count="63">
    <fill>
      <patternFill patternType="none"/>
    </fill>
    <fill>
      <patternFill patternType="gray125"/>
    </fill>
    <fill>
      <patternFill patternType="solid">
        <fgColor theme="7"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7030A0"/>
        <bgColor indexed="64"/>
      </patternFill>
    </fill>
    <fill>
      <patternFill patternType="solid">
        <fgColor theme="9"/>
        <bgColor indexed="64"/>
      </patternFill>
    </fill>
    <fill>
      <patternFill patternType="solid">
        <fgColor theme="0"/>
        <bgColor indexed="64"/>
      </patternFill>
    </fill>
    <fill>
      <patternFill patternType="solid">
        <fgColor theme="1"/>
        <bgColor indexed="64"/>
      </patternFill>
    </fill>
    <fill>
      <patternFill patternType="solid">
        <fgColor rgb="FF002060"/>
        <bgColor indexed="64"/>
      </patternFill>
    </fill>
    <fill>
      <patternFill patternType="solid">
        <fgColor theme="0" tint="-0.14999847407452621"/>
        <bgColor indexed="64"/>
      </patternFill>
    </fill>
    <fill>
      <patternFill patternType="solid">
        <fgColor theme="6"/>
        <bgColor indexed="64"/>
      </patternFill>
    </fill>
    <fill>
      <patternFill patternType="solid">
        <fgColor theme="8" tint="-0.499984740745262"/>
        <bgColor indexed="64"/>
      </patternFill>
    </fill>
    <fill>
      <patternFill patternType="solid">
        <fgColor rgb="FF00B050"/>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66"/>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FFFF99"/>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FF0000"/>
        <bgColor indexed="64"/>
      </patternFill>
    </fill>
    <fill>
      <patternFill patternType="solid">
        <fgColor theme="7"/>
        <bgColor indexed="64"/>
      </patternFill>
    </fill>
    <fill>
      <patternFill patternType="solid">
        <fgColor theme="9" tint="0.79998168889431442"/>
        <bgColor indexed="64"/>
      </patternFill>
    </fill>
    <fill>
      <patternFill patternType="solid">
        <fgColor theme="8"/>
        <bgColor indexed="64"/>
      </patternFill>
    </fill>
    <fill>
      <patternFill patternType="solid">
        <fgColor rgb="FF66FFFF"/>
        <bgColor indexed="64"/>
      </patternFill>
    </fill>
    <fill>
      <patternFill patternType="solid">
        <fgColor rgb="FFFFFF0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A4619"/>
        <bgColor indexed="64"/>
      </patternFill>
    </fill>
    <fill>
      <patternFill patternType="solid">
        <fgColor rgb="FF327D69"/>
        <bgColor indexed="64"/>
      </patternFill>
    </fill>
    <fill>
      <patternFill patternType="solid">
        <fgColor rgb="FF053394"/>
        <bgColor indexed="64"/>
      </patternFill>
    </fill>
    <fill>
      <patternFill patternType="solid">
        <fgColor rgb="FF6666DD"/>
        <bgColor indexed="64"/>
      </patternFill>
    </fill>
    <fill>
      <patternFill patternType="solid">
        <fgColor theme="3"/>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00CC99"/>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CFFFF"/>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0070C0"/>
        <bgColor indexed="64"/>
      </patternFill>
    </fill>
    <fill>
      <patternFill patternType="solid">
        <fgColor rgb="FF00B0F0"/>
        <bgColor indexed="64"/>
      </patternFill>
    </fill>
    <fill>
      <patternFill patternType="solid">
        <fgColor rgb="FFCBDCFD"/>
        <bgColor indexed="64"/>
      </patternFill>
    </fill>
    <fill>
      <patternFill patternType="solid">
        <fgColor theme="6" tint="0.59999389629810485"/>
        <bgColor indexed="64"/>
      </patternFill>
    </fill>
    <fill>
      <patternFill patternType="solid">
        <fgColor rgb="FFCCFFCC"/>
        <bgColor indexed="64"/>
      </patternFill>
    </fill>
    <fill>
      <patternFill patternType="solid">
        <fgColor rgb="FF00FE00"/>
        <bgColor indexed="64"/>
      </patternFill>
    </fill>
    <fill>
      <patternFill patternType="solid">
        <fgColor theme="6" tint="-0.249977111117893"/>
        <bgColor indexed="64"/>
      </patternFill>
    </fill>
  </fills>
  <borders count="795">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medium">
        <color indexed="64"/>
      </top>
      <bottom/>
      <diagonal/>
    </border>
    <border>
      <left/>
      <right style="thin">
        <color indexed="64"/>
      </right>
      <top style="medium">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bottom style="thin">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medium">
        <color theme="1" tint="0.499984740745262"/>
      </right>
      <top/>
      <bottom/>
      <diagonal/>
    </border>
    <border>
      <left style="thick">
        <color theme="6"/>
      </left>
      <right/>
      <top/>
      <bottom/>
      <diagonal/>
    </border>
    <border>
      <left/>
      <right style="thick">
        <color theme="6"/>
      </right>
      <top/>
      <bottom/>
      <diagonal/>
    </border>
    <border>
      <left style="thick">
        <color theme="6"/>
      </left>
      <right/>
      <top/>
      <bottom style="thick">
        <color theme="6"/>
      </bottom>
      <diagonal/>
    </border>
    <border>
      <left/>
      <right style="thick">
        <color theme="6"/>
      </right>
      <top/>
      <bottom style="thick">
        <color theme="6"/>
      </bottom>
      <diagonal/>
    </border>
    <border>
      <left style="thick">
        <color theme="9"/>
      </left>
      <right/>
      <top/>
      <bottom/>
      <diagonal/>
    </border>
    <border>
      <left/>
      <right style="thick">
        <color theme="9"/>
      </right>
      <top/>
      <bottom/>
      <diagonal/>
    </border>
    <border>
      <left/>
      <right/>
      <top style="thin">
        <color theme="1" tint="0.499984740745262"/>
      </top>
      <bottom/>
      <diagonal/>
    </border>
    <border>
      <left style="medium">
        <color theme="1" tint="0.499984740745262"/>
      </left>
      <right/>
      <top/>
      <bottom/>
      <diagonal/>
    </border>
    <border>
      <left/>
      <right/>
      <top style="thin">
        <color theme="1" tint="0.499984740745262"/>
      </top>
      <bottom style="thin">
        <color theme="1" tint="0.499984740745262"/>
      </bottom>
      <diagonal/>
    </border>
    <border>
      <left/>
      <right style="medium">
        <color theme="1" tint="0.499984740745262"/>
      </right>
      <top style="thin">
        <color theme="1" tint="0.499984740745262"/>
      </top>
      <bottom/>
      <diagonal/>
    </border>
    <border>
      <left/>
      <right/>
      <top/>
      <bottom style="medium">
        <color theme="1" tint="0.499984740745262"/>
      </bottom>
      <diagonal/>
    </border>
    <border>
      <left/>
      <right/>
      <top style="medium">
        <color theme="1" tint="0.499984740745262"/>
      </top>
      <bottom/>
      <diagonal/>
    </border>
    <border>
      <left/>
      <right style="medium">
        <color theme="1" tint="0.499984740745262"/>
      </right>
      <top style="medium">
        <color theme="1" tint="0.499984740745262"/>
      </top>
      <bottom/>
      <diagonal/>
    </border>
    <border>
      <left/>
      <right/>
      <top/>
      <bottom style="thin">
        <color theme="1" tint="0.499984740745262"/>
      </bottom>
      <diagonal/>
    </border>
    <border>
      <left/>
      <right style="medium">
        <color theme="1" tint="0.499984740745262"/>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diagonal/>
    </border>
    <border>
      <left style="thin">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style="thick">
        <color theme="8" tint="-0.499984740745262"/>
      </left>
      <right/>
      <top/>
      <bottom/>
      <diagonal/>
    </border>
    <border>
      <left/>
      <right style="thick">
        <color theme="8" tint="-0.499984740745262"/>
      </right>
      <top/>
      <bottom/>
      <diagonal/>
    </border>
    <border>
      <left style="thin">
        <color theme="1" tint="0.499984740745262"/>
      </left>
      <right/>
      <top/>
      <bottom style="thin">
        <color theme="1" tint="0.499984740745262"/>
      </bottom>
      <diagonal/>
    </border>
    <border>
      <left/>
      <right style="thin">
        <color theme="1" tint="0.499984740745262"/>
      </right>
      <top style="thin">
        <color theme="1" tint="0.499984740745262"/>
      </top>
      <bottom/>
      <diagonal/>
    </border>
    <border>
      <left style="hair">
        <color theme="1" tint="0.499984740745262"/>
      </left>
      <right/>
      <top/>
      <bottom/>
      <diagonal/>
    </border>
    <border>
      <left/>
      <right style="thin">
        <color theme="1" tint="0.499984740745262"/>
      </right>
      <top/>
      <bottom/>
      <diagonal/>
    </border>
    <border>
      <left/>
      <right style="thin">
        <color theme="1" tint="0.499984740745262"/>
      </right>
      <top/>
      <bottom style="medium">
        <color theme="1" tint="0.499984740745262"/>
      </bottom>
      <diagonal/>
    </border>
    <border>
      <left style="hair">
        <color theme="1" tint="0.499984740745262"/>
      </left>
      <right/>
      <top/>
      <bottom style="thin">
        <color theme="1" tint="0.499984740745262"/>
      </bottom>
      <diagonal/>
    </border>
    <border>
      <left/>
      <right style="hair">
        <color theme="1" tint="0.499984740745262"/>
      </right>
      <top/>
      <bottom/>
      <diagonal/>
    </border>
    <border>
      <left/>
      <right style="hair">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medium">
        <color theme="1" tint="0.499984740745262"/>
      </left>
      <right/>
      <top style="medium">
        <color theme="1" tint="0.499984740745262"/>
      </top>
      <bottom/>
      <diagonal/>
    </border>
    <border>
      <left style="medium">
        <color theme="1" tint="0.499984740745262"/>
      </left>
      <right/>
      <top/>
      <bottom style="thin">
        <color theme="1" tint="0.499984740745262"/>
      </bottom>
      <diagonal/>
    </border>
    <border>
      <left style="medium">
        <color theme="1" tint="0.499984740745262"/>
      </left>
      <right/>
      <top style="thin">
        <color theme="1" tint="0.499984740745262"/>
      </top>
      <bottom/>
      <diagonal/>
    </border>
    <border>
      <left style="medium">
        <color theme="1" tint="0.499984740745262"/>
      </left>
      <right/>
      <top/>
      <bottom style="medium">
        <color theme="1" tint="0.499984740745262"/>
      </bottom>
      <diagonal/>
    </border>
    <border>
      <left style="thick">
        <color theme="6"/>
      </left>
      <right/>
      <top style="thick">
        <color theme="6"/>
      </top>
      <bottom/>
      <diagonal/>
    </border>
    <border>
      <left/>
      <right style="thick">
        <color theme="6"/>
      </right>
      <top style="thick">
        <color theme="6"/>
      </top>
      <bottom/>
      <diagonal/>
    </border>
    <border>
      <left style="thick">
        <color theme="9"/>
      </left>
      <right/>
      <top style="thick">
        <color theme="9"/>
      </top>
      <bottom/>
      <diagonal/>
    </border>
    <border>
      <left/>
      <right style="thick">
        <color theme="9"/>
      </right>
      <top style="thick">
        <color theme="9"/>
      </top>
      <bottom/>
      <diagonal/>
    </border>
    <border>
      <left style="thick">
        <color theme="8" tint="-0.499984740745262"/>
      </left>
      <right/>
      <top style="thick">
        <color theme="8" tint="-0.499984740745262"/>
      </top>
      <bottom/>
      <diagonal/>
    </border>
    <border>
      <left/>
      <right style="thick">
        <color theme="8" tint="-0.499984740745262"/>
      </right>
      <top style="thick">
        <color theme="8" tint="-0.499984740745262"/>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style="thick">
        <color rgb="FF00B050"/>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style="thick">
        <color rgb="FF00B050"/>
      </right>
      <top/>
      <bottom style="thick">
        <color rgb="FF00B050"/>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tint="0.499984740745262"/>
      </left>
      <right/>
      <top style="thin">
        <color theme="1" tint="0.499984740745262"/>
      </top>
      <bottom style="thin">
        <color theme="1" tint="0.499984740745262"/>
      </bottom>
      <diagonal/>
    </border>
    <border>
      <left/>
      <right/>
      <top style="thin">
        <color theme="0" tint="-0.499984740745262"/>
      </top>
      <bottom/>
      <diagonal/>
    </border>
    <border>
      <left/>
      <right style="thin">
        <color theme="0" tint="-0.499984740745262"/>
      </right>
      <top/>
      <bottom/>
      <diagonal/>
    </border>
    <border>
      <left/>
      <right style="thin">
        <color theme="0" tint="-0.499984740745262"/>
      </right>
      <top/>
      <bottom style="medium">
        <color theme="1" tint="0.499984740745262"/>
      </bottom>
      <diagonal/>
    </border>
    <border>
      <left style="thin">
        <color theme="0" tint="-0.499984740745262"/>
      </left>
      <right/>
      <top/>
      <bottom/>
      <diagonal/>
    </border>
    <border>
      <left style="hair">
        <color theme="1" tint="0.499984740745262"/>
      </left>
      <right style="hair">
        <color theme="1" tint="0.499984740745262"/>
      </right>
      <top/>
      <bottom/>
      <diagonal/>
    </border>
    <border>
      <left style="hair">
        <color theme="1" tint="0.499984740745262"/>
      </left>
      <right style="hair">
        <color theme="1" tint="0.499984740745262"/>
      </right>
      <top/>
      <bottom style="thin">
        <color theme="1" tint="0.499984740745262"/>
      </bottom>
      <diagonal/>
    </border>
    <border>
      <left style="thin">
        <color theme="0" tint="-0.499984740745262"/>
      </left>
      <right/>
      <top/>
      <bottom style="medium">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top style="thin">
        <color theme="1" tint="0.499984740745262"/>
      </top>
      <bottom style="thin">
        <color theme="1" tint="0.499984740745262"/>
      </bottom>
      <diagonal/>
    </border>
    <border>
      <left style="thin">
        <color theme="1" tint="0.499984740745262"/>
      </left>
      <right style="hair">
        <color theme="1" tint="0.499984740745262"/>
      </right>
      <top style="thin">
        <color theme="1" tint="0.499984740745262"/>
      </top>
      <bottom style="thin">
        <color theme="1" tint="0.499984740745262"/>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indexed="64"/>
      </left>
      <right style="thin">
        <color indexed="64"/>
      </right>
      <top/>
      <bottom style="thin">
        <color indexed="64"/>
      </bottom>
      <diagonal/>
    </border>
    <border>
      <left/>
      <right style="medium">
        <color indexed="64"/>
      </right>
      <top style="hair">
        <color indexed="64"/>
      </top>
      <bottom/>
      <diagonal/>
    </border>
    <border>
      <left style="thick">
        <color rgb="FFFFFF00"/>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ck">
        <color rgb="FFFFFF00"/>
      </bottom>
      <diagonal/>
    </border>
    <border>
      <left/>
      <right style="thick">
        <color rgb="FFFFFF00"/>
      </right>
      <top/>
      <bottom style="thick">
        <color rgb="FFFFFF00"/>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hair">
        <color theme="1" tint="0.499984740745262"/>
      </left>
      <right style="thin">
        <color theme="1" tint="0.499984740745262"/>
      </right>
      <top/>
      <bottom/>
      <diagonal/>
    </border>
    <border>
      <left style="hair">
        <color theme="1" tint="0.499984740745262"/>
      </left>
      <right style="thin">
        <color theme="1" tint="0.499984740745262"/>
      </right>
      <top/>
      <bottom style="thin">
        <color theme="1" tint="0.499984740745262"/>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style="thin">
        <color theme="1" tint="0.499984740745262"/>
      </right>
      <top/>
      <bottom style="thin">
        <color theme="0" tint="-0.24994659260841701"/>
      </bottom>
      <diagonal/>
    </border>
    <border>
      <left style="thin">
        <color theme="1" tint="0.499984740745262"/>
      </left>
      <right/>
      <top/>
      <bottom style="thin">
        <color theme="0" tint="-0.24994659260841701"/>
      </bottom>
      <diagonal/>
    </border>
    <border>
      <left/>
      <right style="hair">
        <color theme="1" tint="0.499984740745262"/>
      </right>
      <top style="thin">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0" tint="-0.24994659260841701"/>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style="thin">
        <color theme="1" tint="0.499984740745262"/>
      </left>
      <right style="hair">
        <color theme="1" tint="0.499984740745262"/>
      </right>
      <top/>
      <bottom style="thin">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style="medium">
        <color theme="1" tint="0.499984740745262"/>
      </right>
      <top style="thin">
        <color theme="1" tint="0.499984740745262"/>
      </top>
      <bottom style="thin">
        <color theme="1" tint="0.499984740745262"/>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hair">
        <color theme="1" tint="0.499984740745262"/>
      </bottom>
      <diagonal/>
    </border>
    <border>
      <left/>
      <right/>
      <top style="thin">
        <color indexed="64"/>
      </top>
      <bottom style="hair">
        <color theme="1" tint="0.499984740745262"/>
      </bottom>
      <diagonal/>
    </border>
    <border>
      <left style="hair">
        <color theme="1" tint="0.499984740745262"/>
      </left>
      <right/>
      <top style="thin">
        <color indexed="64"/>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style="hair">
        <color theme="1" tint="0.49998474074526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bottom style="double">
        <color indexed="64"/>
      </bottom>
      <diagonal/>
    </border>
    <border>
      <left style="hair">
        <color indexed="64"/>
      </left>
      <right/>
      <top/>
      <bottom style="double">
        <color indexed="64"/>
      </bottom>
      <diagonal/>
    </border>
    <border>
      <left/>
      <right style="hair">
        <color indexed="64"/>
      </right>
      <top style="double">
        <color indexed="64"/>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style="hair">
        <color indexed="64"/>
      </right>
      <top style="thin">
        <color indexed="64"/>
      </top>
      <bottom style="thin">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hair">
        <color theme="1" tint="0.499984740745262"/>
      </left>
      <right style="thin">
        <color theme="1" tint="0.499984740745262"/>
      </right>
      <top/>
      <bottom style="medium">
        <color theme="1" tint="0.499984740745262"/>
      </bottom>
      <diagonal/>
    </border>
    <border>
      <left style="hair">
        <color theme="1" tint="0.499984740745262"/>
      </left>
      <right/>
      <top/>
      <bottom style="medium">
        <color theme="1" tint="0.499984740745262"/>
      </bottom>
      <diagonal/>
    </border>
    <border>
      <left/>
      <right style="hair">
        <color theme="1" tint="0.499984740745262"/>
      </right>
      <top style="thin">
        <color theme="1" tint="0.499984740745262"/>
      </top>
      <bottom/>
      <diagonal/>
    </border>
    <border>
      <left style="hair">
        <color theme="1" tint="0.499984740745262"/>
      </left>
      <right/>
      <top style="thin">
        <color theme="1" tint="0.499984740745262"/>
      </top>
      <bottom/>
      <diagonal/>
    </border>
    <border>
      <left/>
      <right style="hair">
        <color theme="1" tint="0.499984740745262"/>
      </right>
      <top/>
      <bottom style="medium">
        <color theme="1" tint="0.499984740745262"/>
      </bottom>
      <diagonal/>
    </border>
    <border>
      <left/>
      <right style="thin">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thin">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thin">
        <color theme="1" tint="0.499984740745262"/>
      </right>
      <top style="thin">
        <color theme="1" tint="0.499984740745262"/>
      </top>
      <bottom/>
      <diagonal/>
    </border>
    <border>
      <left/>
      <right style="thin">
        <color theme="1" tint="0.499984740745262"/>
      </right>
      <top style="medium">
        <color theme="1" tint="0.499984740745262"/>
      </top>
      <bottom style="thin">
        <color theme="1" tint="0.499984740745262"/>
      </bottom>
      <diagonal/>
    </border>
    <border>
      <left style="thick">
        <color rgb="FF053394"/>
      </left>
      <right/>
      <top/>
      <bottom/>
      <diagonal/>
    </border>
    <border>
      <left style="thick">
        <color rgb="FF053394"/>
      </left>
      <right/>
      <top/>
      <bottom style="thick">
        <color rgb="FF053394"/>
      </bottom>
      <diagonal/>
    </border>
    <border>
      <left/>
      <right/>
      <top/>
      <bottom style="thick">
        <color rgb="FF053394"/>
      </bottom>
      <diagonal/>
    </border>
    <border>
      <left style="thick">
        <color rgb="FFFA4619"/>
      </left>
      <right/>
      <top style="thick">
        <color rgb="FFFA4619"/>
      </top>
      <bottom/>
      <diagonal/>
    </border>
    <border>
      <left/>
      <right/>
      <top style="thick">
        <color rgb="FFFA4619"/>
      </top>
      <bottom/>
      <diagonal/>
    </border>
    <border>
      <left/>
      <right style="thick">
        <color rgb="FFFA4619"/>
      </right>
      <top style="thick">
        <color rgb="FFFA4619"/>
      </top>
      <bottom/>
      <diagonal/>
    </border>
    <border>
      <left style="thick">
        <color rgb="FFFA4619"/>
      </left>
      <right/>
      <top/>
      <bottom/>
      <diagonal/>
    </border>
    <border>
      <left/>
      <right style="thick">
        <color rgb="FFFA4619"/>
      </right>
      <top/>
      <bottom/>
      <diagonal/>
    </border>
    <border>
      <left style="thick">
        <color rgb="FFFA4619"/>
      </left>
      <right/>
      <top/>
      <bottom style="thick">
        <color rgb="FFFA4619"/>
      </bottom>
      <diagonal/>
    </border>
    <border>
      <left/>
      <right/>
      <top/>
      <bottom style="thick">
        <color rgb="FFFA4619"/>
      </bottom>
      <diagonal/>
    </border>
    <border>
      <left/>
      <right style="thick">
        <color rgb="FFFA4619"/>
      </right>
      <top/>
      <bottom style="thick">
        <color rgb="FFFA4619"/>
      </bottom>
      <diagonal/>
    </border>
    <border>
      <left style="thick">
        <color rgb="FF327D69"/>
      </left>
      <right/>
      <top style="thick">
        <color rgb="FF327D69"/>
      </top>
      <bottom/>
      <diagonal/>
    </border>
    <border>
      <left/>
      <right style="thick">
        <color rgb="FF327D69"/>
      </right>
      <top style="thick">
        <color rgb="FF327D69"/>
      </top>
      <bottom/>
      <diagonal/>
    </border>
    <border>
      <left style="thick">
        <color rgb="FF327D69"/>
      </left>
      <right/>
      <top/>
      <bottom/>
      <diagonal/>
    </border>
    <border>
      <left/>
      <right style="thick">
        <color rgb="FF327D69"/>
      </right>
      <top/>
      <bottom/>
      <diagonal/>
    </border>
    <border>
      <left style="thick">
        <color rgb="FF327D69"/>
      </left>
      <right/>
      <top/>
      <bottom style="thick">
        <color rgb="FF327D69"/>
      </bottom>
      <diagonal/>
    </border>
    <border>
      <left/>
      <right style="thick">
        <color rgb="FF327D69"/>
      </right>
      <top/>
      <bottom style="thick">
        <color rgb="FF327D69"/>
      </bottom>
      <diagonal/>
    </border>
    <border>
      <left style="thick">
        <color rgb="FF6666DD"/>
      </left>
      <right/>
      <top style="thick">
        <color rgb="FF6666DD"/>
      </top>
      <bottom/>
      <diagonal/>
    </border>
    <border>
      <left/>
      <right/>
      <top style="thick">
        <color rgb="FF6666DD"/>
      </top>
      <bottom/>
      <diagonal/>
    </border>
    <border>
      <left/>
      <right style="thick">
        <color rgb="FF6666DD"/>
      </right>
      <top style="thick">
        <color rgb="FF6666DD"/>
      </top>
      <bottom/>
      <diagonal/>
    </border>
    <border>
      <left style="thick">
        <color rgb="FF6666DD"/>
      </left>
      <right/>
      <top/>
      <bottom/>
      <diagonal/>
    </border>
    <border>
      <left/>
      <right style="thick">
        <color rgb="FF6666DD"/>
      </right>
      <top/>
      <bottom/>
      <diagonal/>
    </border>
    <border>
      <left style="thick">
        <color rgb="FF6666DD"/>
      </left>
      <right/>
      <top/>
      <bottom style="thick">
        <color rgb="FF6666DD"/>
      </bottom>
      <diagonal/>
    </border>
    <border>
      <left/>
      <right/>
      <top/>
      <bottom style="thick">
        <color rgb="FF6666DD"/>
      </bottom>
      <diagonal/>
    </border>
    <border>
      <left/>
      <right style="thick">
        <color rgb="FF6666DD"/>
      </right>
      <top/>
      <bottom style="thick">
        <color rgb="FF6666DD"/>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hair">
        <color theme="1" tint="0.499984740745262"/>
      </left>
      <right style="medium">
        <color theme="1" tint="0.499984740745262"/>
      </right>
      <top style="medium">
        <color theme="1" tint="0.499984740745262"/>
      </top>
      <bottom/>
      <diagonal/>
    </border>
    <border>
      <left style="hair">
        <color theme="1" tint="0.499984740745262"/>
      </left>
      <right style="medium">
        <color theme="1" tint="0.499984740745262"/>
      </right>
      <top/>
      <bottom style="medium">
        <color theme="1" tint="0.499984740745262"/>
      </bottom>
      <diagonal/>
    </border>
    <border>
      <left/>
      <right style="hair">
        <color indexed="64"/>
      </right>
      <top style="medium">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auto="1"/>
      </right>
      <top style="thin">
        <color indexed="64"/>
      </top>
      <bottom style="thin">
        <color indexed="64"/>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theme="1" tint="0.499984740745262"/>
      </left>
      <right style="hair">
        <color theme="1" tint="0.499984740745262"/>
      </right>
      <top style="medium">
        <color theme="1" tint="0.499984740745262"/>
      </top>
      <bottom/>
      <diagonal/>
    </border>
    <border>
      <left style="hair">
        <color theme="1" tint="0.499984740745262"/>
      </left>
      <right style="medium">
        <color theme="1" tint="0.499984740745262"/>
      </right>
      <top/>
      <bottom/>
      <diagonal/>
    </border>
    <border>
      <left style="medium">
        <color theme="1" tint="0.499984740745262"/>
      </left>
      <right style="hair">
        <color theme="1" tint="0.499984740745262"/>
      </right>
      <top style="medium">
        <color theme="1" tint="0.499984740745262"/>
      </top>
      <bottom/>
      <diagonal/>
    </border>
    <border>
      <left style="medium">
        <color theme="1" tint="0.499984740745262"/>
      </left>
      <right style="hair">
        <color theme="1" tint="0.499984740745262"/>
      </right>
      <top/>
      <bottom style="medium">
        <color theme="1" tint="0.499984740745262"/>
      </bottom>
      <diagonal/>
    </border>
    <border>
      <left style="hair">
        <color theme="1" tint="0.499984740745262"/>
      </left>
      <right style="medium">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thin">
        <color theme="1" tint="0.499984740745262"/>
      </top>
      <bottom style="medium">
        <color theme="1" tint="0.499984740745262"/>
      </bottom>
      <diagonal/>
    </border>
    <border>
      <left style="hair">
        <color theme="1" tint="0.499984740745262"/>
      </left>
      <right style="medium">
        <color theme="1" tint="0.499984740745262"/>
      </right>
      <top style="thin">
        <color theme="1" tint="0.499984740745262"/>
      </top>
      <bottom style="medium">
        <color theme="1" tint="0.499984740745262"/>
      </bottom>
      <diagonal/>
    </border>
    <border>
      <left style="thin">
        <color indexed="64"/>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style="thin">
        <color indexed="64"/>
      </bottom>
      <diagonal/>
    </border>
    <border>
      <left/>
      <right style="hair">
        <color theme="1" tint="0.499984740745262"/>
      </right>
      <top style="thin">
        <color indexed="64"/>
      </top>
      <bottom style="hair">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theme="1" tint="0.499984740745262"/>
      </left>
      <right style="hair">
        <color theme="1" tint="0.499984740745262"/>
      </right>
      <top/>
      <bottom/>
      <diagonal/>
    </border>
    <border>
      <left style="thin">
        <color theme="1" tint="0.499984740745262"/>
      </left>
      <right style="thin">
        <color theme="1" tint="0.499984740745262"/>
      </right>
      <top/>
      <bottom style="medium">
        <color theme="1" tint="0.499984740745262"/>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thick">
        <color indexed="64"/>
      </top>
      <bottom style="thick">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thin">
        <color indexed="64"/>
      </left>
      <right style="thin">
        <color indexed="64"/>
      </right>
      <top/>
      <bottom/>
      <diagonal/>
    </border>
    <border>
      <left style="thin">
        <color theme="0" tint="-0.499984740745262"/>
      </left>
      <right/>
      <top style="thin">
        <color theme="1" tint="0.499984740745262"/>
      </top>
      <bottom/>
      <diagonal/>
    </border>
    <border>
      <left/>
      <right style="hair">
        <color theme="1" tint="0.499984740745262"/>
      </right>
      <top style="hair">
        <color theme="1" tint="0.499984740745262"/>
      </top>
      <bottom style="medium">
        <color theme="1" tint="0.499984740745262"/>
      </bottom>
      <diagonal/>
    </border>
    <border>
      <left/>
      <right/>
      <top style="hair">
        <color theme="1" tint="0.499984740745262"/>
      </top>
      <bottom style="medium">
        <color theme="1" tint="0.499984740745262"/>
      </bottom>
      <diagonal/>
    </border>
    <border>
      <left style="hair">
        <color theme="1" tint="0.499984740745262"/>
      </left>
      <right/>
      <top style="hair">
        <color theme="1" tint="0.499984740745262"/>
      </top>
      <bottom style="medium">
        <color theme="1" tint="0.499984740745262"/>
      </bottom>
      <diagonal/>
    </border>
    <border>
      <left style="thick">
        <color rgb="FFF4A6DE"/>
      </left>
      <right/>
      <top style="thick">
        <color rgb="FFF4A6DE"/>
      </top>
      <bottom/>
      <diagonal/>
    </border>
    <border>
      <left/>
      <right/>
      <top style="thick">
        <color rgb="FFF4A6DE"/>
      </top>
      <bottom/>
      <diagonal/>
    </border>
    <border>
      <left/>
      <right style="thin">
        <color auto="1"/>
      </right>
      <top style="thick">
        <color rgb="FFF4A6DE"/>
      </top>
      <bottom/>
      <diagonal/>
    </border>
    <border>
      <left style="thin">
        <color auto="1"/>
      </left>
      <right style="thin">
        <color rgb="FFFF0000"/>
      </right>
      <top style="thick">
        <color rgb="FFF4A6DE"/>
      </top>
      <bottom/>
      <diagonal/>
    </border>
    <border>
      <left style="thin">
        <color rgb="FFFF0000"/>
      </left>
      <right style="thin">
        <color rgb="FFFF0000"/>
      </right>
      <top style="thick">
        <color rgb="FFF4A6DE"/>
      </top>
      <bottom/>
      <diagonal/>
    </border>
    <border>
      <left style="thin">
        <color rgb="FFFF0000"/>
      </left>
      <right style="thin">
        <color auto="1"/>
      </right>
      <top style="thick">
        <color rgb="FFF4A6DE"/>
      </top>
      <bottom/>
      <diagonal/>
    </border>
    <border>
      <left style="thin">
        <color auto="1"/>
      </left>
      <right/>
      <top style="thick">
        <color rgb="FFF4A6DE"/>
      </top>
      <bottom/>
      <diagonal/>
    </border>
    <border>
      <left/>
      <right style="thick">
        <color rgb="FFF4A6DE"/>
      </right>
      <top style="thick">
        <color rgb="FFF4A6DE"/>
      </top>
      <bottom/>
      <diagonal/>
    </border>
    <border>
      <left style="thick">
        <color rgb="FFF4A6DE"/>
      </left>
      <right/>
      <top/>
      <bottom style="thick">
        <color rgb="FFF4A6DE"/>
      </bottom>
      <diagonal/>
    </border>
    <border>
      <left/>
      <right/>
      <top/>
      <bottom style="thick">
        <color rgb="FFF4A6DE"/>
      </bottom>
      <diagonal/>
    </border>
    <border>
      <left/>
      <right style="thin">
        <color auto="1"/>
      </right>
      <top/>
      <bottom style="thick">
        <color rgb="FFF4A6DE"/>
      </bottom>
      <diagonal/>
    </border>
    <border>
      <left style="thin">
        <color auto="1"/>
      </left>
      <right style="thin">
        <color rgb="FFFF0000"/>
      </right>
      <top/>
      <bottom style="thick">
        <color rgb="FFF4A6DE"/>
      </bottom>
      <diagonal/>
    </border>
    <border>
      <left style="thin">
        <color rgb="FFFF0000"/>
      </left>
      <right style="thin">
        <color rgb="FFFF0000"/>
      </right>
      <top/>
      <bottom style="thick">
        <color rgb="FFF4A6DE"/>
      </bottom>
      <diagonal/>
    </border>
    <border>
      <left style="thin">
        <color rgb="FFFF0000"/>
      </left>
      <right style="thin">
        <color auto="1"/>
      </right>
      <top/>
      <bottom style="thick">
        <color rgb="FFF4A6DE"/>
      </bottom>
      <diagonal/>
    </border>
    <border>
      <left style="thin">
        <color auto="1"/>
      </left>
      <right/>
      <top/>
      <bottom style="thick">
        <color rgb="FFF4A6DE"/>
      </bottom>
      <diagonal/>
    </border>
    <border>
      <left/>
      <right style="thick">
        <color rgb="FFF4A6DE"/>
      </right>
      <top/>
      <bottom style="thick">
        <color rgb="FFF4A6DE"/>
      </bottom>
      <diagonal/>
    </border>
    <border>
      <left/>
      <right style="hair">
        <color indexed="64"/>
      </right>
      <top style="thick">
        <color rgb="FFF4A6DE"/>
      </top>
      <bottom/>
      <diagonal/>
    </border>
    <border>
      <left style="thick">
        <color rgb="FFF4A6DE"/>
      </left>
      <right/>
      <top/>
      <bottom style="thin">
        <color indexed="64"/>
      </bottom>
      <diagonal/>
    </border>
    <border>
      <left/>
      <right style="thick">
        <color rgb="FFF4A6DE"/>
      </right>
      <top/>
      <bottom style="thin">
        <color indexed="64"/>
      </bottom>
      <diagonal/>
    </border>
    <border>
      <left style="thick">
        <color rgb="FFF4A6DE"/>
      </left>
      <right/>
      <top style="thin">
        <color indexed="64"/>
      </top>
      <bottom style="hair">
        <color indexed="64"/>
      </bottom>
      <diagonal/>
    </border>
    <border>
      <left/>
      <right style="thick">
        <color rgb="FFF4A6DE"/>
      </right>
      <top style="thin">
        <color indexed="64"/>
      </top>
      <bottom style="hair">
        <color indexed="64"/>
      </bottom>
      <diagonal/>
    </border>
    <border>
      <left style="thick">
        <color rgb="FFF4A6DE"/>
      </left>
      <right/>
      <top style="hair">
        <color indexed="64"/>
      </top>
      <bottom/>
      <diagonal/>
    </border>
    <border>
      <left/>
      <right style="thick">
        <color rgb="FFF4A6DE"/>
      </right>
      <top style="hair">
        <color indexed="64"/>
      </top>
      <bottom/>
      <diagonal/>
    </border>
    <border>
      <left style="thick">
        <color rgb="FFF4A6DE"/>
      </left>
      <right/>
      <top style="thin">
        <color indexed="64"/>
      </top>
      <bottom/>
      <diagonal/>
    </border>
    <border>
      <left/>
      <right style="thick">
        <color rgb="FFF4A6DE"/>
      </right>
      <top style="thin">
        <color indexed="64"/>
      </top>
      <bottom/>
      <diagonal/>
    </border>
    <border>
      <left style="thick">
        <color rgb="FFF4A6DE"/>
      </left>
      <right/>
      <top/>
      <bottom/>
      <diagonal/>
    </border>
    <border>
      <left/>
      <right style="thick">
        <color rgb="FFF4A6DE"/>
      </right>
      <top style="thin">
        <color indexed="64"/>
      </top>
      <bottom style="hair">
        <color theme="1" tint="0.499984740745262"/>
      </bottom>
      <diagonal/>
    </border>
    <border>
      <left/>
      <right style="thick">
        <color rgb="FFF4A6DE"/>
      </right>
      <top style="hair">
        <color theme="1" tint="0.499984740745262"/>
      </top>
      <bottom/>
      <diagonal/>
    </border>
    <border>
      <left/>
      <right style="thick">
        <color rgb="FFF4A6DE"/>
      </right>
      <top/>
      <bottom/>
      <diagonal/>
    </border>
    <border>
      <left style="thick">
        <color rgb="FFF4A6DE"/>
      </left>
      <right style="hair">
        <color indexed="64"/>
      </right>
      <top style="thick">
        <color rgb="FFF4A6DE"/>
      </top>
      <bottom style="hair">
        <color indexed="64"/>
      </bottom>
      <diagonal/>
    </border>
    <border>
      <left style="hair">
        <color indexed="64"/>
      </left>
      <right style="hair">
        <color indexed="64"/>
      </right>
      <top style="thick">
        <color rgb="FFF4A6DE"/>
      </top>
      <bottom style="hair">
        <color indexed="64"/>
      </bottom>
      <diagonal/>
    </border>
    <border>
      <left style="hair">
        <color indexed="64"/>
      </left>
      <right style="medium">
        <color indexed="64"/>
      </right>
      <top style="thick">
        <color rgb="FFF4A6DE"/>
      </top>
      <bottom style="hair">
        <color indexed="64"/>
      </bottom>
      <diagonal/>
    </border>
    <border>
      <left style="medium">
        <color indexed="64"/>
      </left>
      <right/>
      <top style="thick">
        <color rgb="FFF4A6DE"/>
      </top>
      <bottom/>
      <diagonal/>
    </border>
    <border>
      <left style="thick">
        <color rgb="FFF4A6DE"/>
      </left>
      <right style="hair">
        <color indexed="64"/>
      </right>
      <top style="hair">
        <color indexed="64"/>
      </top>
      <bottom style="hair">
        <color indexed="64"/>
      </bottom>
      <diagonal/>
    </border>
    <border>
      <left style="thick">
        <color rgb="FFF4A6DE"/>
      </left>
      <right/>
      <top/>
      <bottom style="medium">
        <color indexed="64"/>
      </bottom>
      <diagonal/>
    </border>
    <border>
      <left/>
      <right style="thick">
        <color rgb="FFF4A6DE"/>
      </right>
      <top/>
      <bottom style="medium">
        <color indexed="64"/>
      </bottom>
      <diagonal/>
    </border>
    <border>
      <left style="thick">
        <color rgb="FFF4A6DE"/>
      </left>
      <right/>
      <top style="medium">
        <color indexed="64"/>
      </top>
      <bottom/>
      <diagonal/>
    </border>
    <border>
      <left style="thick">
        <color rgb="FFF4A6DE"/>
      </left>
      <right style="hair">
        <color indexed="64"/>
      </right>
      <top style="thin">
        <color indexed="64"/>
      </top>
      <bottom style="thin">
        <color indexed="64"/>
      </bottom>
      <diagonal/>
    </border>
    <border>
      <left style="thick">
        <color rgb="FFF4A6DE"/>
      </left>
      <right style="hair">
        <color indexed="64"/>
      </right>
      <top style="thin">
        <color indexed="64"/>
      </top>
      <bottom style="thick">
        <color rgb="FFF4A6DE"/>
      </bottom>
      <diagonal/>
    </border>
    <border>
      <left style="hair">
        <color indexed="64"/>
      </left>
      <right style="hair">
        <color indexed="64"/>
      </right>
      <top style="thin">
        <color indexed="64"/>
      </top>
      <bottom style="thick">
        <color rgb="FFF4A6DE"/>
      </bottom>
      <diagonal/>
    </border>
    <border>
      <left style="hair">
        <color indexed="64"/>
      </left>
      <right style="medium">
        <color indexed="64"/>
      </right>
      <top style="thin">
        <color indexed="64"/>
      </top>
      <bottom style="thick">
        <color rgb="FFF4A6DE"/>
      </bottom>
      <diagonal/>
    </border>
    <border>
      <left style="medium">
        <color indexed="64"/>
      </left>
      <right/>
      <top/>
      <bottom style="thick">
        <color rgb="FFF4A6DE"/>
      </bottom>
      <diagonal/>
    </border>
    <border>
      <left style="hair">
        <color indexed="64"/>
      </left>
      <right style="thick">
        <color rgb="FFF4A6DE"/>
      </right>
      <top style="thin">
        <color indexed="64"/>
      </top>
      <bottom style="thin">
        <color indexed="64"/>
      </bottom>
      <diagonal/>
    </border>
    <border>
      <left/>
      <right style="thick">
        <color rgb="FFF4A6DE"/>
      </right>
      <top style="thin">
        <color indexed="64"/>
      </top>
      <bottom style="thin">
        <color indexed="64"/>
      </bottom>
      <diagonal/>
    </border>
    <border>
      <left/>
      <right style="thick">
        <color rgb="FFF4A6DE"/>
      </right>
      <top style="thin">
        <color indexed="64"/>
      </top>
      <bottom style="medium">
        <color indexed="64"/>
      </bottom>
      <diagonal/>
    </border>
    <border>
      <left/>
      <right style="thick">
        <color rgb="FFF4A6DE"/>
      </right>
      <top style="medium">
        <color indexed="64"/>
      </top>
      <bottom/>
      <diagonal/>
    </border>
    <border>
      <left style="thick">
        <color rgb="FFF4A6DE"/>
      </left>
      <right/>
      <top style="thin">
        <color indexed="64"/>
      </top>
      <bottom style="thin">
        <color indexed="64"/>
      </bottom>
      <diagonal/>
    </border>
    <border>
      <left/>
      <right style="thin">
        <color theme="1" tint="0.499984740745262"/>
      </right>
      <top style="thick">
        <color rgb="FFF4A6DE"/>
      </top>
      <bottom/>
      <diagonal/>
    </border>
    <border>
      <left style="thin">
        <color theme="1" tint="0.499984740745262"/>
      </left>
      <right/>
      <top style="thick">
        <color rgb="FFF4A6DE"/>
      </top>
      <bottom/>
      <diagonal/>
    </border>
    <border>
      <left/>
      <right style="thin">
        <color theme="1" tint="0.499984740745262"/>
      </right>
      <top/>
      <bottom style="thick">
        <color rgb="FFF4A6DE"/>
      </bottom>
      <diagonal/>
    </border>
    <border>
      <left style="thin">
        <color theme="1" tint="0.499984740745262"/>
      </left>
      <right/>
      <top/>
      <bottom style="thick">
        <color rgb="FFF4A6DE"/>
      </bottom>
      <diagonal/>
    </border>
    <border>
      <left style="thick">
        <color theme="7"/>
      </left>
      <right/>
      <top style="thick">
        <color theme="7"/>
      </top>
      <bottom/>
      <diagonal/>
    </border>
    <border>
      <left/>
      <right/>
      <top style="thick">
        <color theme="7"/>
      </top>
      <bottom/>
      <diagonal/>
    </border>
    <border>
      <left/>
      <right style="medium">
        <color theme="1" tint="0.499984740745262"/>
      </right>
      <top style="thick">
        <color theme="7"/>
      </top>
      <bottom/>
      <diagonal/>
    </border>
    <border>
      <left style="hair">
        <color theme="1" tint="0.499984740745262"/>
      </left>
      <right/>
      <top style="thick">
        <color theme="7"/>
      </top>
      <bottom/>
      <diagonal/>
    </border>
    <border>
      <left style="thin">
        <color theme="1" tint="0.499984740745262"/>
      </left>
      <right/>
      <top style="thick">
        <color theme="7"/>
      </top>
      <bottom/>
      <diagonal/>
    </border>
    <border>
      <left/>
      <right style="thin">
        <color theme="1" tint="0.499984740745262"/>
      </right>
      <top style="thick">
        <color theme="7"/>
      </top>
      <bottom/>
      <diagonal/>
    </border>
    <border>
      <left/>
      <right style="thick">
        <color theme="7"/>
      </right>
      <top style="thick">
        <color theme="7"/>
      </top>
      <bottom/>
      <diagonal/>
    </border>
    <border>
      <left style="thick">
        <color theme="7"/>
      </left>
      <right/>
      <top/>
      <bottom style="thick">
        <color theme="7"/>
      </bottom>
      <diagonal/>
    </border>
    <border>
      <left/>
      <right/>
      <top/>
      <bottom style="thick">
        <color theme="7"/>
      </bottom>
      <diagonal/>
    </border>
    <border>
      <left/>
      <right style="medium">
        <color theme="1" tint="0.499984740745262"/>
      </right>
      <top/>
      <bottom style="thick">
        <color theme="7"/>
      </bottom>
      <diagonal/>
    </border>
    <border>
      <left style="hair">
        <color theme="1" tint="0.499984740745262"/>
      </left>
      <right/>
      <top/>
      <bottom style="thick">
        <color theme="7"/>
      </bottom>
      <diagonal/>
    </border>
    <border>
      <left style="thin">
        <color theme="1" tint="0.499984740745262"/>
      </left>
      <right/>
      <top/>
      <bottom style="thick">
        <color theme="7"/>
      </bottom>
      <diagonal/>
    </border>
    <border>
      <left/>
      <right style="thin">
        <color theme="1" tint="0.499984740745262"/>
      </right>
      <top/>
      <bottom style="thick">
        <color theme="7"/>
      </bottom>
      <diagonal/>
    </border>
    <border>
      <left/>
      <right style="thick">
        <color theme="7"/>
      </right>
      <top/>
      <bottom style="thick">
        <color theme="7"/>
      </bottom>
      <diagonal/>
    </border>
    <border>
      <left style="hair">
        <color indexed="64"/>
      </left>
      <right style="thick">
        <color rgb="FFF4A6DE"/>
      </right>
      <top/>
      <bottom style="thin">
        <color indexed="64"/>
      </bottom>
      <diagonal/>
    </border>
    <border>
      <left/>
      <right style="thick">
        <color rgb="FFF4A6DE"/>
      </right>
      <top style="hair">
        <color indexed="64"/>
      </top>
      <bottom style="hair">
        <color indexed="64"/>
      </bottom>
      <diagonal/>
    </border>
    <border>
      <left/>
      <right style="thick">
        <color rgb="FFF4A6DE"/>
      </right>
      <top style="hair">
        <color indexed="64"/>
      </top>
      <bottom style="thin">
        <color indexed="64"/>
      </bottom>
      <diagonal/>
    </border>
    <border>
      <left style="thick">
        <color rgb="FFF4A6DE"/>
      </left>
      <right style="hair">
        <color indexed="64"/>
      </right>
      <top style="hair">
        <color indexed="64"/>
      </top>
      <bottom style="medium">
        <color indexed="64"/>
      </bottom>
      <diagonal/>
    </border>
    <border>
      <left/>
      <right style="hair">
        <color indexed="64"/>
      </right>
      <top/>
      <bottom style="thick">
        <color rgb="FFF4A6DE"/>
      </bottom>
      <diagonal/>
    </border>
    <border>
      <left style="thick">
        <color rgb="FFF4A6DE"/>
      </left>
      <right/>
      <top style="thick">
        <color rgb="FFF4A6DE"/>
      </top>
      <bottom style="thin">
        <color theme="1" tint="0.499984740745262"/>
      </bottom>
      <diagonal/>
    </border>
    <border>
      <left/>
      <right/>
      <top style="thick">
        <color rgb="FFF4A6DE"/>
      </top>
      <bottom style="thin">
        <color theme="1" tint="0.499984740745262"/>
      </bottom>
      <diagonal/>
    </border>
    <border>
      <left/>
      <right style="hair">
        <color theme="1" tint="0.499984740745262"/>
      </right>
      <top style="thick">
        <color rgb="FFF4A6DE"/>
      </top>
      <bottom style="thin">
        <color theme="1" tint="0.499984740745262"/>
      </bottom>
      <diagonal/>
    </border>
    <border>
      <left/>
      <right style="thick">
        <color rgb="FFF4A6DE"/>
      </right>
      <top style="thick">
        <color rgb="FFF4A6DE"/>
      </top>
      <bottom style="thin">
        <color theme="1" tint="0.499984740745262"/>
      </bottom>
      <diagonal/>
    </border>
    <border>
      <left style="thick">
        <color rgb="FFF4A6DE"/>
      </left>
      <right/>
      <top style="thin">
        <color theme="1" tint="0.499984740745262"/>
      </top>
      <bottom style="thin">
        <color theme="1" tint="0.499984740745262"/>
      </bottom>
      <diagonal/>
    </border>
    <border>
      <left/>
      <right style="thick">
        <color rgb="FFF4A6DE"/>
      </right>
      <top style="thin">
        <color theme="1" tint="0.499984740745262"/>
      </top>
      <bottom style="thin">
        <color theme="1" tint="0.499984740745262"/>
      </bottom>
      <diagonal/>
    </border>
    <border>
      <left/>
      <right/>
      <top style="thin">
        <color theme="1" tint="0.499984740745262"/>
      </top>
      <bottom style="thick">
        <color rgb="FFF4A6DE"/>
      </bottom>
      <diagonal/>
    </border>
    <border>
      <left/>
      <right style="thick">
        <color rgb="FFF4A6DE"/>
      </right>
      <top style="thin">
        <color theme="1" tint="0.499984740745262"/>
      </top>
      <bottom style="thick">
        <color rgb="FFF4A6DE"/>
      </bottom>
      <diagonal/>
    </border>
    <border>
      <left style="thick">
        <color rgb="FFF4A6DE"/>
      </left>
      <right/>
      <top style="thin">
        <color theme="1" tint="0.499984740745262"/>
      </top>
      <bottom/>
      <diagonal/>
    </border>
    <border>
      <left/>
      <right style="thick">
        <color rgb="FFF4A6DE"/>
      </right>
      <top style="thin">
        <color theme="1" tint="0.499984740745262"/>
      </top>
      <bottom/>
      <diagonal/>
    </border>
    <border>
      <left style="thick">
        <color rgb="FFF4A6DE"/>
      </left>
      <right style="thin">
        <color theme="1" tint="0.499984740745262"/>
      </right>
      <top style="thick">
        <color rgb="FFF4A6DE"/>
      </top>
      <bottom style="thin">
        <color theme="1" tint="0.499984740745262"/>
      </bottom>
      <diagonal/>
    </border>
    <border>
      <left style="thin">
        <color theme="1" tint="0.499984740745262"/>
      </left>
      <right style="thin">
        <color theme="1" tint="0.499984740745262"/>
      </right>
      <top style="thick">
        <color rgb="FFF4A6DE"/>
      </top>
      <bottom style="thin">
        <color theme="1" tint="0.499984740745262"/>
      </bottom>
      <diagonal/>
    </border>
    <border>
      <left style="thin">
        <color theme="1" tint="0.499984740745262"/>
      </left>
      <right style="hair">
        <color theme="1" tint="0.499984740745262"/>
      </right>
      <top style="thick">
        <color rgb="FFF4A6DE"/>
      </top>
      <bottom style="thin">
        <color theme="1" tint="0.499984740745262"/>
      </bottom>
      <diagonal/>
    </border>
    <border>
      <left style="hair">
        <color theme="1" tint="0.499984740745262"/>
      </left>
      <right/>
      <top style="thick">
        <color rgb="FFF4A6DE"/>
      </top>
      <bottom style="thin">
        <color theme="1" tint="0.499984740745262"/>
      </bottom>
      <diagonal/>
    </border>
    <border>
      <left style="thick">
        <color rgb="FFF4A6DE"/>
      </left>
      <right style="thin">
        <color theme="1" tint="0.499984740745262"/>
      </right>
      <top style="thin">
        <color theme="1" tint="0.499984740745262"/>
      </top>
      <bottom style="thin">
        <color theme="1" tint="0.499984740745262"/>
      </bottom>
      <diagonal/>
    </border>
    <border>
      <left style="thick">
        <color rgb="FFF4A6DE"/>
      </left>
      <right style="thin">
        <color theme="1" tint="0.499984740745262"/>
      </right>
      <top style="thin">
        <color theme="1" tint="0.499984740745262"/>
      </top>
      <bottom style="thick">
        <color rgb="FFF4A6DE"/>
      </bottom>
      <diagonal/>
    </border>
    <border>
      <left style="thin">
        <color theme="1" tint="0.499984740745262"/>
      </left>
      <right style="thin">
        <color theme="1" tint="0.499984740745262"/>
      </right>
      <top style="thin">
        <color theme="1" tint="0.499984740745262"/>
      </top>
      <bottom style="thick">
        <color rgb="FFF4A6DE"/>
      </bottom>
      <diagonal/>
    </border>
    <border>
      <left style="thin">
        <color theme="1" tint="0.499984740745262"/>
      </left>
      <right style="hair">
        <color theme="1" tint="0.499984740745262"/>
      </right>
      <top style="thin">
        <color theme="1" tint="0.499984740745262"/>
      </top>
      <bottom style="thick">
        <color rgb="FFF4A6DE"/>
      </bottom>
      <diagonal/>
    </border>
    <border>
      <left style="hair">
        <color theme="1" tint="0.499984740745262"/>
      </left>
      <right/>
      <top style="thin">
        <color theme="1" tint="0.499984740745262"/>
      </top>
      <bottom style="thick">
        <color rgb="FFF4A6DE"/>
      </bottom>
      <diagonal/>
    </border>
    <border>
      <left style="thick">
        <color rgb="FFF4A6DE"/>
      </left>
      <right style="hair">
        <color theme="1" tint="0.499984740745262"/>
      </right>
      <top style="thick">
        <color rgb="FFF4A6DE"/>
      </top>
      <bottom style="thin">
        <color theme="1" tint="0.499984740745262"/>
      </bottom>
      <diagonal/>
    </border>
    <border>
      <left style="hair">
        <color theme="1" tint="0.499984740745262"/>
      </left>
      <right style="hair">
        <color theme="1" tint="0.499984740745262"/>
      </right>
      <top style="thick">
        <color rgb="FFF4A6DE"/>
      </top>
      <bottom style="thin">
        <color theme="1" tint="0.499984740745262"/>
      </bottom>
      <diagonal/>
    </border>
    <border>
      <left style="hair">
        <color theme="1" tint="0.499984740745262"/>
      </left>
      <right/>
      <top style="thick">
        <color rgb="FFF4A6DE"/>
      </top>
      <bottom/>
      <diagonal/>
    </border>
    <border>
      <left style="thin">
        <color theme="1" tint="0.499984740745262"/>
      </left>
      <right/>
      <top style="thick">
        <color rgb="FFF4A6DE"/>
      </top>
      <bottom style="thin">
        <color theme="1" tint="0.499984740745262"/>
      </bottom>
      <diagonal/>
    </border>
    <border>
      <left style="thick">
        <color rgb="FFF4A6DE"/>
      </left>
      <right style="hair">
        <color theme="1" tint="0.499984740745262"/>
      </right>
      <top style="thin">
        <color theme="1" tint="0.499984740745262"/>
      </top>
      <bottom style="thin">
        <color theme="1" tint="0.499984740745262"/>
      </bottom>
      <diagonal/>
    </border>
    <border>
      <left style="thick">
        <color rgb="FFF4A6DE"/>
      </left>
      <right/>
      <top/>
      <bottom style="medium">
        <color theme="1" tint="0.499984740745262"/>
      </bottom>
      <diagonal/>
    </border>
    <border>
      <left/>
      <right style="thick">
        <color rgb="FFF4A6DE"/>
      </right>
      <top/>
      <bottom style="thin">
        <color theme="1" tint="0.499984740745262"/>
      </bottom>
      <diagonal/>
    </border>
    <border>
      <left style="hair">
        <color theme="1" tint="0.499984740745262"/>
      </left>
      <right/>
      <top/>
      <bottom style="thick">
        <color rgb="FFF4A6DE"/>
      </bottom>
      <diagonal/>
    </border>
    <border>
      <left/>
      <right style="thick">
        <color rgb="FFF4A6DE"/>
      </right>
      <top/>
      <bottom style="medium">
        <color theme="1" tint="0.499984740745262"/>
      </bottom>
      <diagonal/>
    </border>
    <border>
      <left style="thick">
        <color rgb="FFF4A6DE"/>
      </left>
      <right style="thin">
        <color theme="1" tint="0.499984740745262"/>
      </right>
      <top style="medium">
        <color theme="1" tint="0.499984740745262"/>
      </top>
      <bottom style="thin">
        <color theme="1" tint="0.499984740745262"/>
      </bottom>
      <diagonal/>
    </border>
    <border>
      <left/>
      <right style="thick">
        <color rgb="FFF4A6DE"/>
      </right>
      <top style="medium">
        <color theme="1" tint="0.499984740745262"/>
      </top>
      <bottom style="thin">
        <color theme="1" tint="0.499984740745262"/>
      </bottom>
      <diagonal/>
    </border>
    <border>
      <left/>
      <right style="thin">
        <color theme="1" tint="0.499984740745262"/>
      </right>
      <top style="thick">
        <color rgb="FFF4A6DE"/>
      </top>
      <bottom style="thin">
        <color theme="1" tint="0.499984740745262"/>
      </bottom>
      <diagonal/>
    </border>
    <border>
      <left style="hair">
        <color theme="1" tint="0.499984740745262"/>
      </left>
      <right style="thin">
        <color theme="1" tint="0.499984740745262"/>
      </right>
      <top style="thick">
        <color rgb="FFF4A6DE"/>
      </top>
      <bottom style="thin">
        <color theme="1" tint="0.499984740745262"/>
      </bottom>
      <diagonal/>
    </border>
    <border>
      <left style="thick">
        <color rgb="FFF4A6DE"/>
      </left>
      <right style="thin">
        <color indexed="64"/>
      </right>
      <top style="medium">
        <color indexed="64"/>
      </top>
      <bottom style="thin">
        <color indexed="64"/>
      </bottom>
      <diagonal/>
    </border>
    <border>
      <left style="thick">
        <color rgb="FFF4A6DE"/>
      </left>
      <right style="thin">
        <color indexed="64"/>
      </right>
      <top/>
      <bottom style="thin">
        <color indexed="64"/>
      </bottom>
      <diagonal/>
    </border>
    <border>
      <left style="thick">
        <color rgb="FFF4A6DE"/>
      </left>
      <right style="thin">
        <color indexed="64"/>
      </right>
      <top style="thin">
        <color indexed="64"/>
      </top>
      <bottom style="thin">
        <color indexed="64"/>
      </bottom>
      <diagonal/>
    </border>
    <border>
      <left style="thick">
        <color rgb="FFF4A6DE"/>
      </left>
      <right style="thin">
        <color indexed="64"/>
      </right>
      <top style="thin">
        <color indexed="64"/>
      </top>
      <bottom style="double">
        <color indexed="64"/>
      </bottom>
      <diagonal/>
    </border>
    <border>
      <left/>
      <right style="thick">
        <color rgb="FFF4A6DE"/>
      </right>
      <top/>
      <bottom style="double">
        <color indexed="64"/>
      </bottom>
      <diagonal/>
    </border>
    <border>
      <left/>
      <right style="thick">
        <color rgb="FFF4A6DE"/>
      </right>
      <top style="double">
        <color indexed="64"/>
      </top>
      <bottom/>
      <diagonal/>
    </border>
    <border>
      <left style="thick">
        <color rgb="FFF4A6DE"/>
      </left>
      <right style="thin">
        <color indexed="64"/>
      </right>
      <top style="thin">
        <color indexed="64"/>
      </top>
      <bottom style="thick">
        <color rgb="FFF4A6DE"/>
      </bottom>
      <diagonal/>
    </border>
    <border>
      <left style="thin">
        <color indexed="64"/>
      </left>
      <right style="thin">
        <color indexed="64"/>
      </right>
      <top style="thin">
        <color indexed="64"/>
      </top>
      <bottom style="thick">
        <color rgb="FFF4A6DE"/>
      </bottom>
      <diagonal/>
    </border>
    <border>
      <left style="thin">
        <color indexed="64"/>
      </left>
      <right/>
      <top style="thin">
        <color indexed="64"/>
      </top>
      <bottom style="thick">
        <color rgb="FFF4A6DE"/>
      </bottom>
      <diagonal/>
    </border>
    <border>
      <left/>
      <right/>
      <top style="thin">
        <color indexed="64"/>
      </top>
      <bottom style="thick">
        <color rgb="FFF4A6DE"/>
      </bottom>
      <diagonal/>
    </border>
    <border>
      <left/>
      <right style="thin">
        <color indexed="64"/>
      </right>
      <top style="thin">
        <color indexed="64"/>
      </top>
      <bottom style="thick">
        <color rgb="FFF4A6DE"/>
      </bottom>
      <diagonal/>
    </border>
    <border>
      <left/>
      <right style="thick">
        <color rgb="FFF4A6DE"/>
      </right>
      <top/>
      <bottom style="hair">
        <color indexed="64"/>
      </bottom>
      <diagonal/>
    </border>
    <border>
      <left/>
      <right style="hair">
        <color indexed="64"/>
      </right>
      <top style="thin">
        <color indexed="64"/>
      </top>
      <bottom style="thick">
        <color rgb="FFF4A6DE"/>
      </bottom>
      <diagonal/>
    </border>
    <border>
      <left style="hair">
        <color indexed="64"/>
      </left>
      <right/>
      <top style="thin">
        <color indexed="64"/>
      </top>
      <bottom style="thick">
        <color rgb="FFF4A6DE"/>
      </bottom>
      <diagonal/>
    </border>
    <border>
      <left style="hair">
        <color indexed="64"/>
      </left>
      <right/>
      <top/>
      <bottom style="thick">
        <color rgb="FFF4A6DE"/>
      </bottom>
      <diagonal/>
    </border>
    <border>
      <left style="thick">
        <color rgb="FFF4A6DE"/>
      </left>
      <right/>
      <top style="double">
        <color indexed="64"/>
      </top>
      <bottom/>
      <diagonal/>
    </border>
    <border>
      <left style="thick">
        <color rgb="FFF4A6DE"/>
      </left>
      <right style="thin">
        <color indexed="64"/>
      </right>
      <top style="thin">
        <color indexed="64"/>
      </top>
      <bottom/>
      <diagonal/>
    </border>
    <border>
      <left style="hair">
        <color indexed="64"/>
      </left>
      <right style="thin">
        <color indexed="64"/>
      </right>
      <top style="hair">
        <color indexed="64"/>
      </top>
      <bottom/>
      <diagonal/>
    </border>
    <border>
      <left/>
      <right/>
      <top/>
      <bottom style="thick">
        <color indexed="64"/>
      </bottom>
      <diagonal/>
    </border>
    <border>
      <left style="thin">
        <color auto="1"/>
      </left>
      <right style="thin">
        <color indexed="64"/>
      </right>
      <top style="thin">
        <color theme="1"/>
      </top>
      <bottom/>
      <diagonal/>
    </border>
    <border>
      <left style="thin">
        <color auto="1"/>
      </left>
      <right style="thin">
        <color indexed="64"/>
      </right>
      <top style="thin">
        <color theme="1"/>
      </top>
      <bottom style="thin">
        <color indexed="64"/>
      </bottom>
      <diagonal/>
    </border>
    <border>
      <left style="thick">
        <color rgb="FFF4A6DE"/>
      </left>
      <right/>
      <top style="medium">
        <color theme="1" tint="0.499984740745262"/>
      </top>
      <bottom/>
      <diagonal/>
    </border>
    <border>
      <left style="thick">
        <color rgb="FFF4A6DE"/>
      </left>
      <right/>
      <top style="thin">
        <color theme="0" tint="-0.499984740745262"/>
      </top>
      <bottom/>
      <diagonal/>
    </border>
    <border>
      <left/>
      <right style="medium">
        <color theme="1" tint="0.499984740745262"/>
      </right>
      <top style="thin">
        <color theme="0" tint="-0.499984740745262"/>
      </top>
      <bottom/>
      <diagonal/>
    </border>
    <border>
      <left style="thick">
        <color rgb="FFF4A6DE"/>
      </left>
      <right/>
      <top/>
      <bottom style="thin">
        <color theme="1" tint="0.499984740745262"/>
      </bottom>
      <diagonal/>
    </border>
    <border>
      <left style="medium">
        <color rgb="FFF4A6DE"/>
      </left>
      <right/>
      <top style="medium">
        <color rgb="FFF4A6DE"/>
      </top>
      <bottom/>
      <diagonal/>
    </border>
    <border>
      <left/>
      <right/>
      <top style="medium">
        <color rgb="FFF4A6DE"/>
      </top>
      <bottom/>
      <diagonal/>
    </border>
    <border>
      <left/>
      <right style="medium">
        <color rgb="FFF4A6DE"/>
      </right>
      <top style="medium">
        <color rgb="FFF4A6DE"/>
      </top>
      <bottom/>
      <diagonal/>
    </border>
    <border>
      <left style="medium">
        <color rgb="FFF4A6DE"/>
      </left>
      <right/>
      <top/>
      <bottom/>
      <diagonal/>
    </border>
    <border>
      <left/>
      <right style="medium">
        <color rgb="FFF4A6DE"/>
      </right>
      <top/>
      <bottom/>
      <diagonal/>
    </border>
    <border>
      <left style="medium">
        <color rgb="FFF4A6DE"/>
      </left>
      <right/>
      <top/>
      <bottom style="medium">
        <color rgb="FFF4A6DE"/>
      </bottom>
      <diagonal/>
    </border>
    <border>
      <left/>
      <right/>
      <top/>
      <bottom style="medium">
        <color rgb="FFF4A6DE"/>
      </bottom>
      <diagonal/>
    </border>
    <border>
      <left/>
      <right style="medium">
        <color rgb="FFF4A6DE"/>
      </right>
      <top/>
      <bottom style="medium">
        <color rgb="FFF4A6DE"/>
      </bottom>
      <diagonal/>
    </border>
    <border>
      <left/>
      <right style="thin">
        <color theme="0" tint="-0.499984740745262"/>
      </right>
      <top style="thin">
        <color theme="1" tint="0.499984740745262"/>
      </top>
      <bottom style="thin">
        <color theme="1" tint="0.499984740745262"/>
      </bottom>
      <diagonal/>
    </border>
    <border>
      <left style="thin">
        <color theme="0" tint="-0.499984740745262"/>
      </left>
      <right style="hair">
        <color theme="0" tint="-0.499984740745262"/>
      </right>
      <top style="thin">
        <color theme="1" tint="0.499984740745262"/>
      </top>
      <bottom style="thin">
        <color theme="1" tint="0.499984740745262"/>
      </bottom>
      <diagonal/>
    </border>
    <border>
      <left style="hair">
        <color theme="0" tint="-0.499984740745262"/>
      </left>
      <right style="hair">
        <color theme="0" tint="-0.499984740745262"/>
      </right>
      <top style="thin">
        <color theme="1" tint="0.499984740745262"/>
      </top>
      <bottom style="thin">
        <color theme="1" tint="0.499984740745262"/>
      </bottom>
      <diagonal/>
    </border>
    <border>
      <left style="hair">
        <color theme="0" tint="-0.499984740745262"/>
      </left>
      <right/>
      <top style="thin">
        <color theme="1" tint="0.499984740745262"/>
      </top>
      <bottom/>
      <diagonal/>
    </border>
    <border>
      <left style="hair">
        <color theme="0" tint="-0.499984740745262"/>
      </left>
      <right/>
      <top/>
      <bottom/>
      <diagonal/>
    </border>
    <border>
      <left style="thin">
        <color theme="0" tint="-0.499984740745262"/>
      </left>
      <right/>
      <top style="thin">
        <color theme="1" tint="0.499984740745262"/>
      </top>
      <bottom style="thin">
        <color theme="1" tint="0.499984740745262"/>
      </bottom>
      <diagonal/>
    </border>
    <border>
      <left style="thin">
        <color theme="0" tint="-0.499984740745262"/>
      </left>
      <right/>
      <top style="thick">
        <color rgb="FFF4A6DE"/>
      </top>
      <bottom style="thin">
        <color theme="1" tint="0.499984740745262"/>
      </bottom>
      <diagonal/>
    </border>
    <border>
      <left style="thick">
        <color rgb="FFF4A6DE"/>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1" tint="0.499984740745262"/>
      </left>
      <right style="thin">
        <color theme="1" tint="0.499984740745262"/>
      </right>
      <top style="thin">
        <color theme="0" tint="-0.499984740745262"/>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hair">
        <color theme="1" tint="0.499984740745262"/>
      </left>
      <right style="thin">
        <color theme="1" tint="0.499984740745262"/>
      </right>
      <top style="thin">
        <color theme="0" tint="-0.499984740745262"/>
      </top>
      <bottom style="thin">
        <color theme="0" tint="-0.499984740745262"/>
      </bottom>
      <diagonal/>
    </border>
    <border>
      <left style="hair">
        <color theme="1" tint="0.499984740745262"/>
      </left>
      <right/>
      <top style="thin">
        <color theme="0" tint="-0.499984740745262"/>
      </top>
      <bottom style="thin">
        <color theme="0" tint="-0.499984740745262"/>
      </bottom>
      <diagonal/>
    </border>
    <border>
      <left style="thick">
        <color rgb="FFF4A6DE"/>
      </left>
      <right style="hair">
        <color theme="1" tint="0.499984740745262"/>
      </right>
      <top style="thin">
        <color theme="0" tint="-0.499984740745262"/>
      </top>
      <bottom style="thin">
        <color theme="0" tint="-0.499984740745262"/>
      </bottom>
      <diagonal/>
    </border>
    <border>
      <left style="hair">
        <color theme="1" tint="0.499984740745262"/>
      </left>
      <right style="hair">
        <color theme="1" tint="0.499984740745262"/>
      </right>
      <top style="thin">
        <color theme="0" tint="-0.499984740745262"/>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1" tint="0.499984740745262"/>
      </left>
      <right style="hair">
        <color theme="1" tint="0.499984740745262"/>
      </right>
      <top style="thin">
        <color theme="0" tint="-0.499984740745262"/>
      </top>
      <bottom style="thin">
        <color theme="0" tint="-0.499984740745262"/>
      </bottom>
      <diagonal/>
    </border>
    <border>
      <left/>
      <right style="hair">
        <color theme="1" tint="0.499984740745262"/>
      </right>
      <top style="thin">
        <color theme="0" tint="-0.499984740745262"/>
      </top>
      <bottom style="thin">
        <color theme="0" tint="-0.499984740745262"/>
      </bottom>
      <diagonal/>
    </border>
    <border>
      <left style="medium">
        <color theme="1" tint="0.499984740745262"/>
      </left>
      <right/>
      <top style="medium">
        <color theme="1" tint="0.499984740745262"/>
      </top>
      <bottom style="hair">
        <color theme="1" tint="0.499984740745262"/>
      </bottom>
      <diagonal/>
    </border>
    <border>
      <left/>
      <right/>
      <top style="medium">
        <color theme="1" tint="0.499984740745262"/>
      </top>
      <bottom style="hair">
        <color theme="1" tint="0.499984740745262"/>
      </bottom>
      <diagonal/>
    </border>
    <border>
      <left style="medium">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bottom/>
      <diagonal/>
    </border>
    <border>
      <left style="thin">
        <color theme="1" tint="0.499984740745262"/>
      </left>
      <right style="hair">
        <color theme="1" tint="0.499984740745262"/>
      </right>
      <top style="thin">
        <color theme="1" tint="0.499984740745262"/>
      </top>
      <bottom/>
      <diagonal/>
    </border>
    <border>
      <left style="thick">
        <color theme="1" tint="0.499984740745262"/>
      </left>
      <right/>
      <top/>
      <bottom/>
      <diagonal/>
    </border>
    <border>
      <left style="thick">
        <color theme="1" tint="0.499984740745262"/>
      </left>
      <right/>
      <top/>
      <bottom style="medium">
        <color theme="1" tint="0.499984740745262"/>
      </bottom>
      <diagonal/>
    </border>
    <border>
      <left style="hair">
        <color theme="1" tint="0.499984740745262"/>
      </left>
      <right/>
      <top style="medium">
        <color theme="1" tint="0.499984740745262"/>
      </top>
      <bottom/>
      <diagonal/>
    </border>
    <border>
      <left/>
      <right style="hair">
        <color theme="1" tint="0.499984740745262"/>
      </right>
      <top style="medium">
        <color theme="1" tint="0.499984740745262"/>
      </top>
      <bottom/>
      <diagonal/>
    </border>
    <border>
      <left style="thick">
        <color theme="1" tint="0.499984740745262"/>
      </left>
      <right/>
      <top style="medium">
        <color theme="1" tint="0.499984740745262"/>
      </top>
      <bottom/>
      <diagonal/>
    </border>
    <border>
      <left style="thick">
        <color theme="1" tint="0.499984740745262"/>
      </left>
      <right style="thin">
        <color theme="1" tint="0.499984740745262"/>
      </right>
      <top style="thin">
        <color theme="1" tint="0.499984740745262"/>
      </top>
      <bottom/>
      <diagonal/>
    </border>
    <border>
      <left style="thick">
        <color theme="1" tint="0.499984740745262"/>
      </left>
      <right style="thin">
        <color theme="1" tint="0.499984740745262"/>
      </right>
      <top/>
      <bottom/>
      <diagonal/>
    </border>
    <border>
      <left style="thin">
        <color theme="1" tint="0.499984740745262"/>
      </left>
      <right/>
      <top/>
      <bottom style="thin">
        <color theme="0" tint="-0.499984740745262"/>
      </bottom>
      <diagonal/>
    </border>
    <border>
      <left/>
      <right/>
      <top/>
      <bottom style="thin">
        <color theme="0" tint="-0.499984740745262"/>
      </bottom>
      <diagonal/>
    </border>
    <border>
      <left style="medium">
        <color theme="1" tint="0.499984740745262"/>
      </left>
      <right/>
      <top style="thin">
        <color theme="0" tint="-0.499984740745262"/>
      </top>
      <bottom style="medium">
        <color theme="1" tint="0.499984740745262"/>
      </bottom>
      <diagonal/>
    </border>
    <border>
      <left/>
      <right/>
      <top style="thin">
        <color theme="0" tint="-0.499984740745262"/>
      </top>
      <bottom style="medium">
        <color theme="1" tint="0.499984740745262"/>
      </bottom>
      <diagonal/>
    </border>
    <border>
      <left/>
      <right style="medium">
        <color theme="1" tint="0.499984740745262"/>
      </right>
      <top style="thin">
        <color theme="0" tint="-0.499984740745262"/>
      </top>
      <bottom style="medium">
        <color theme="1"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style="thin">
        <color theme="1" tint="0.499984740745262"/>
      </left>
      <right/>
      <top style="medium">
        <color theme="1" tint="0.499984740745262"/>
      </top>
      <bottom/>
      <diagonal/>
    </border>
    <border>
      <left style="medium">
        <color theme="1" tint="0.499984740745262"/>
      </left>
      <right/>
      <top/>
      <bottom style="thick">
        <color rgb="FFF4A6DE"/>
      </bottom>
      <diagonal/>
    </border>
    <border>
      <left/>
      <right style="thin">
        <color theme="1" tint="0.499984740745262"/>
      </right>
      <top style="medium">
        <color theme="1" tint="0.499984740745262"/>
      </top>
      <bottom/>
      <diagonal/>
    </border>
    <border>
      <left/>
      <right style="thin">
        <color theme="0" tint="-0.499984740745262"/>
      </right>
      <top style="thin">
        <color theme="0" tint="-0.499984740745262"/>
      </top>
      <bottom/>
      <diagonal/>
    </border>
    <border>
      <left/>
      <right/>
      <top style="thick">
        <color rgb="FFF4A6DE"/>
      </top>
      <bottom style="medium">
        <color theme="1" tint="0.499984740745262"/>
      </bottom>
      <diagonal/>
    </border>
    <border>
      <left style="thin">
        <color theme="0" tint="-0.499984740745262"/>
      </left>
      <right/>
      <top/>
      <bottom style="thick">
        <color rgb="FFF4A6DE"/>
      </bottom>
      <diagonal/>
    </border>
    <border>
      <left/>
      <right/>
      <top style="thin">
        <color theme="0" tint="-0.34998626667073579"/>
      </top>
      <bottom/>
      <diagonal/>
    </border>
    <border>
      <left/>
      <right style="thin">
        <color theme="0" tint="-0.499984740745262"/>
      </right>
      <top style="thin">
        <color theme="1" tint="0.499984740745262"/>
      </top>
      <bottom/>
      <diagonal/>
    </border>
    <border>
      <left style="thin">
        <color theme="0" tint="-0.499984740745262"/>
      </left>
      <right style="hair">
        <color theme="0" tint="-0.499984740745262"/>
      </right>
      <top style="thin">
        <color theme="1" tint="0.499984740745262"/>
      </top>
      <bottom/>
      <diagonal/>
    </border>
    <border>
      <left style="hair">
        <color theme="0" tint="-0.499984740745262"/>
      </left>
      <right style="hair">
        <color theme="0" tint="-0.499984740745262"/>
      </right>
      <top style="thin">
        <color theme="1" tint="0.499984740745262"/>
      </top>
      <bottom/>
      <diagonal/>
    </border>
    <border>
      <left/>
      <right style="thick">
        <color rgb="FFF4A6DE"/>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hair">
        <color theme="1" tint="0.499984740745262"/>
      </left>
      <right style="hair">
        <color theme="1" tint="0.499984740745262"/>
      </right>
      <top/>
      <bottom style="thin">
        <color theme="0" tint="-0.499984740745262"/>
      </bottom>
      <diagonal/>
    </border>
    <border>
      <left style="hair">
        <color theme="1" tint="0.499984740745262"/>
      </left>
      <right style="thin">
        <color theme="1" tint="0.499984740745262"/>
      </right>
      <top/>
      <bottom style="thin">
        <color theme="0" tint="-0.499984740745262"/>
      </bottom>
      <diagonal/>
    </border>
    <border>
      <left style="thin">
        <color theme="0" tint="-0.34998626667073579"/>
      </left>
      <right/>
      <top style="thin">
        <color theme="0" tint="-0.499984740745262"/>
      </top>
      <bottom/>
      <diagonal/>
    </border>
    <border>
      <left style="thin">
        <color theme="0" tint="-0.34998626667073579"/>
      </left>
      <right/>
      <top/>
      <bottom style="thin">
        <color theme="0" tint="-0.499984740745262"/>
      </bottom>
      <diagonal/>
    </border>
    <border>
      <left/>
      <right style="thin">
        <color theme="0" tint="-0.34998626667073579"/>
      </right>
      <top style="thin">
        <color theme="0" tint="-0.499984740745262"/>
      </top>
      <bottom/>
      <diagonal/>
    </border>
    <border>
      <left/>
      <right style="thin">
        <color theme="0" tint="-0.34998626667073579"/>
      </right>
      <top style="thick">
        <color rgb="FFF4A6DE"/>
      </top>
      <bottom/>
      <diagonal/>
    </border>
    <border>
      <left/>
      <right style="thin">
        <color theme="0" tint="-0.34998626667073579"/>
      </right>
      <top/>
      <bottom style="thin">
        <color theme="0" tint="-0.499984740745262"/>
      </bottom>
      <diagonal/>
    </border>
    <border>
      <left/>
      <right/>
      <top/>
      <bottom style="medium">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right style="thin">
        <color theme="0" tint="-0.34998626667073579"/>
      </right>
      <top/>
      <bottom style="medium">
        <color theme="1"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style="medium">
        <color theme="1" tint="0.499984740745262"/>
      </left>
      <right/>
      <top style="thick">
        <color theme="7"/>
      </top>
      <bottom/>
      <diagonal/>
    </border>
    <border>
      <left style="medium">
        <color theme="1" tint="0.499984740745262"/>
      </left>
      <right/>
      <top/>
      <bottom style="thick">
        <color theme="7"/>
      </bottom>
      <diagonal/>
    </border>
    <border>
      <left/>
      <right style="hair">
        <color theme="1" tint="0.499984740745262"/>
      </right>
      <top style="thick">
        <color theme="7"/>
      </top>
      <bottom/>
      <diagonal/>
    </border>
    <border>
      <left/>
      <right style="hair">
        <color theme="1" tint="0.499984740745262"/>
      </right>
      <top/>
      <bottom style="thick">
        <color theme="7"/>
      </bottom>
      <diagonal/>
    </border>
    <border>
      <left style="thin">
        <color theme="3"/>
      </left>
      <right/>
      <top style="thick">
        <color theme="7"/>
      </top>
      <bottom/>
      <diagonal/>
    </border>
    <border>
      <left style="thin">
        <color theme="3"/>
      </left>
      <right/>
      <top/>
      <bottom style="thick">
        <color theme="7"/>
      </bottom>
      <diagonal/>
    </border>
    <border>
      <left style="thin">
        <color indexed="64"/>
      </left>
      <right/>
      <top style="thick">
        <color theme="7"/>
      </top>
      <bottom/>
      <diagonal/>
    </border>
    <border>
      <left style="thin">
        <color indexed="64"/>
      </left>
      <right/>
      <top/>
      <bottom style="thick">
        <color theme="7"/>
      </bottom>
      <diagonal/>
    </border>
    <border>
      <left/>
      <right style="thin">
        <color theme="3"/>
      </right>
      <top style="thick">
        <color theme="7"/>
      </top>
      <bottom/>
      <diagonal/>
    </border>
    <border>
      <left/>
      <right style="thin">
        <color theme="3"/>
      </right>
      <top/>
      <bottom style="thick">
        <color theme="7"/>
      </bottom>
      <diagonal/>
    </border>
    <border>
      <left style="hair">
        <color theme="1" tint="0.499984740745262"/>
      </left>
      <right/>
      <top style="thick">
        <color theme="7"/>
      </top>
      <bottom style="hair">
        <color theme="1" tint="0.499984740745262"/>
      </bottom>
      <diagonal/>
    </border>
    <border>
      <left/>
      <right/>
      <top style="thick">
        <color theme="7"/>
      </top>
      <bottom style="hair">
        <color theme="1" tint="0.499984740745262"/>
      </bottom>
      <diagonal/>
    </border>
    <border>
      <left/>
      <right style="hair">
        <color theme="1" tint="0.499984740745262"/>
      </right>
      <top style="thick">
        <color theme="7"/>
      </top>
      <bottom style="hair">
        <color theme="1" tint="0.499984740745262"/>
      </bottom>
      <diagonal/>
    </border>
    <border>
      <left style="hair">
        <color theme="1" tint="0.499984740745262"/>
      </left>
      <right style="medium">
        <color theme="1" tint="0.499984740745262"/>
      </right>
      <top/>
      <bottom style="thin">
        <color theme="1" tint="0.499984740745262"/>
      </bottom>
      <diagonal/>
    </border>
    <border>
      <left style="medium">
        <color theme="0" tint="-0.499984740745262"/>
      </left>
      <right/>
      <top style="medium">
        <color theme="1"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top style="thin">
        <color theme="1"/>
      </top>
      <bottom/>
      <diagonal/>
    </border>
    <border>
      <left/>
      <right style="thin">
        <color theme="1"/>
      </right>
      <top style="double">
        <color indexed="64"/>
      </top>
      <bottom/>
      <diagonal/>
    </border>
    <border>
      <left/>
      <right style="thin">
        <color theme="1"/>
      </right>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bottom/>
      <diagonal/>
    </border>
    <border>
      <left style="thin">
        <color theme="1"/>
      </left>
      <right/>
      <top style="double">
        <color indexed="64"/>
      </top>
      <bottom/>
      <diagonal/>
    </border>
    <border>
      <left style="thin">
        <color theme="1"/>
      </left>
      <right/>
      <top style="thin">
        <color theme="1"/>
      </top>
      <bottom style="thin">
        <color theme="1"/>
      </bottom>
      <diagonal/>
    </border>
    <border>
      <left/>
      <right style="thick">
        <color rgb="FF00B0F0"/>
      </right>
      <top/>
      <bottom/>
      <diagonal/>
    </border>
    <border>
      <left style="thick">
        <color rgb="FF00B0F0"/>
      </left>
      <right/>
      <top/>
      <bottom/>
      <diagonal/>
    </border>
    <border>
      <left style="thick">
        <color rgb="FF00B0F0"/>
      </left>
      <right/>
      <top/>
      <bottom style="thick">
        <color rgb="FF00B0F0"/>
      </bottom>
      <diagonal/>
    </border>
    <border>
      <left/>
      <right/>
      <top/>
      <bottom style="thick">
        <color rgb="FF00B0F0"/>
      </bottom>
      <diagonal/>
    </border>
    <border>
      <left/>
      <right/>
      <top style="thick">
        <color rgb="FF00B0F0"/>
      </top>
      <bottom style="medium">
        <color theme="1" tint="0.499984740745262"/>
      </bottom>
      <diagonal/>
    </border>
    <border>
      <left/>
      <right style="thick">
        <color rgb="FF00B0F0"/>
      </right>
      <top/>
      <bottom style="thick">
        <color rgb="FF00B0F0"/>
      </bottom>
      <diagonal/>
    </border>
    <border>
      <left style="thin">
        <color theme="0" tint="-0.499984740745262"/>
      </left>
      <right/>
      <top style="thick">
        <color theme="7"/>
      </top>
      <bottom/>
      <diagonal/>
    </border>
    <border>
      <left style="thin">
        <color theme="0" tint="-0.499984740745262"/>
      </left>
      <right/>
      <top/>
      <bottom style="thick">
        <color rgb="FF00B0F0"/>
      </bottom>
      <diagonal/>
    </border>
    <border>
      <left/>
      <right style="thin">
        <color theme="1" tint="0.499984740745262"/>
      </right>
      <top/>
      <bottom style="thin">
        <color theme="0" tint="-0.499984740745262"/>
      </bottom>
      <diagonal/>
    </border>
    <border>
      <left/>
      <right style="thin">
        <color theme="0" tint="-0.499984740745262"/>
      </right>
      <top/>
      <bottom style="thick">
        <color rgb="FF00B0F0"/>
      </bottom>
      <diagonal/>
    </border>
    <border>
      <left style="dotted">
        <color theme="0" tint="-0.499984740745262"/>
      </left>
      <right/>
      <top/>
      <bottom style="thin">
        <color theme="0" tint="-0.499984740745262"/>
      </bottom>
      <diagonal/>
    </border>
    <border>
      <left style="dotted">
        <color theme="0" tint="-0.499984740745262"/>
      </left>
      <right/>
      <top style="thin">
        <color theme="0" tint="-0.499984740745262"/>
      </top>
      <bottom/>
      <diagonal/>
    </border>
    <border>
      <left style="dotted">
        <color theme="0" tint="-0.499984740745262"/>
      </left>
      <right/>
      <top/>
      <bottom style="thick">
        <color rgb="FF00B0F0"/>
      </bottom>
      <diagonal/>
    </border>
    <border>
      <left/>
      <right style="thin">
        <color theme="0" tint="-0.499984740745262"/>
      </right>
      <top style="thick">
        <color theme="7"/>
      </top>
      <bottom/>
      <diagonal/>
    </border>
    <border>
      <left style="thick">
        <color theme="7"/>
      </left>
      <right/>
      <top/>
      <bottom/>
      <diagonal/>
    </border>
    <border>
      <left/>
      <right style="thick">
        <color theme="7"/>
      </right>
      <top/>
      <bottom/>
      <diagonal/>
    </border>
    <border>
      <left/>
      <right/>
      <top style="thick">
        <color theme="7"/>
      </top>
      <bottom style="medium">
        <color theme="1" tint="0.499984740745262"/>
      </bottom>
      <diagonal/>
    </border>
    <border>
      <left/>
      <right style="thin">
        <color theme="0" tint="-0.499984740745262"/>
      </right>
      <top/>
      <bottom style="thick">
        <color theme="7"/>
      </bottom>
      <diagonal/>
    </border>
    <border>
      <left/>
      <right style="thin">
        <color theme="1" tint="0.499984740745262"/>
      </right>
      <top style="thin">
        <color theme="0" tint="-0.499984740745262"/>
      </top>
      <bottom/>
      <diagonal/>
    </border>
    <border>
      <left style="thin">
        <color theme="0" tint="-0.499984740745262"/>
      </left>
      <right/>
      <top/>
      <bottom style="thick">
        <color theme="7"/>
      </bottom>
      <diagonal/>
    </border>
    <border>
      <left style="thin">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theme="1" tint="0.499984740745262"/>
      </left>
      <right style="hair">
        <color theme="1" tint="0.499984740745262"/>
      </right>
      <top/>
      <bottom style="thin">
        <color theme="0" tint="-0.499984740745262"/>
      </bottom>
      <diagonal/>
    </border>
    <border>
      <left/>
      <right style="thick">
        <color rgb="FFF4A6DE"/>
      </right>
      <top style="thin">
        <color theme="0" tint="-0.499984740745262"/>
      </top>
      <bottom/>
      <diagonal/>
    </border>
    <border>
      <left style="thick">
        <color rgb="FFF4A6DE"/>
      </left>
      <right/>
      <top/>
      <bottom style="thin">
        <color theme="0" tint="-0.499984740745262"/>
      </bottom>
      <diagonal/>
    </border>
    <border>
      <left/>
      <right style="hair">
        <color theme="1" tint="0.499984740745262"/>
      </right>
      <top/>
      <bottom style="thin">
        <color theme="0" tint="-0.499984740745262"/>
      </bottom>
      <diagonal/>
    </border>
    <border>
      <left/>
      <right style="medium">
        <color theme="1" tint="0.499984740745262"/>
      </right>
      <top style="thin">
        <color theme="0" tint="-0.499984740745262"/>
      </top>
      <bottom style="thin">
        <color theme="0" tint="-0.499984740745262"/>
      </bottom>
      <diagonal/>
    </border>
    <border>
      <left style="medium">
        <color theme="1" tint="0.499984740745262"/>
      </left>
      <right style="hair">
        <color theme="1" tint="0.499984740745262"/>
      </right>
      <top style="hair">
        <color theme="1" tint="0.499984740745262"/>
      </top>
      <bottom style="thin">
        <color theme="0" tint="-0.499984740745262"/>
      </bottom>
      <diagonal/>
    </border>
    <border>
      <left style="hair">
        <color theme="1" tint="0.499984740745262"/>
      </left>
      <right style="hair">
        <color theme="1" tint="0.499984740745262"/>
      </right>
      <top style="hair">
        <color theme="1" tint="0.499984740745262"/>
      </top>
      <bottom style="thin">
        <color theme="0" tint="-0.499984740745262"/>
      </bottom>
      <diagonal/>
    </border>
    <border>
      <left style="hair">
        <color theme="1"/>
      </left>
      <right/>
      <top/>
      <bottom style="thick">
        <color rgb="FFF4A6DE"/>
      </bottom>
      <diagonal/>
    </border>
    <border>
      <left style="hair">
        <color theme="1"/>
      </left>
      <right/>
      <top/>
      <bottom/>
      <diagonal/>
    </border>
    <border>
      <left style="hair">
        <color theme="0" tint="-0.249977111117893"/>
      </left>
      <right/>
      <top style="thin">
        <color theme="0" tint="-0.34998626667073579"/>
      </top>
      <bottom/>
      <diagonal/>
    </border>
    <border>
      <left style="hair">
        <color theme="0" tint="-0.249977111117893"/>
      </left>
      <right/>
      <top/>
      <bottom/>
      <diagonal/>
    </border>
    <border>
      <left style="hair">
        <color theme="0" tint="-0.14999847407452621"/>
      </left>
      <right/>
      <top style="thin">
        <color theme="0" tint="-0.34998626667073579"/>
      </top>
      <bottom/>
      <diagonal/>
    </border>
    <border>
      <left style="hair">
        <color theme="0" tint="-0.14999847407452621"/>
      </left>
      <right/>
      <top/>
      <bottom/>
      <diagonal/>
    </border>
    <border>
      <left/>
      <right style="hair">
        <color theme="0" tint="-0.249977111117893"/>
      </right>
      <top style="thin">
        <color theme="0" tint="-0.499984740745262"/>
      </top>
      <bottom/>
      <diagonal/>
    </border>
    <border>
      <left/>
      <right style="hair">
        <color theme="0" tint="-0.249977111117893"/>
      </right>
      <top/>
      <bottom/>
      <diagonal/>
    </border>
    <border>
      <left/>
      <right style="hair">
        <color theme="0" tint="-0.249977111117893"/>
      </right>
      <top/>
      <bottom style="thin">
        <color theme="0" tint="-0.499984740745262"/>
      </bottom>
      <diagonal/>
    </border>
    <border>
      <left style="thick">
        <color rgb="FFF4A6DE"/>
      </left>
      <right/>
      <top style="thin">
        <color theme="1" tint="0.499984740745262"/>
      </top>
      <bottom style="thin">
        <color theme="0" tint="-0.499984740745262"/>
      </bottom>
      <diagonal/>
    </border>
    <border>
      <left/>
      <right style="hair">
        <color theme="1" tint="0.499984740745262"/>
      </right>
      <top style="thin">
        <color theme="1" tint="0.499984740745262"/>
      </top>
      <bottom style="thin">
        <color theme="0" tint="-0.499984740745262"/>
      </bottom>
      <diagonal/>
    </border>
    <border>
      <left/>
      <right style="thin">
        <color theme="0" tint="-0.499984740745262"/>
      </right>
      <top/>
      <bottom style="thick">
        <color rgb="FFF4A6DE"/>
      </bottom>
      <diagonal/>
    </border>
    <border>
      <left/>
      <right style="thick">
        <color rgb="FFF4A6DE"/>
      </right>
      <top/>
      <bottom style="thin">
        <color theme="0" tint="-0.499984740745262"/>
      </bottom>
      <diagonal/>
    </border>
    <border>
      <left/>
      <right style="hair">
        <color indexed="64"/>
      </right>
      <top style="thin">
        <color theme="1" tint="0.499984740745262"/>
      </top>
      <bottom/>
      <diagonal/>
    </border>
    <border>
      <left/>
      <right style="hair">
        <color theme="1" tint="0.499984740745262"/>
      </right>
      <top/>
      <bottom style="thick">
        <color rgb="FFF4A6DE"/>
      </bottom>
      <diagonal/>
    </border>
    <border>
      <left/>
      <right style="hair">
        <color indexed="64"/>
      </right>
      <top/>
      <bottom style="medium">
        <color rgb="FFF4A6DE"/>
      </bottom>
      <diagonal/>
    </border>
    <border>
      <left style="thick">
        <color rgb="FFF4A6DE"/>
      </left>
      <right/>
      <top/>
      <bottom style="medium">
        <color rgb="FFF4A6DE"/>
      </bottom>
      <diagonal/>
    </border>
    <border>
      <left style="hair">
        <color indexed="64"/>
      </left>
      <right/>
      <top/>
      <bottom style="medium">
        <color rgb="FFF4A6DE"/>
      </bottom>
      <diagonal/>
    </border>
    <border>
      <left style="hair">
        <color indexed="64"/>
      </left>
      <right/>
      <top style="medium">
        <color rgb="FFF4A6DE"/>
      </top>
      <bottom/>
      <diagonal/>
    </border>
    <border>
      <left/>
      <right style="hair">
        <color indexed="64"/>
      </right>
      <top style="thin">
        <color theme="0" tint="-0.499984740745262"/>
      </top>
      <bottom/>
      <diagonal/>
    </border>
    <border>
      <left style="hair">
        <color indexed="64"/>
      </left>
      <right/>
      <top style="thin">
        <color theme="0" tint="-0.499984740745262"/>
      </top>
      <bottom/>
      <diagonal/>
    </border>
    <border>
      <left style="thin">
        <color theme="0" tint="-0.499984740745262"/>
      </left>
      <right/>
      <top style="medium">
        <color rgb="FFF4A6DE"/>
      </top>
      <bottom/>
      <diagonal/>
    </border>
    <border>
      <left/>
      <right style="thin">
        <color theme="0" tint="-0.499984740745262"/>
      </right>
      <top style="medium">
        <color rgb="FFF4A6DE"/>
      </top>
      <bottom/>
      <diagonal/>
    </border>
    <border>
      <left style="medium">
        <color rgb="FFF4A6DE"/>
      </left>
      <right/>
      <top style="thin">
        <color theme="1" tint="0.499984740745262"/>
      </top>
      <bottom/>
      <diagonal/>
    </border>
    <border>
      <left/>
      <right style="hair">
        <color theme="1"/>
      </right>
      <top/>
      <bottom style="thick">
        <color rgb="FFF4A6DE"/>
      </bottom>
      <diagonal/>
    </border>
    <border>
      <left/>
      <right style="hair">
        <color theme="1"/>
      </right>
      <top/>
      <bottom/>
      <diagonal/>
    </border>
    <border>
      <left/>
      <right style="thin">
        <color theme="0" tint="-0.499984740745262"/>
      </right>
      <top/>
      <bottom style="thin">
        <color theme="3"/>
      </bottom>
      <diagonal/>
    </border>
    <border>
      <left style="hair">
        <color theme="3"/>
      </left>
      <right/>
      <top style="thin">
        <color theme="0" tint="-0.499984740745262"/>
      </top>
      <bottom/>
      <diagonal/>
    </border>
    <border>
      <left style="hair">
        <color theme="3"/>
      </left>
      <right/>
      <top/>
      <bottom/>
      <diagonal/>
    </border>
    <border>
      <left style="hair">
        <color theme="3"/>
      </left>
      <right/>
      <top/>
      <bottom style="thin">
        <color theme="3"/>
      </bottom>
      <diagonal/>
    </border>
    <border>
      <left style="thin">
        <color theme="0" tint="-0.499984740745262"/>
      </left>
      <right/>
      <top/>
      <bottom style="thin">
        <color theme="1" tint="0.499984740745262"/>
      </bottom>
      <diagonal/>
    </border>
    <border>
      <left style="dotted">
        <color theme="0" tint="-0.499984740745262"/>
      </left>
      <right/>
      <top/>
      <bottom/>
      <diagonal/>
    </border>
    <border>
      <left style="thick">
        <color rgb="FFF4A6DE"/>
      </left>
      <right/>
      <top style="thin">
        <color theme="1" tint="0.499984740745262"/>
      </top>
      <bottom style="thin">
        <color indexed="64"/>
      </bottom>
      <diagonal/>
    </border>
    <border>
      <left/>
      <right/>
      <top style="thin">
        <color theme="1" tint="0.499984740745262"/>
      </top>
      <bottom style="thin">
        <color indexed="64"/>
      </bottom>
      <diagonal/>
    </border>
    <border>
      <left/>
      <right style="medium">
        <color theme="1" tint="0.499984740745262"/>
      </right>
      <top style="thin">
        <color theme="1" tint="0.499984740745262"/>
      </top>
      <bottom style="thin">
        <color indexed="64"/>
      </bottom>
      <diagonal/>
    </border>
    <border>
      <left/>
      <right style="hair">
        <color theme="0" tint="-0.249977111117893"/>
      </right>
      <top style="thin">
        <color theme="0" tint="-0.34998626667073579"/>
      </top>
      <bottom/>
      <diagonal/>
    </border>
    <border>
      <left/>
      <right style="hair">
        <color theme="0" tint="-0.14999847407452621"/>
      </right>
      <top style="thin">
        <color theme="0" tint="-0.34998626667073579"/>
      </top>
      <bottom/>
      <diagonal/>
    </border>
    <border>
      <left/>
      <right style="hair">
        <color theme="0" tint="-0.14999847407452621"/>
      </right>
      <top/>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right style="hair">
        <color theme="0" tint="-0.499984740745262"/>
      </right>
      <top/>
      <bottom/>
      <diagonal/>
    </border>
    <border>
      <left style="hair">
        <color theme="0" tint="-0.499984740745262"/>
      </left>
      <right/>
      <top/>
      <bottom style="thin">
        <color theme="1" tint="0.499984740745262"/>
      </bottom>
      <diagonal/>
    </border>
    <border>
      <left/>
      <right style="hair">
        <color theme="0" tint="-0.499984740745262"/>
      </right>
      <top/>
      <bottom style="thin">
        <color theme="1" tint="0.499984740745262"/>
      </bottom>
      <diagonal/>
    </border>
    <border>
      <left/>
      <right style="medium">
        <color indexed="64"/>
      </right>
      <top/>
      <bottom style="hair">
        <color indexed="64"/>
      </bottom>
      <diagonal/>
    </border>
    <border>
      <left style="hair">
        <color theme="1" tint="0.499984740745262"/>
      </left>
      <right/>
      <top style="medium">
        <color rgb="FFF4A6DE"/>
      </top>
      <bottom/>
      <diagonal/>
    </border>
    <border>
      <left style="hair">
        <color theme="0" tint="-0.499984740745262"/>
      </left>
      <right/>
      <top/>
      <bottom style="thick">
        <color rgb="FFF4A6DE"/>
      </bottom>
      <diagonal/>
    </border>
    <border>
      <left style="hair">
        <color theme="0" tint="-0.499984740745262"/>
      </left>
      <right/>
      <top/>
      <bottom style="thin">
        <color theme="0" tint="-0.499984740745262"/>
      </bottom>
      <diagonal/>
    </border>
    <border>
      <left/>
      <right style="thin">
        <color theme="0" tint="-0.499984740745262"/>
      </right>
      <top/>
      <bottom style="medium">
        <color rgb="FFF4A6DE"/>
      </bottom>
      <diagonal/>
    </border>
    <border>
      <left style="hair">
        <color indexed="64"/>
      </left>
      <right/>
      <top/>
      <bottom style="thin">
        <color theme="0" tint="-0.499984740745262"/>
      </bottom>
      <diagonal/>
    </border>
    <border>
      <left/>
      <right style="medium">
        <color rgb="FFF4A6DE"/>
      </right>
      <top/>
      <bottom style="thin">
        <color theme="0" tint="-0.499984740745262"/>
      </bottom>
      <diagonal/>
    </border>
    <border>
      <left/>
      <right style="medium">
        <color rgb="FFF4A6DE"/>
      </right>
      <top style="thin">
        <color theme="0" tint="-0.499984740745262"/>
      </top>
      <bottom/>
      <diagonal/>
    </border>
    <border>
      <left style="thin">
        <color theme="0" tint="-0.499984740745262"/>
      </left>
      <right/>
      <top/>
      <bottom style="medium">
        <color rgb="FFF4A6DE"/>
      </bottom>
      <diagonal/>
    </border>
    <border>
      <left/>
      <right style="hair">
        <color theme="0" tint="-0.499984740745262"/>
      </right>
      <top style="thin">
        <color theme="1" tint="0.499984740745262"/>
      </top>
      <bottom/>
      <diagonal/>
    </border>
    <border>
      <left style="hair">
        <color theme="0" tint="-0.499984740745262"/>
      </left>
      <right/>
      <top/>
      <bottom style="medium">
        <color theme="1" tint="0.499984740745262"/>
      </bottom>
      <diagonal/>
    </border>
    <border>
      <left/>
      <right style="thin">
        <color theme="0" tint="-0.499984740745262"/>
      </right>
      <top/>
      <bottom style="thin">
        <color theme="1" tint="0.499984740745262"/>
      </bottom>
      <diagonal/>
    </border>
    <border>
      <left/>
      <right style="hair">
        <color theme="0" tint="-0.499984740745262"/>
      </right>
      <top/>
      <bottom style="thin">
        <color theme="0" tint="-0.499984740745262"/>
      </bottom>
      <diagonal/>
    </border>
    <border>
      <left/>
      <right style="hair">
        <color theme="0" tint="-0.499984740745262"/>
      </right>
      <top/>
      <bottom style="medium">
        <color theme="1" tint="0.499984740745262"/>
      </bottom>
      <diagonal/>
    </border>
    <border>
      <left style="thick">
        <color rgb="FFF4A6DE"/>
      </left>
      <right/>
      <top style="thin">
        <color theme="1" tint="0.499984740745262"/>
      </top>
      <bottom style="thin">
        <color theme="3" tint="0.39997558519241921"/>
      </bottom>
      <diagonal/>
    </border>
    <border>
      <left/>
      <right/>
      <top style="thin">
        <color theme="1" tint="0.499984740745262"/>
      </top>
      <bottom style="thin">
        <color theme="3" tint="0.39997558519241921"/>
      </bottom>
      <diagonal/>
    </border>
    <border>
      <left/>
      <right style="hair">
        <color theme="1" tint="0.499984740745262"/>
      </right>
      <top style="thin">
        <color theme="1" tint="0.499984740745262"/>
      </top>
      <bottom style="thin">
        <color theme="3" tint="0.39997558519241921"/>
      </bottom>
      <diagonal/>
    </border>
    <border>
      <left style="thick">
        <color rgb="FFF4A6DE"/>
      </left>
      <right/>
      <top style="thin">
        <color theme="3" tint="0.39997558519241921"/>
      </top>
      <bottom/>
      <diagonal/>
    </border>
    <border>
      <left/>
      <right/>
      <top style="thin">
        <color theme="3" tint="0.39997558519241921"/>
      </top>
      <bottom/>
      <diagonal/>
    </border>
    <border>
      <left/>
      <right style="hair">
        <color theme="1" tint="0.499984740745262"/>
      </right>
      <top style="thin">
        <color theme="3" tint="0.39997558519241921"/>
      </top>
      <bottom/>
      <diagonal/>
    </border>
    <border>
      <left style="hair">
        <color theme="1" tint="0.499984740745262"/>
      </left>
      <right/>
      <top style="thin">
        <color theme="3" tint="0.39997558519241921"/>
      </top>
      <bottom style="thin">
        <color theme="1" tint="0.499984740745262"/>
      </bottom>
      <diagonal/>
    </border>
    <border>
      <left/>
      <right/>
      <top style="thin">
        <color theme="3" tint="0.39997558519241921"/>
      </top>
      <bottom style="thin">
        <color theme="1" tint="0.499984740745262"/>
      </bottom>
      <diagonal/>
    </border>
    <border>
      <left/>
      <right/>
      <top/>
      <bottom style="thin">
        <color theme="3" tint="0.39997558519241921"/>
      </bottom>
      <diagonal/>
    </border>
    <border>
      <left style="hair">
        <color theme="1" tint="0.499984740745262"/>
      </left>
      <right/>
      <top style="thin">
        <color theme="1" tint="0.499984740745262"/>
      </top>
      <bottom style="thin">
        <color theme="3" tint="0.39997558519241921"/>
      </bottom>
      <diagonal/>
    </border>
    <border>
      <left style="thin">
        <color theme="3" tint="0.39997558519241921"/>
      </left>
      <right/>
      <top/>
      <bottom/>
      <diagonal/>
    </border>
    <border>
      <left style="thin">
        <color theme="3" tint="0.39997558519241921"/>
      </left>
      <right/>
      <top/>
      <bottom style="thin">
        <color theme="3" tint="0.39997558519241921"/>
      </bottom>
      <diagonal/>
    </border>
    <border>
      <left/>
      <right style="thin">
        <color theme="3" tint="0.39997558519241921"/>
      </right>
      <top/>
      <bottom/>
      <diagonal/>
    </border>
    <border>
      <left/>
      <right style="thin">
        <color theme="3" tint="0.39997558519241921"/>
      </right>
      <top/>
      <bottom style="thin">
        <color theme="3" tint="0.39997558519241921"/>
      </bottom>
      <diagonal/>
    </border>
    <border>
      <left/>
      <right style="medium">
        <color theme="1" tint="0.499984740745262"/>
      </right>
      <top/>
      <bottom style="thick">
        <color rgb="FFF4A6DE"/>
      </bottom>
      <diagonal/>
    </border>
    <border>
      <left style="thin">
        <color theme="0" tint="-0.249977111117893"/>
      </left>
      <right/>
      <top style="thin">
        <color theme="3" tint="0.39997558519241921"/>
      </top>
      <bottom/>
      <diagonal/>
    </border>
    <border>
      <left style="thin">
        <color theme="0" tint="-0.249977111117893"/>
      </left>
      <right/>
      <top/>
      <bottom/>
      <diagonal/>
    </border>
    <border>
      <left style="thin">
        <color theme="3" tint="0.39997558519241921"/>
      </left>
      <right/>
      <top style="thick">
        <color rgb="FFF4A6DE"/>
      </top>
      <bottom/>
      <diagonal/>
    </border>
    <border>
      <left/>
      <right style="thin">
        <color theme="0" tint="-0.34998626667073579"/>
      </right>
      <top/>
      <bottom style="thin">
        <color theme="3" tint="0.39997558519241921"/>
      </bottom>
      <diagonal/>
    </border>
    <border>
      <left style="thin">
        <color theme="0" tint="-0.34998626667073579"/>
      </left>
      <right/>
      <top style="thick">
        <color rgb="FFF4A6DE"/>
      </top>
      <bottom/>
      <diagonal/>
    </border>
    <border>
      <left/>
      <right style="hair">
        <color theme="1" tint="0.499984740745262"/>
      </right>
      <top style="thick">
        <color rgb="FFF4A6DE"/>
      </top>
      <bottom/>
      <diagonal/>
    </border>
    <border>
      <left style="thin">
        <color theme="0" tint="-0.34998626667073579"/>
      </left>
      <right/>
      <top/>
      <bottom style="thin">
        <color theme="3" tint="0.39997558519241921"/>
      </bottom>
      <diagonal/>
    </border>
    <border>
      <left/>
      <right style="hair">
        <color theme="1" tint="0.499984740745262"/>
      </right>
      <top/>
      <bottom style="thin">
        <color theme="3" tint="0.39997558519241921"/>
      </bottom>
      <diagonal/>
    </border>
    <border>
      <left/>
      <right style="thin">
        <color theme="3" tint="0.39997558519241921"/>
      </right>
      <top style="thick">
        <color rgb="FFF4A6DE"/>
      </top>
      <bottom/>
      <diagonal/>
    </border>
    <border>
      <left style="hair">
        <color theme="1" tint="0.499984740745262"/>
      </left>
      <right/>
      <top/>
      <bottom style="thin">
        <color theme="0" tint="-0.249977111117893"/>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ck">
        <color rgb="FFF4A6DE"/>
      </top>
      <bottom/>
      <diagonal/>
    </border>
    <border>
      <left style="thin">
        <color theme="0" tint="-0.249977111117893"/>
      </left>
      <right/>
      <top/>
      <bottom style="thin">
        <color theme="3" tint="0.39997558519241921"/>
      </bottom>
      <diagonal/>
    </border>
    <border>
      <left/>
      <right/>
      <top style="thin">
        <color theme="0" tint="-0.249977111117893"/>
      </top>
      <bottom style="thin">
        <color theme="1" tint="0.499984740745262"/>
      </bottom>
      <diagonal/>
    </border>
    <border>
      <left/>
      <right style="thick">
        <color rgb="FFF4A6DE"/>
      </right>
      <top/>
      <bottom style="thin">
        <color theme="0" tint="-0.249977111117893"/>
      </bottom>
      <diagonal/>
    </border>
    <border>
      <left style="thick">
        <color rgb="FFF4A6DE"/>
      </left>
      <right/>
      <top style="medium">
        <color theme="1" tint="0.499984740745262"/>
      </top>
      <bottom style="medium">
        <color theme="1" tint="0.499984740745262"/>
      </bottom>
      <diagonal/>
    </border>
    <border>
      <left/>
      <right style="medium">
        <color theme="1"/>
      </right>
      <top/>
      <bottom style="thick">
        <color rgb="FFF4A6DE"/>
      </bottom>
      <diagonal/>
    </border>
    <border>
      <left style="medium">
        <color theme="1"/>
      </left>
      <right/>
      <top/>
      <bottom style="thick">
        <color rgb="FFF4A6DE"/>
      </bottom>
      <diagonal/>
    </border>
    <border>
      <left style="medium">
        <color indexed="64"/>
      </left>
      <right/>
      <top/>
      <bottom style="medium">
        <color theme="1"/>
      </bottom>
      <diagonal/>
    </border>
    <border>
      <left/>
      <right/>
      <top/>
      <bottom style="medium">
        <color theme="1"/>
      </bottom>
      <diagonal/>
    </border>
    <border>
      <left/>
      <right style="medium">
        <color indexed="64"/>
      </right>
      <top/>
      <bottom style="medium">
        <color theme="1"/>
      </bottom>
      <diagonal/>
    </border>
    <border>
      <left style="thin">
        <color theme="0" tint="-0.249977111117893"/>
      </left>
      <right/>
      <top/>
      <bottom style="thin">
        <color theme="0" tint="-0.499984740745262"/>
      </bottom>
      <diagonal/>
    </border>
    <border>
      <left/>
      <right style="thin">
        <color theme="0" tint="-0.499984740745262"/>
      </right>
      <top style="thick">
        <color rgb="FFF4A6DE"/>
      </top>
      <bottom style="thin">
        <color theme="1" tint="0.499984740745262"/>
      </bottom>
      <diagonal/>
    </border>
    <border>
      <left style="thin">
        <color theme="0" tint="-0.249977111117893"/>
      </left>
      <right/>
      <top style="thin">
        <color theme="0" tint="-0.499984740745262"/>
      </top>
      <bottom/>
      <diagonal/>
    </border>
    <border>
      <left style="thin">
        <color theme="0" tint="-0.499984740745262"/>
      </left>
      <right/>
      <top style="thin">
        <color theme="1" tint="0.499984740745262"/>
      </top>
      <bottom style="thin">
        <color theme="0" tint="-0.499984740745262"/>
      </bottom>
      <diagonal/>
    </border>
    <border>
      <left style="thin">
        <color theme="0" tint="-0.499984740745262"/>
      </left>
      <right/>
      <top style="thick">
        <color rgb="FFF4A6DE"/>
      </top>
      <bottom/>
      <diagonal/>
    </border>
    <border>
      <left/>
      <right style="thin">
        <color theme="0" tint="-0.249977111117893"/>
      </right>
      <top style="thin">
        <color theme="0" tint="-0.499984740745262"/>
      </top>
      <bottom/>
      <diagonal/>
    </border>
    <border>
      <left/>
      <right style="thin">
        <color theme="0" tint="-0.249977111117893"/>
      </right>
      <top/>
      <bottom style="thin">
        <color theme="0" tint="-0.499984740745262"/>
      </bottom>
      <diagonal/>
    </border>
    <border>
      <left/>
      <right style="thin">
        <color theme="0" tint="-0.499984740745262"/>
      </right>
      <top style="thick">
        <color rgb="FFF4A6DE"/>
      </top>
      <bottom/>
      <diagonal/>
    </border>
    <border>
      <left style="hair">
        <color theme="1" tint="0.499984740745262"/>
      </left>
      <right/>
      <top/>
      <bottom style="thin">
        <color theme="0" tint="-0.499984740745262"/>
      </bottom>
      <diagonal/>
    </border>
    <border>
      <left/>
      <right/>
      <top style="thin">
        <color theme="0" tint="-0.499984740745262"/>
      </top>
      <bottom style="thin">
        <color theme="1" tint="0.499984740745262"/>
      </bottom>
      <diagonal/>
    </border>
    <border>
      <left style="hair">
        <color theme="1" tint="0.499984740745262"/>
      </left>
      <right/>
      <top style="thin">
        <color theme="0" tint="-0.499984740745262"/>
      </top>
      <bottom style="thin">
        <color theme="1" tint="0.499984740745262"/>
      </bottom>
      <diagonal/>
    </border>
    <border>
      <left/>
      <right style="hair">
        <color theme="0" tint="-0.499984740745262"/>
      </right>
      <top style="thin">
        <color theme="0" tint="-0.499984740745262"/>
      </top>
      <bottom style="thin">
        <color theme="1" tint="0.499984740745262"/>
      </bottom>
      <diagonal/>
    </border>
    <border>
      <left/>
      <right style="hair">
        <color theme="0" tint="-0.499984740745262"/>
      </right>
      <top style="thin">
        <color theme="1" tint="0.499984740745262"/>
      </top>
      <bottom style="thin">
        <color theme="1" tint="0.499984740745262"/>
      </bottom>
      <diagonal/>
    </border>
    <border>
      <left style="hair">
        <color theme="1" tint="0.499984740745262"/>
      </left>
      <right/>
      <top style="thin">
        <color theme="1" tint="0.499984740745262"/>
      </top>
      <bottom style="thin">
        <color theme="0" tint="-0.499984740745262"/>
      </bottom>
      <diagonal/>
    </border>
    <border>
      <left/>
      <right style="hair">
        <color theme="0" tint="-0.499984740745262"/>
      </right>
      <top style="thin">
        <color theme="1" tint="0.499984740745262"/>
      </top>
      <bottom style="thin">
        <color theme="0" tint="-0.499984740745262"/>
      </bottom>
      <diagonal/>
    </border>
    <border>
      <left style="hair">
        <color theme="0" tint="-0.499984740745262"/>
      </left>
      <right/>
      <top style="thin">
        <color theme="0" tint="-0.499984740745262"/>
      </top>
      <bottom style="thin">
        <color theme="1" tint="0.499984740745262"/>
      </bottom>
      <diagonal/>
    </border>
    <border>
      <left style="hair">
        <color theme="0" tint="-0.499984740745262"/>
      </left>
      <right/>
      <top style="thin">
        <color theme="1" tint="0.499984740745262"/>
      </top>
      <bottom style="thin">
        <color theme="1" tint="0.499984740745262"/>
      </bottom>
      <diagonal/>
    </border>
    <border>
      <left style="hair">
        <color theme="0" tint="-0.499984740745262"/>
      </left>
      <right/>
      <top style="thin">
        <color theme="1" tint="0.499984740745262"/>
      </top>
      <bottom style="thin">
        <color theme="0" tint="-0.499984740745262"/>
      </bottom>
      <diagonal/>
    </border>
    <border>
      <left style="hair">
        <color theme="0" tint="-0.499984740745262"/>
      </left>
      <right/>
      <top style="thick">
        <color rgb="FFF4A6DE"/>
      </top>
      <bottom/>
      <diagonal/>
    </border>
    <border>
      <left/>
      <right style="hair">
        <color theme="0" tint="-0.499984740745262"/>
      </right>
      <top/>
      <bottom style="thick">
        <color rgb="FFF4A6DE"/>
      </bottom>
      <diagonal/>
    </border>
    <border>
      <left style="thin">
        <color theme="0" tint="-0.499984740745262"/>
      </left>
      <right/>
      <top style="thin">
        <color indexed="64"/>
      </top>
      <bottom/>
      <diagonal/>
    </border>
    <border>
      <left style="hair">
        <color theme="0" tint="-0.499984740745262"/>
      </left>
      <right style="hair">
        <color theme="1" tint="0.499984740745262"/>
      </right>
      <top style="thin">
        <color theme="1" tint="0.499984740745262"/>
      </top>
      <bottom/>
      <diagonal/>
    </border>
    <border>
      <left style="hair">
        <color theme="0" tint="-0.499984740745262"/>
      </left>
      <right style="hair">
        <color theme="1" tint="0.499984740745262"/>
      </right>
      <top/>
      <bottom/>
      <diagonal/>
    </border>
    <border>
      <left style="hair">
        <color theme="0" tint="-0.499984740745262"/>
      </left>
      <right style="hair">
        <color theme="1" tint="0.499984740745262"/>
      </right>
      <top/>
      <bottom style="thin">
        <color theme="0" tint="-0.499984740745262"/>
      </bottom>
      <diagonal/>
    </border>
    <border>
      <left style="hair">
        <color theme="0" tint="-0.499984740745262"/>
      </left>
      <right/>
      <top style="thin">
        <color indexed="64"/>
      </top>
      <bottom/>
      <diagonal/>
    </border>
    <border>
      <left/>
      <right style="thin">
        <color theme="0" tint="-0.499984740745262"/>
      </right>
      <top style="thin">
        <color indexed="64"/>
      </top>
      <bottom/>
      <diagonal/>
    </border>
    <border>
      <left style="thin">
        <color indexed="64"/>
      </left>
      <right/>
      <top/>
      <bottom style="thin">
        <color theme="1"/>
      </bottom>
      <diagonal/>
    </border>
    <border>
      <left/>
      <right style="thin">
        <color indexed="64"/>
      </right>
      <top/>
      <bottom style="thin">
        <color theme="1"/>
      </bottom>
      <diagonal/>
    </border>
    <border>
      <left style="hair">
        <color theme="0" tint="-0.499984740745262"/>
      </left>
      <right/>
      <top/>
      <bottom style="medium">
        <color theme="2" tint="-0.499984740745262"/>
      </bottom>
      <diagonal/>
    </border>
    <border>
      <left/>
      <right style="thin">
        <color theme="0" tint="-0.499984740745262"/>
      </right>
      <top/>
      <bottom style="medium">
        <color theme="2" tint="-0.499984740745262"/>
      </bottom>
      <diagonal/>
    </border>
    <border>
      <left style="thin">
        <color theme="1" tint="0.499984740745262"/>
      </left>
      <right/>
      <top/>
      <bottom style="medium">
        <color theme="0" tint="-0.499984740745262"/>
      </bottom>
      <diagonal/>
    </border>
    <border>
      <left/>
      <right style="hair">
        <color theme="0" tint="-0.499984740745262"/>
      </right>
      <top/>
      <bottom style="medium">
        <color theme="0" tint="-0.499984740745262"/>
      </bottom>
      <diagonal/>
    </border>
    <border>
      <left style="thin">
        <color theme="1" tint="0.499984740745262"/>
      </left>
      <right/>
      <top style="medium">
        <color theme="0" tint="-0.499984740745262"/>
      </top>
      <bottom/>
      <diagonal/>
    </border>
    <border>
      <left/>
      <right/>
      <top style="medium">
        <color theme="0" tint="-0.499984740745262"/>
      </top>
      <bottom/>
      <diagonal/>
    </border>
    <border>
      <left/>
      <right style="hair">
        <color theme="0" tint="-0.499984740745262"/>
      </right>
      <top style="medium">
        <color theme="0" tint="-0.499984740745262"/>
      </top>
      <bottom/>
      <diagonal/>
    </border>
    <border>
      <left style="medium">
        <color theme="0" tint="-0.499984740745262"/>
      </left>
      <right style="thin">
        <color theme="1" tint="0.499984740745262"/>
      </right>
      <top style="thin">
        <color theme="1" tint="0.499984740745262"/>
      </top>
      <bottom/>
      <diagonal/>
    </border>
    <border>
      <left style="thin">
        <color theme="1" tint="0.499984740745262"/>
      </left>
      <right style="hair">
        <color theme="0" tint="-0.499984740745262"/>
      </right>
      <top style="thin">
        <color theme="1" tint="0.499984740745262"/>
      </top>
      <bottom/>
      <diagonal/>
    </border>
    <border>
      <left style="medium">
        <color theme="0" tint="-0.499984740745262"/>
      </left>
      <right style="thin">
        <color theme="1" tint="0.499984740745262"/>
      </right>
      <top/>
      <bottom/>
      <diagonal/>
    </border>
    <border>
      <left style="thin">
        <color theme="1" tint="0.499984740745262"/>
      </left>
      <right style="hair">
        <color theme="0" tint="-0.499984740745262"/>
      </right>
      <top/>
      <bottom/>
      <diagonal/>
    </border>
    <border>
      <left style="medium">
        <color theme="0" tint="-0.499984740745262"/>
      </left>
      <right style="thin">
        <color theme="1" tint="0.499984740745262"/>
      </right>
      <top/>
      <bottom style="medium">
        <color theme="1" tint="0.499984740745262"/>
      </bottom>
      <diagonal/>
    </border>
    <border>
      <left style="thin">
        <color theme="1" tint="0.499984740745262"/>
      </left>
      <right style="hair">
        <color theme="0" tint="-0.499984740745262"/>
      </right>
      <top/>
      <bottom style="medium">
        <color theme="1" tint="0.499984740745262"/>
      </bottom>
      <diagonal/>
    </border>
    <border>
      <left style="thin">
        <color theme="0" tint="-0.499984740745262"/>
      </left>
      <right/>
      <top style="medium">
        <color theme="0" tint="-0.499984740745262"/>
      </top>
      <bottom/>
      <diagonal/>
    </border>
    <border>
      <left style="hair">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style="thick">
        <color rgb="FFF4A6DE"/>
      </left>
      <right/>
      <top/>
      <bottom style="thin">
        <color theme="0" tint="-0.249977111117893"/>
      </bottom>
      <diagonal/>
    </border>
    <border>
      <left/>
      <right style="hair">
        <color theme="1" tint="0.499984740745262"/>
      </right>
      <top/>
      <bottom style="thin">
        <color theme="0" tint="-0.249977111117893"/>
      </bottom>
      <diagonal/>
    </border>
    <border>
      <left style="hair">
        <color theme="1" tint="0.499984740745262"/>
      </left>
      <right/>
      <top style="thin">
        <color theme="1" tint="0.499984740745262"/>
      </top>
      <bottom style="thin">
        <color theme="0" tint="-0.249977111117893"/>
      </bottom>
      <diagonal/>
    </border>
    <border>
      <left/>
      <right/>
      <top style="thin">
        <color theme="1" tint="0.499984740745262"/>
      </top>
      <bottom style="thin">
        <color theme="0" tint="-0.249977111117893"/>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ck">
        <color rgb="FFF4A6DE"/>
      </left>
      <right/>
      <top style="thin">
        <color theme="0" tint="-0.249977111117893"/>
      </top>
      <bottom/>
      <diagonal/>
    </border>
    <border>
      <left/>
      <right style="thick">
        <color rgb="FFF4A6DE"/>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ck">
        <color rgb="FFF4A6DE"/>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top style="hair">
        <color theme="1" tint="0.499984740745262"/>
      </top>
      <bottom style="thin">
        <color theme="0" tint="-0.499984740745262"/>
      </bottom>
      <diagonal/>
    </border>
    <border>
      <left style="thick">
        <color theme="6"/>
      </left>
      <right/>
      <top style="thin">
        <color theme="1" tint="0.499984740745262"/>
      </top>
      <bottom style="thin">
        <color theme="1" tint="0.499984740745262"/>
      </bottom>
      <diagonal/>
    </border>
    <border>
      <left style="thick">
        <color theme="6"/>
      </left>
      <right/>
      <top style="thick">
        <color theme="6"/>
      </top>
      <bottom style="thin">
        <color theme="1" tint="0.499984740745262"/>
      </bottom>
      <diagonal/>
    </border>
    <border>
      <left/>
      <right/>
      <top style="thick">
        <color theme="6"/>
      </top>
      <bottom style="thin">
        <color theme="1" tint="0.499984740745262"/>
      </bottom>
      <diagonal/>
    </border>
    <border>
      <left/>
      <right style="hair">
        <color theme="1" tint="0.499984740745262"/>
      </right>
      <top style="thick">
        <color theme="6"/>
      </top>
      <bottom style="thin">
        <color theme="1" tint="0.499984740745262"/>
      </bottom>
      <diagonal/>
    </border>
    <border>
      <left style="hair">
        <color theme="1" tint="0.499984740745262"/>
      </left>
      <right/>
      <top style="thick">
        <color theme="6"/>
      </top>
      <bottom/>
      <diagonal/>
    </border>
    <border>
      <left/>
      <right/>
      <top style="thick">
        <color theme="6"/>
      </top>
      <bottom/>
      <diagonal/>
    </border>
    <border>
      <left style="thin">
        <color theme="1" tint="0.499984740745262"/>
      </left>
      <right style="hair">
        <color theme="1" tint="0.499984740745262"/>
      </right>
      <top style="thick">
        <color theme="6"/>
      </top>
      <bottom/>
      <diagonal/>
    </border>
    <border>
      <left style="hair">
        <color theme="1" tint="0.499984740745262"/>
      </left>
      <right style="hair">
        <color theme="1" tint="0.499984740745262"/>
      </right>
      <top style="thick">
        <color theme="6"/>
      </top>
      <bottom/>
      <diagonal/>
    </border>
    <border>
      <left style="hair">
        <color theme="1" tint="0.499984740745262"/>
      </left>
      <right style="thin">
        <color theme="1" tint="0.499984740745262"/>
      </right>
      <top style="thick">
        <color theme="6"/>
      </top>
      <bottom/>
      <diagonal/>
    </border>
    <border>
      <left style="thin">
        <color theme="1" tint="0.499984740745262"/>
      </left>
      <right/>
      <top style="thick">
        <color theme="6"/>
      </top>
      <bottom/>
      <diagonal/>
    </border>
    <border>
      <left style="thick">
        <color theme="6"/>
      </left>
      <right/>
      <top style="thin">
        <color theme="1" tint="0.499984740745262"/>
      </top>
      <bottom style="thick">
        <color theme="6"/>
      </bottom>
      <diagonal/>
    </border>
    <border>
      <left/>
      <right/>
      <top style="thin">
        <color theme="1" tint="0.499984740745262"/>
      </top>
      <bottom style="thick">
        <color theme="6"/>
      </bottom>
      <diagonal/>
    </border>
    <border>
      <left/>
      <right style="hair">
        <color theme="1" tint="0.499984740745262"/>
      </right>
      <top style="thin">
        <color theme="1" tint="0.499984740745262"/>
      </top>
      <bottom style="thick">
        <color theme="6"/>
      </bottom>
      <diagonal/>
    </border>
    <border>
      <left style="hair">
        <color theme="1" tint="0.499984740745262"/>
      </left>
      <right/>
      <top/>
      <bottom style="thick">
        <color theme="6"/>
      </bottom>
      <diagonal/>
    </border>
    <border>
      <left/>
      <right/>
      <top/>
      <bottom style="thick">
        <color theme="6"/>
      </bottom>
      <diagonal/>
    </border>
    <border>
      <left style="thin">
        <color theme="1" tint="0.499984740745262"/>
      </left>
      <right style="hair">
        <color theme="1" tint="0.499984740745262"/>
      </right>
      <top/>
      <bottom style="thick">
        <color theme="6"/>
      </bottom>
      <diagonal/>
    </border>
    <border>
      <left style="hair">
        <color theme="1" tint="0.499984740745262"/>
      </left>
      <right style="hair">
        <color theme="1" tint="0.499984740745262"/>
      </right>
      <top/>
      <bottom style="thick">
        <color theme="6"/>
      </bottom>
      <diagonal/>
    </border>
    <border>
      <left style="hair">
        <color theme="1" tint="0.499984740745262"/>
      </left>
      <right style="thin">
        <color theme="1" tint="0.499984740745262"/>
      </right>
      <top/>
      <bottom style="thick">
        <color theme="6"/>
      </bottom>
      <diagonal/>
    </border>
    <border>
      <left style="thin">
        <color theme="1" tint="0.499984740745262"/>
      </left>
      <right/>
      <top/>
      <bottom style="thick">
        <color theme="6"/>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hair">
        <color theme="0" tint="-0.249977111117893"/>
      </right>
      <top style="thick">
        <color theme="9" tint="-0.499984740745262"/>
      </top>
      <bottom/>
      <diagonal/>
    </border>
    <border>
      <left style="hair">
        <color theme="0" tint="-0.249977111117893"/>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hair">
        <color theme="0" tint="-0.249977111117893"/>
      </right>
      <top/>
      <bottom style="thick">
        <color theme="9" tint="-0.499984740745262"/>
      </bottom>
      <diagonal/>
    </border>
    <border>
      <left style="hair">
        <color theme="0" tint="-0.249977111117893"/>
      </left>
      <right/>
      <top/>
      <bottom style="thick">
        <color theme="9" tint="-0.499984740745262"/>
      </bottom>
      <diagonal/>
    </border>
    <border>
      <left/>
      <right style="thick">
        <color theme="9" tint="-0.499984740745262"/>
      </right>
      <top/>
      <bottom style="thick">
        <color theme="9" tint="-0.499984740745262"/>
      </bottom>
      <diagonal/>
    </border>
    <border>
      <left/>
      <right/>
      <top/>
      <bottom style="thin">
        <color theme="0" tint="-0.34998626667073579"/>
      </bottom>
      <diagonal/>
    </border>
    <border>
      <left/>
      <right style="thin">
        <color theme="0" tint="-0.499984740745262"/>
      </right>
      <top style="thin">
        <color theme="0" tint="-0.34998626667073579"/>
      </top>
      <bottom/>
      <diagonal/>
    </border>
    <border>
      <left style="thin">
        <color theme="0" tint="-0.499984740745262"/>
      </left>
      <right style="thin">
        <color indexed="64"/>
      </right>
      <top style="thin">
        <color theme="0" tint="-0.34998626667073579"/>
      </top>
      <bottom style="thin">
        <color indexed="64"/>
      </bottom>
      <diagonal/>
    </border>
    <border>
      <left style="thin">
        <color indexed="64"/>
      </left>
      <right style="thin">
        <color theme="0" tint="-0.499984740745262"/>
      </right>
      <top style="thin">
        <color theme="0" tint="-0.34998626667073579"/>
      </top>
      <bottom style="thin">
        <color indexed="64"/>
      </bottom>
      <diagonal/>
    </border>
    <border>
      <left style="thin">
        <color theme="0" tint="-0.499984740745262"/>
      </left>
      <right/>
      <top style="thin">
        <color theme="0" tint="-0.34998626667073579"/>
      </top>
      <bottom/>
      <diagonal/>
    </border>
    <border>
      <left style="thin">
        <color indexed="64"/>
      </left>
      <right style="thin">
        <color indexed="64"/>
      </right>
      <top style="thin">
        <color theme="0" tint="-0.34998626667073579"/>
      </top>
      <bottom style="thin">
        <color indexed="64"/>
      </bottom>
      <diagonal/>
    </border>
    <border>
      <left/>
      <right style="thin">
        <color theme="1" tint="0.499984740745262"/>
      </right>
      <top style="thin">
        <color theme="0" tint="-0.34998626667073579"/>
      </top>
      <bottom/>
      <diagonal/>
    </border>
    <border>
      <left style="thin">
        <color theme="1" tint="0.499984740745262"/>
      </left>
      <right/>
      <top style="thin">
        <color theme="0" tint="-0.34998626667073579"/>
      </top>
      <bottom/>
      <diagonal/>
    </border>
    <border>
      <left style="thin">
        <color indexed="64"/>
      </left>
      <right style="thin">
        <color theme="0" tint="-0.499984740745262"/>
      </right>
      <top style="thin">
        <color indexed="64"/>
      </top>
      <bottom style="thin">
        <color theme="0" tint="-0.34998626667073579"/>
      </bottom>
      <diagonal/>
    </border>
    <border>
      <left style="thin">
        <color theme="0" tint="-0.499984740745262"/>
      </left>
      <right/>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right style="thin">
        <color theme="1" tint="0.499984740745262"/>
      </right>
      <top/>
      <bottom style="thin">
        <color theme="0" tint="-0.34998626667073579"/>
      </bottom>
      <diagonal/>
    </border>
    <border>
      <left style="thin">
        <color theme="1" tint="0.499984740745262"/>
      </left>
      <right/>
      <top/>
      <bottom style="thin">
        <color theme="0" tint="-0.34998626667073579"/>
      </bottom>
      <diagonal/>
    </border>
    <border>
      <left/>
      <right style="thin">
        <color theme="0" tint="-0.34998626667073579"/>
      </right>
      <top/>
      <bottom style="thin">
        <color theme="0" tint="-0.34998626667073579"/>
      </bottom>
      <diagonal/>
    </border>
    <border>
      <left style="thick">
        <color theme="0" tint="-0.499984740745262"/>
      </left>
      <right/>
      <top/>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style="thin">
        <color indexed="64"/>
      </top>
      <bottom/>
      <diagonal/>
    </border>
    <border>
      <left style="thick">
        <color theme="1" tint="0.499984740745262"/>
      </left>
      <right/>
      <top style="thin">
        <color theme="0" tint="-0.499984740745262"/>
      </top>
      <bottom/>
      <diagonal/>
    </border>
    <border>
      <left/>
      <right style="hair">
        <color theme="1" tint="0.499984740745262"/>
      </right>
      <top style="thin">
        <color theme="0" tint="-0.499984740745262"/>
      </top>
      <bottom/>
      <diagonal/>
    </border>
    <border>
      <left style="hair">
        <color theme="1" tint="0.499984740745262"/>
      </left>
      <right/>
      <top style="thin">
        <color theme="0" tint="-0.499984740745262"/>
      </top>
      <bottom/>
      <diagonal/>
    </border>
    <border>
      <left style="medium">
        <color theme="1" tint="0.499984740745262"/>
      </left>
      <right/>
      <top/>
      <bottom style="thin">
        <color theme="0" tint="-0.499984740745262"/>
      </bottom>
      <diagonal/>
    </border>
    <border>
      <left style="thin">
        <color theme="1" tint="0.499984740745262"/>
      </left>
      <right style="thin">
        <color theme="0" tint="-0.499984740745262"/>
      </right>
      <top style="thin">
        <color theme="1" tint="0.499984740745262"/>
      </top>
      <bottom/>
      <diagonal/>
    </border>
    <border>
      <left style="thin">
        <color theme="1" tint="0.499984740745262"/>
      </left>
      <right style="thin">
        <color theme="0" tint="-0.499984740745262"/>
      </right>
      <top/>
      <bottom/>
      <diagonal/>
    </border>
    <border>
      <left style="thin">
        <color theme="1" tint="0.499984740745262"/>
      </left>
      <right style="thin">
        <color theme="1" tint="0.499984740745262"/>
      </right>
      <top/>
      <bottom style="thin">
        <color theme="0" tint="-0.499984740745262"/>
      </bottom>
      <diagonal/>
    </border>
    <border>
      <left style="thin">
        <color theme="1" tint="0.499984740745262"/>
      </left>
      <right style="thin">
        <color theme="0" tint="-0.499984740745262"/>
      </right>
      <top/>
      <bottom style="thin">
        <color theme="0" tint="-0.499984740745262"/>
      </bottom>
      <diagonal/>
    </border>
    <border>
      <left style="thick">
        <color theme="1"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diagonal/>
    </border>
    <border>
      <left style="medium">
        <color theme="0" tint="-0.499984740745262"/>
      </left>
      <right style="hair">
        <color theme="0" tint="-0.499984740745262"/>
      </right>
      <top style="medium">
        <color theme="0" tint="-0.499984740745262"/>
      </top>
      <bottom/>
      <diagonal/>
    </border>
    <border>
      <left style="hair">
        <color theme="0" tint="-0.499984740745262"/>
      </left>
      <right style="hair">
        <color theme="0" tint="-0.499984740745262"/>
      </right>
      <top style="medium">
        <color theme="0" tint="-0.499984740745262"/>
      </top>
      <bottom/>
      <diagonal/>
    </border>
    <border>
      <left style="hair">
        <color theme="0" tint="-0.499984740745262"/>
      </left>
      <right style="medium">
        <color theme="0" tint="-0.499984740745262"/>
      </right>
      <top style="medium">
        <color theme="0" tint="-0.499984740745262"/>
      </top>
      <bottom/>
      <diagonal/>
    </border>
    <border>
      <left style="medium">
        <color theme="0" tint="-0.499984740745262"/>
      </left>
      <right style="hair">
        <color theme="0" tint="-0.499984740745262"/>
      </right>
      <top/>
      <bottom/>
      <diagonal/>
    </border>
    <border>
      <left style="hair">
        <color theme="0" tint="-0.499984740745262"/>
      </left>
      <right style="hair">
        <color theme="0" tint="-0.499984740745262"/>
      </right>
      <top/>
      <bottom/>
      <diagonal/>
    </border>
    <border>
      <left style="hair">
        <color theme="0" tint="-0.499984740745262"/>
      </left>
      <right style="medium">
        <color theme="0" tint="-0.499984740745262"/>
      </right>
      <top/>
      <bottom/>
      <diagonal/>
    </border>
    <border>
      <left style="medium">
        <color theme="0" tint="-0.499984740745262"/>
      </left>
      <right style="hair">
        <color theme="0" tint="-0.499984740745262"/>
      </right>
      <top/>
      <bottom style="medium">
        <color theme="0" tint="-0.499984740745262"/>
      </bottom>
      <diagonal/>
    </border>
    <border>
      <left style="hair">
        <color theme="0" tint="-0.499984740745262"/>
      </left>
      <right style="hair">
        <color theme="0" tint="-0.499984740745262"/>
      </right>
      <top/>
      <bottom style="medium">
        <color theme="0" tint="-0.499984740745262"/>
      </bottom>
      <diagonal/>
    </border>
    <border>
      <left style="hair">
        <color theme="0" tint="-0.499984740745262"/>
      </left>
      <right style="medium">
        <color theme="0" tint="-0.499984740745262"/>
      </right>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hair">
        <color theme="0" tint="-0.249977111117893"/>
      </left>
      <right/>
      <top style="thin">
        <color theme="0" tint="-0.499984740745262"/>
      </top>
      <bottom/>
      <diagonal/>
    </border>
    <border>
      <left style="hair">
        <color theme="0" tint="-0.249977111117893"/>
      </left>
      <right/>
      <top/>
      <bottom style="thin">
        <color theme="1" tint="0.499984740745262"/>
      </bottom>
      <diagonal/>
    </border>
    <border>
      <left style="hair">
        <color theme="0" tint="-0.249977111117893"/>
      </left>
      <right/>
      <top style="thin">
        <color theme="1" tint="0.499984740745262"/>
      </top>
      <bottom/>
      <diagonal/>
    </border>
    <border>
      <left style="hair">
        <color theme="0" tint="-0.249977111117893"/>
      </left>
      <right/>
      <top/>
      <bottom style="thin">
        <color theme="0" tint="-0.499984740745262"/>
      </bottom>
      <diagonal/>
    </border>
    <border>
      <left/>
      <right style="hair">
        <color theme="0" tint="-0.249977111117893"/>
      </right>
      <top style="thin">
        <color theme="1"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hair">
        <color theme="1"/>
      </left>
      <right/>
      <top/>
      <bottom style="thin">
        <color theme="0" tint="-0.499984740745262"/>
      </bottom>
      <diagonal/>
    </border>
    <border>
      <left/>
      <right style="hair">
        <color theme="0" tint="-0.249977111117893"/>
      </right>
      <top/>
      <bottom style="thick">
        <color rgb="FFF4A6DE"/>
      </bottom>
      <diagonal/>
    </border>
    <border>
      <left style="hair">
        <color theme="0" tint="-0.249977111117893"/>
      </left>
      <right/>
      <top/>
      <bottom style="thick">
        <color rgb="FFF4A6DE"/>
      </bottom>
      <diagonal/>
    </border>
    <border>
      <left style="thin">
        <color theme="0" tint="-0.499984740745262"/>
      </left>
      <right/>
      <top style="thick">
        <color theme="6"/>
      </top>
      <bottom/>
      <diagonal/>
    </border>
    <border>
      <left style="thin">
        <color theme="0" tint="-0.499984740745262"/>
      </left>
      <right/>
      <top/>
      <bottom style="thick">
        <color theme="6"/>
      </bottom>
      <diagonal/>
    </border>
    <border>
      <left/>
      <right style="thick">
        <color rgb="FFF4A6DE"/>
      </right>
      <top/>
      <bottom style="thick">
        <color theme="6"/>
      </bottom>
      <diagonal/>
    </border>
    <border>
      <left style="thick">
        <color rgb="FFF4A6DE"/>
      </left>
      <right/>
      <top style="thin">
        <color theme="1" tint="0.499984740745262"/>
      </top>
      <bottom style="thick">
        <color rgb="FFF4A6DE"/>
      </bottom>
      <diagonal/>
    </border>
    <border>
      <left/>
      <right style="hair">
        <color theme="1" tint="0.499984740745262"/>
      </right>
      <top style="thin">
        <color theme="1" tint="0.499984740745262"/>
      </top>
      <bottom style="thick">
        <color rgb="FFF4A6DE"/>
      </bottom>
      <diagonal/>
    </border>
    <border>
      <left style="thin">
        <color theme="1"/>
      </left>
      <right/>
      <top style="thick">
        <color rgb="FFF4A6DE"/>
      </top>
      <bottom/>
      <diagonal/>
    </border>
    <border>
      <left/>
      <right style="thin">
        <color theme="1"/>
      </right>
      <top style="thick">
        <color rgb="FFF4A6DE"/>
      </top>
      <bottom/>
      <diagonal/>
    </border>
    <border>
      <left/>
      <right style="thin">
        <color theme="1"/>
      </right>
      <top/>
      <bottom style="thick">
        <color rgb="FFF4A6DE"/>
      </bottom>
      <diagonal/>
    </border>
    <border>
      <left style="thin">
        <color theme="1"/>
      </left>
      <right/>
      <top/>
      <bottom style="thick">
        <color rgb="FFF4A6DE"/>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hair">
        <color theme="0" tint="-0.499984740745262"/>
      </right>
      <top style="thick">
        <color theme="9" tint="-0.499984740745262"/>
      </top>
      <bottom/>
      <diagonal/>
    </border>
    <border>
      <left style="hair">
        <color theme="0" tint="-0.499984740745262"/>
      </left>
      <right/>
      <top style="thick">
        <color theme="9" tint="-0.499984740745262"/>
      </top>
      <bottom/>
      <diagonal/>
    </border>
    <border>
      <left/>
      <right style="hair">
        <color theme="0" tint="-0.499984740745262"/>
      </right>
      <top/>
      <bottom style="thick">
        <color theme="9" tint="-0.499984740745262"/>
      </bottom>
      <diagonal/>
    </border>
    <border>
      <left style="hair">
        <color theme="0" tint="-0.499984740745262"/>
      </left>
      <right/>
      <top/>
      <bottom style="thick">
        <color theme="9" tint="-0.499984740745262"/>
      </bottom>
      <diagonal/>
    </border>
  </borders>
  <cellStyleXfs count="18">
    <xf numFmtId="0" fontId="0" fillId="0" borderId="0">
      <alignment vertical="center"/>
    </xf>
    <xf numFmtId="0" fontId="18" fillId="0" borderId="0" applyNumberFormat="0" applyFill="0" applyBorder="0" applyAlignment="0" applyProtection="0"/>
    <xf numFmtId="38" fontId="19" fillId="0" borderId="0" applyFont="0" applyFill="0" applyBorder="0" applyAlignment="0" applyProtection="0">
      <alignment vertical="center"/>
    </xf>
    <xf numFmtId="0" fontId="16" fillId="0" borderId="0"/>
    <xf numFmtId="0" fontId="71" fillId="0" borderId="0">
      <alignment vertical="center"/>
    </xf>
    <xf numFmtId="38" fontId="71" fillId="0" borderId="0" applyFont="0" applyFill="0" applyBorder="0" applyAlignment="0" applyProtection="0">
      <alignment vertical="center"/>
    </xf>
    <xf numFmtId="38" fontId="29" fillId="0" borderId="0" applyFont="0" applyFill="0" applyBorder="0" applyAlignment="0" applyProtection="0">
      <alignment vertical="center"/>
    </xf>
    <xf numFmtId="0" fontId="29" fillId="0" borderId="0">
      <alignment vertical="center"/>
    </xf>
    <xf numFmtId="0" fontId="13" fillId="0" borderId="0">
      <alignment vertical="center"/>
    </xf>
    <xf numFmtId="38" fontId="13" fillId="0" borderId="0" applyFont="0" applyFill="0" applyBorder="0" applyAlignment="0" applyProtection="0">
      <alignment vertical="center"/>
    </xf>
    <xf numFmtId="0" fontId="19" fillId="0" borderId="0">
      <alignment vertical="center"/>
    </xf>
    <xf numFmtId="38" fontId="19"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9" fontId="19" fillId="0" borderId="0" applyFont="0" applyFill="0" applyBorder="0" applyAlignment="0" applyProtection="0">
      <alignment vertical="center"/>
    </xf>
  </cellStyleXfs>
  <cellXfs count="4904">
    <xf numFmtId="0" fontId="0" fillId="0" borderId="0" xfId="0">
      <alignment vertical="center"/>
    </xf>
    <xf numFmtId="0" fontId="20" fillId="0" borderId="0" xfId="0" applyFont="1">
      <alignment vertical="center"/>
    </xf>
    <xf numFmtId="0" fontId="20" fillId="8" borderId="0" xfId="0" applyFont="1" applyFill="1">
      <alignment vertical="center"/>
    </xf>
    <xf numFmtId="179" fontId="20" fillId="8" borderId="0" xfId="0" applyNumberFormat="1" applyFont="1" applyFill="1">
      <alignment vertical="center"/>
    </xf>
    <xf numFmtId="14" fontId="20" fillId="8" borderId="0" xfId="0" applyNumberFormat="1" applyFont="1" applyFill="1" applyAlignment="1">
      <alignment horizontal="left" vertical="center"/>
    </xf>
    <xf numFmtId="38" fontId="20" fillId="8" borderId="0" xfId="0" applyNumberFormat="1" applyFont="1" applyFill="1" applyAlignment="1">
      <alignment horizontal="left" vertical="center"/>
    </xf>
    <xf numFmtId="0" fontId="20" fillId="8" borderId="0" xfId="0" applyFont="1" applyFill="1" applyAlignment="1">
      <alignment horizontal="center" vertical="center"/>
    </xf>
    <xf numFmtId="49" fontId="20" fillId="8" borderId="0" xfId="0" applyNumberFormat="1" applyFont="1" applyFill="1">
      <alignment vertical="center"/>
    </xf>
    <xf numFmtId="0" fontId="20" fillId="0" borderId="40" xfId="0" applyFont="1" applyBorder="1">
      <alignment vertical="center"/>
    </xf>
    <xf numFmtId="0" fontId="20" fillId="0" borderId="44" xfId="0" applyFont="1" applyBorder="1">
      <alignment vertical="center"/>
    </xf>
    <xf numFmtId="0" fontId="20" fillId="0" borderId="45" xfId="0" applyFont="1" applyBorder="1">
      <alignment vertical="center"/>
    </xf>
    <xf numFmtId="38" fontId="20" fillId="0" borderId="44" xfId="0" applyNumberFormat="1" applyFont="1" applyBorder="1">
      <alignment vertical="center"/>
    </xf>
    <xf numFmtId="0" fontId="20" fillId="0" borderId="59" xfId="0" applyFont="1" applyBorder="1">
      <alignment vertical="center"/>
    </xf>
    <xf numFmtId="0" fontId="20" fillId="0" borderId="60" xfId="0" applyFont="1" applyBorder="1">
      <alignment vertical="center"/>
    </xf>
    <xf numFmtId="38" fontId="20" fillId="0" borderId="59" xfId="0" applyNumberFormat="1" applyFont="1" applyBorder="1">
      <alignment vertical="center"/>
    </xf>
    <xf numFmtId="0" fontId="20" fillId="0" borderId="0" xfId="0" quotePrefix="1" applyFont="1">
      <alignment vertical="center"/>
    </xf>
    <xf numFmtId="0" fontId="20" fillId="0" borderId="82" xfId="0" applyFont="1" applyBorder="1">
      <alignment vertical="center"/>
    </xf>
    <xf numFmtId="0" fontId="20" fillId="0" borderId="83" xfId="0" applyFont="1" applyBorder="1">
      <alignment vertical="center"/>
    </xf>
    <xf numFmtId="178" fontId="20" fillId="0" borderId="86" xfId="0" applyNumberFormat="1" applyFont="1" applyBorder="1">
      <alignment vertical="center"/>
    </xf>
    <xf numFmtId="0" fontId="20" fillId="0" borderId="87" xfId="0" applyFont="1" applyBorder="1" applyAlignment="1">
      <alignment horizontal="right" vertical="center"/>
    </xf>
    <xf numFmtId="180" fontId="20" fillId="0" borderId="86" xfId="0" applyNumberFormat="1" applyFont="1" applyBorder="1">
      <alignment vertical="center"/>
    </xf>
    <xf numFmtId="49" fontId="20" fillId="0" borderId="87" xfId="0" applyNumberFormat="1" applyFont="1" applyBorder="1">
      <alignment vertical="center"/>
    </xf>
    <xf numFmtId="179" fontId="20" fillId="0" borderId="87" xfId="0" applyNumberFormat="1" applyFont="1" applyBorder="1">
      <alignment vertical="center"/>
    </xf>
    <xf numFmtId="0" fontId="20" fillId="0" borderId="87" xfId="0" applyFont="1" applyBorder="1">
      <alignment vertical="center"/>
    </xf>
    <xf numFmtId="0" fontId="23" fillId="0" borderId="0" xfId="0" applyFont="1">
      <alignment vertical="center"/>
    </xf>
    <xf numFmtId="0" fontId="23" fillId="0" borderId="0" xfId="0" applyFont="1" applyAlignment="1">
      <alignment horizontal="center" vertical="center"/>
    </xf>
    <xf numFmtId="0" fontId="20" fillId="0" borderId="86" xfId="0" applyFont="1" applyBorder="1">
      <alignment vertical="center"/>
    </xf>
    <xf numFmtId="14" fontId="20" fillId="0" borderId="87" xfId="0" applyNumberFormat="1" applyFont="1" applyBorder="1" applyAlignment="1">
      <alignment horizontal="right" vertical="center"/>
    </xf>
    <xf numFmtId="0" fontId="20" fillId="0" borderId="80" xfId="0" applyFont="1" applyBorder="1">
      <alignment vertical="center"/>
    </xf>
    <xf numFmtId="0" fontId="20" fillId="0" borderId="81" xfId="0" applyFont="1" applyBorder="1">
      <alignment vertical="center"/>
    </xf>
    <xf numFmtId="0" fontId="24" fillId="0" borderId="60" xfId="0" applyFont="1" applyBorder="1">
      <alignment vertical="center"/>
    </xf>
    <xf numFmtId="0" fontId="24" fillId="0" borderId="59" xfId="0" applyFont="1" applyBorder="1">
      <alignment vertical="center"/>
    </xf>
    <xf numFmtId="0" fontId="24" fillId="0" borderId="59" xfId="0" applyFont="1" applyBorder="1" applyAlignment="1">
      <alignment horizontal="center" vertical="center"/>
    </xf>
    <xf numFmtId="0" fontId="0" fillId="0" borderId="106" xfId="0" applyBorder="1">
      <alignment vertical="center"/>
    </xf>
    <xf numFmtId="0" fontId="0" fillId="0" borderId="107" xfId="0" applyBorder="1">
      <alignment vertical="center"/>
    </xf>
    <xf numFmtId="0" fontId="24" fillId="0" borderId="106" xfId="0" applyFont="1" applyBorder="1">
      <alignment vertical="center"/>
    </xf>
    <xf numFmtId="0" fontId="24" fillId="0" borderId="107" xfId="0" applyFont="1" applyBorder="1" applyAlignment="1">
      <alignment vertical="center" wrapText="1"/>
    </xf>
    <xf numFmtId="0" fontId="24" fillId="0" borderId="107" xfId="0" applyFont="1" applyBorder="1">
      <alignment vertical="center"/>
    </xf>
    <xf numFmtId="0" fontId="0" fillId="0" borderId="108" xfId="0" applyBorder="1">
      <alignment vertical="center"/>
    </xf>
    <xf numFmtId="0" fontId="0" fillId="0" borderId="109" xfId="0" applyBorder="1">
      <alignment vertical="center"/>
    </xf>
    <xf numFmtId="0" fontId="26" fillId="10" borderId="11" xfId="0" applyFont="1" applyFill="1" applyBorder="1" applyAlignment="1">
      <alignment horizontal="center" vertical="center"/>
    </xf>
    <xf numFmtId="0" fontId="23" fillId="2" borderId="11" xfId="0" applyFont="1" applyFill="1" applyBorder="1" applyAlignment="1">
      <alignment horizontal="center" vertical="center"/>
    </xf>
    <xf numFmtId="0" fontId="26" fillId="7" borderId="11" xfId="0" applyFont="1" applyFill="1" applyBorder="1" applyAlignment="1">
      <alignment horizontal="center" vertical="center"/>
    </xf>
    <xf numFmtId="0" fontId="26" fillId="12" borderId="11" xfId="0" applyFont="1" applyFill="1" applyBorder="1" applyAlignment="1">
      <alignment horizontal="center" vertical="center"/>
    </xf>
    <xf numFmtId="0" fontId="28" fillId="8" borderId="0" xfId="0" applyFont="1" applyFill="1" applyProtection="1">
      <alignment vertical="center"/>
      <protection hidden="1"/>
    </xf>
    <xf numFmtId="0" fontId="28" fillId="0" borderId="0" xfId="0" applyFont="1" applyProtection="1">
      <alignment vertical="center"/>
      <protection hidden="1"/>
    </xf>
    <xf numFmtId="0" fontId="31" fillId="8" borderId="0" xfId="0" applyFont="1" applyFill="1" applyAlignment="1" applyProtection="1">
      <alignment vertical="center" wrapText="1"/>
      <protection hidden="1"/>
    </xf>
    <xf numFmtId="0" fontId="31" fillId="8" borderId="0" xfId="0" applyFont="1" applyFill="1" applyProtection="1">
      <alignment vertical="center"/>
      <protection hidden="1"/>
    </xf>
    <xf numFmtId="0" fontId="35" fillId="8" borderId="0" xfId="0" applyFont="1" applyFill="1" applyProtection="1">
      <alignment vertical="center"/>
      <protection hidden="1"/>
    </xf>
    <xf numFmtId="0" fontId="35" fillId="0" borderId="0" xfId="0" applyFont="1" applyProtection="1">
      <alignment vertical="center"/>
      <protection hidden="1"/>
    </xf>
    <xf numFmtId="49" fontId="28" fillId="8" borderId="0" xfId="0" applyNumberFormat="1" applyFont="1" applyFill="1" applyProtection="1">
      <alignment vertical="center"/>
      <protection hidden="1"/>
    </xf>
    <xf numFmtId="49" fontId="38" fillId="8" borderId="0" xfId="0" applyNumberFormat="1" applyFont="1" applyFill="1" applyProtection="1">
      <alignment vertical="center"/>
      <protection hidden="1"/>
    </xf>
    <xf numFmtId="0" fontId="38" fillId="8" borderId="0" xfId="0" applyFont="1" applyFill="1" applyProtection="1">
      <alignment vertical="center"/>
      <protection hidden="1"/>
    </xf>
    <xf numFmtId="0" fontId="29" fillId="8" borderId="0" xfId="0" applyFont="1" applyFill="1" applyAlignment="1" applyProtection="1">
      <alignment vertical="top" wrapText="1"/>
      <protection hidden="1"/>
    </xf>
    <xf numFmtId="0" fontId="35" fillId="8" borderId="0" xfId="0" applyFont="1" applyFill="1" applyAlignment="1" applyProtection="1">
      <alignment horizontal="center" vertical="center"/>
      <protection hidden="1"/>
    </xf>
    <xf numFmtId="0" fontId="35" fillId="8" borderId="0" xfId="0" applyFont="1" applyFill="1" applyAlignment="1" applyProtection="1">
      <alignment horizontal="left" vertical="center"/>
      <protection hidden="1"/>
    </xf>
    <xf numFmtId="0" fontId="28" fillId="0" borderId="0" xfId="0" applyFont="1" applyAlignment="1" applyProtection="1">
      <alignment horizontal="left" vertical="center"/>
      <protection hidden="1"/>
    </xf>
    <xf numFmtId="0" fontId="37" fillId="8" borderId="0" xfId="0" applyFont="1" applyFill="1" applyAlignment="1" applyProtection="1">
      <alignment horizontal="center" vertical="center"/>
      <protection hidden="1"/>
    </xf>
    <xf numFmtId="0" fontId="39" fillId="8" borderId="0" xfId="0" applyFont="1" applyFill="1" applyProtection="1">
      <alignment vertical="center"/>
      <protection hidden="1"/>
    </xf>
    <xf numFmtId="0" fontId="49" fillId="8" borderId="0" xfId="0" applyFont="1" applyFill="1" applyAlignment="1" applyProtection="1">
      <alignment vertical="center" wrapText="1"/>
      <protection hidden="1"/>
    </xf>
    <xf numFmtId="0" fontId="49" fillId="8" borderId="0" xfId="0" applyFont="1" applyFill="1" applyAlignment="1" applyProtection="1">
      <alignment horizontal="left" vertical="center" wrapText="1"/>
      <protection hidden="1"/>
    </xf>
    <xf numFmtId="0" fontId="28" fillId="8" borderId="0" xfId="0" applyFont="1" applyFill="1">
      <alignment vertical="center"/>
    </xf>
    <xf numFmtId="0" fontId="28" fillId="0" borderId="0" xfId="0" applyFont="1">
      <alignment vertical="center"/>
    </xf>
    <xf numFmtId="0" fontId="39" fillId="8" borderId="0" xfId="0" applyFont="1" applyFill="1" applyAlignment="1" applyProtection="1">
      <alignment vertical="center" wrapText="1"/>
      <protection hidden="1"/>
    </xf>
    <xf numFmtId="0" fontId="39" fillId="8" borderId="0" xfId="0" applyFont="1" applyFill="1" applyAlignment="1" applyProtection="1">
      <alignment horizontal="left" vertical="top" wrapText="1"/>
      <protection hidden="1"/>
    </xf>
    <xf numFmtId="0" fontId="20" fillId="0" borderId="115" xfId="0" applyFont="1" applyBorder="1">
      <alignment vertical="center"/>
    </xf>
    <xf numFmtId="0" fontId="20" fillId="0" borderId="117" xfId="0" applyFont="1" applyBorder="1">
      <alignment vertical="center"/>
    </xf>
    <xf numFmtId="0" fontId="20" fillId="17" borderId="114" xfId="0" applyFont="1" applyFill="1" applyBorder="1">
      <alignment vertical="center"/>
    </xf>
    <xf numFmtId="0" fontId="20" fillId="17" borderId="116" xfId="0" applyFont="1" applyFill="1" applyBorder="1">
      <alignment vertical="center"/>
    </xf>
    <xf numFmtId="0" fontId="20" fillId="17" borderId="112" xfId="0" applyFont="1" applyFill="1" applyBorder="1" applyAlignment="1">
      <alignment horizontal="center" vertical="center"/>
    </xf>
    <xf numFmtId="0" fontId="20" fillId="17" borderId="113" xfId="0" applyFont="1" applyFill="1" applyBorder="1" applyAlignment="1">
      <alignment horizontal="center" vertical="center"/>
    </xf>
    <xf numFmtId="0" fontId="20" fillId="0" borderId="88" xfId="0" applyFont="1" applyBorder="1">
      <alignment vertical="center"/>
    </xf>
    <xf numFmtId="0" fontId="20" fillId="0" borderId="11" xfId="0" applyFont="1" applyBorder="1">
      <alignment vertical="center"/>
    </xf>
    <xf numFmtId="0" fontId="20" fillId="0" borderId="21" xfId="0" applyFont="1" applyBorder="1">
      <alignment vertical="center"/>
    </xf>
    <xf numFmtId="180" fontId="20" fillId="15" borderId="60" xfId="0" applyNumberFormat="1" applyFont="1" applyFill="1" applyBorder="1" applyAlignment="1">
      <alignment horizontal="right" vertical="center"/>
    </xf>
    <xf numFmtId="0" fontId="20" fillId="15" borderId="45" xfId="0" applyFont="1" applyFill="1" applyBorder="1" applyAlignment="1">
      <alignment horizontal="right" vertical="center"/>
    </xf>
    <xf numFmtId="0" fontId="22" fillId="15" borderId="60" xfId="0" applyFont="1" applyFill="1" applyBorder="1" applyAlignment="1">
      <alignment horizontal="right" vertical="center"/>
    </xf>
    <xf numFmtId="14" fontId="22" fillId="15" borderId="60" xfId="0" applyNumberFormat="1" applyFont="1" applyFill="1" applyBorder="1" applyAlignment="1">
      <alignment horizontal="right" vertical="center"/>
    </xf>
    <xf numFmtId="14" fontId="22" fillId="15" borderId="45" xfId="0" applyNumberFormat="1" applyFont="1" applyFill="1" applyBorder="1" applyAlignment="1">
      <alignment horizontal="right" vertical="center"/>
    </xf>
    <xf numFmtId="0" fontId="22" fillId="15" borderId="45" xfId="0" applyFont="1" applyFill="1" applyBorder="1" applyAlignment="1">
      <alignment horizontal="right" vertical="center"/>
    </xf>
    <xf numFmtId="178" fontId="20" fillId="15" borderId="59" xfId="0" applyNumberFormat="1" applyFont="1" applyFill="1" applyBorder="1" applyAlignment="1">
      <alignment horizontal="right" vertical="center"/>
    </xf>
    <xf numFmtId="180" fontId="20" fillId="15" borderId="59" xfId="0" applyNumberFormat="1" applyFont="1" applyFill="1" applyBorder="1" applyAlignment="1">
      <alignment horizontal="right" vertical="center"/>
    </xf>
    <xf numFmtId="178" fontId="20" fillId="15" borderId="44" xfId="0" applyNumberFormat="1" applyFont="1" applyFill="1" applyBorder="1" applyAlignment="1">
      <alignment horizontal="right" vertical="center"/>
    </xf>
    <xf numFmtId="177" fontId="20" fillId="15" borderId="44" xfId="0" applyNumberFormat="1" applyFont="1" applyFill="1" applyBorder="1" applyAlignment="1">
      <alignment horizontal="right" vertical="center"/>
    </xf>
    <xf numFmtId="49" fontId="20" fillId="15" borderId="45" xfId="0" applyNumberFormat="1" applyFont="1" applyFill="1" applyBorder="1" applyAlignment="1">
      <alignment horizontal="right" vertical="center"/>
    </xf>
    <xf numFmtId="0" fontId="20" fillId="15" borderId="44" xfId="0" applyFont="1" applyFill="1" applyBorder="1" applyAlignment="1">
      <alignment horizontal="right" vertical="center"/>
    </xf>
    <xf numFmtId="179" fontId="20" fillId="15" borderId="45" xfId="0" applyNumberFormat="1" applyFont="1" applyFill="1" applyBorder="1" applyAlignment="1">
      <alignment horizontal="right" vertical="center"/>
    </xf>
    <xf numFmtId="180" fontId="20" fillId="15" borderId="40" xfId="0" applyNumberFormat="1" applyFont="1" applyFill="1" applyBorder="1" applyAlignment="1">
      <alignment horizontal="right" vertical="center"/>
    </xf>
    <xf numFmtId="0" fontId="20" fillId="15" borderId="40" xfId="0" applyFont="1" applyFill="1" applyBorder="1" applyAlignment="1">
      <alignment horizontal="right" vertical="center"/>
    </xf>
    <xf numFmtId="178" fontId="20" fillId="15" borderId="74" xfId="0" applyNumberFormat="1" applyFont="1" applyFill="1" applyBorder="1" applyAlignment="1">
      <alignment horizontal="right" vertical="center"/>
    </xf>
    <xf numFmtId="0" fontId="20" fillId="11" borderId="118" xfId="0" applyFont="1" applyFill="1" applyBorder="1">
      <alignment vertical="center"/>
    </xf>
    <xf numFmtId="0" fontId="20" fillId="11" borderId="119" xfId="0" applyFont="1" applyFill="1" applyBorder="1">
      <alignment vertical="center"/>
    </xf>
    <xf numFmtId="0" fontId="20" fillId="11" borderId="120" xfId="0" applyFont="1" applyFill="1" applyBorder="1">
      <alignment vertical="center"/>
    </xf>
    <xf numFmtId="0" fontId="20" fillId="11" borderId="121" xfId="0" applyFont="1" applyFill="1" applyBorder="1">
      <alignment vertical="center"/>
    </xf>
    <xf numFmtId="0" fontId="20" fillId="11" borderId="122" xfId="0" applyFont="1" applyFill="1" applyBorder="1">
      <alignment vertical="center"/>
    </xf>
    <xf numFmtId="0" fontId="20" fillId="11" borderId="118" xfId="0" applyFont="1" applyFill="1" applyBorder="1" applyAlignment="1">
      <alignment horizontal="left" vertical="center"/>
    </xf>
    <xf numFmtId="0" fontId="20" fillId="11" borderId="119" xfId="0" applyFont="1" applyFill="1" applyBorder="1" applyAlignment="1">
      <alignment horizontal="left" vertical="center"/>
    </xf>
    <xf numFmtId="0" fontId="20" fillId="11" borderId="120" xfId="0" applyFont="1" applyFill="1" applyBorder="1" applyAlignment="1">
      <alignment horizontal="left" vertical="center"/>
    </xf>
    <xf numFmtId="0" fontId="22" fillId="15" borderId="75" xfId="0" applyFont="1" applyFill="1" applyBorder="1" applyAlignment="1">
      <alignment horizontal="right" vertical="center"/>
    </xf>
    <xf numFmtId="0" fontId="20" fillId="15" borderId="60" xfId="0" applyFont="1" applyFill="1" applyBorder="1" applyAlignment="1">
      <alignment horizontal="right" vertical="center"/>
    </xf>
    <xf numFmtId="0" fontId="20" fillId="15" borderId="41" xfId="0" applyFont="1" applyFill="1" applyBorder="1" applyAlignment="1">
      <alignment horizontal="right" vertical="center"/>
    </xf>
    <xf numFmtId="0" fontId="20" fillId="0" borderId="41" xfId="0" applyFont="1" applyBorder="1">
      <alignment vertical="center"/>
    </xf>
    <xf numFmtId="0" fontId="20" fillId="0" borderId="43" xfId="0" applyFont="1" applyBorder="1">
      <alignment vertical="center"/>
    </xf>
    <xf numFmtId="0" fontId="35" fillId="8" borderId="51" xfId="0" applyFont="1" applyFill="1" applyBorder="1" applyAlignment="1" applyProtection="1">
      <alignment horizontal="left" vertical="center"/>
      <protection hidden="1"/>
    </xf>
    <xf numFmtId="0" fontId="60" fillId="0" borderId="24" xfId="0" applyFont="1" applyBorder="1">
      <alignment vertical="center"/>
    </xf>
    <xf numFmtId="0" fontId="60" fillId="0" borderId="110" xfId="0" applyFont="1" applyBorder="1">
      <alignment vertical="center"/>
    </xf>
    <xf numFmtId="0" fontId="60" fillId="0" borderId="0" xfId="0" applyFont="1">
      <alignment vertical="center"/>
    </xf>
    <xf numFmtId="0" fontId="60" fillId="0" borderId="24" xfId="0" quotePrefix="1" applyFont="1" applyBorder="1">
      <alignment vertical="center"/>
    </xf>
    <xf numFmtId="0" fontId="60" fillId="0" borderId="0" xfId="0" quotePrefix="1" applyFont="1">
      <alignment vertical="center"/>
    </xf>
    <xf numFmtId="0" fontId="37" fillId="0" borderId="0" xfId="0" applyFont="1" applyProtection="1">
      <alignment vertical="center"/>
      <protection hidden="1"/>
    </xf>
    <xf numFmtId="180" fontId="42" fillId="0" borderId="0" xfId="0" applyNumberFormat="1" applyFont="1" applyAlignment="1" applyProtection="1">
      <alignment vertical="center" shrinkToFit="1"/>
      <protection hidden="1"/>
    </xf>
    <xf numFmtId="0" fontId="20" fillId="0" borderId="123" xfId="0" applyFont="1" applyBorder="1">
      <alignment vertical="center"/>
    </xf>
    <xf numFmtId="0" fontId="20" fillId="0" borderId="124" xfId="0" applyFont="1" applyBorder="1">
      <alignment vertical="center"/>
    </xf>
    <xf numFmtId="0" fontId="20" fillId="0" borderId="125" xfId="0" applyFont="1" applyBorder="1">
      <alignment vertical="center"/>
    </xf>
    <xf numFmtId="0" fontId="20" fillId="0" borderId="126" xfId="0" applyFont="1" applyBorder="1">
      <alignment vertical="center"/>
    </xf>
    <xf numFmtId="0" fontId="20" fillId="0" borderId="127" xfId="0" applyFont="1" applyBorder="1">
      <alignment vertical="center"/>
    </xf>
    <xf numFmtId="0" fontId="20" fillId="0" borderId="128" xfId="0" applyFont="1" applyBorder="1">
      <alignment vertical="center"/>
    </xf>
    <xf numFmtId="0" fontId="20" fillId="0" borderId="24" xfId="0" applyFont="1" applyBorder="1">
      <alignment vertical="center"/>
    </xf>
    <xf numFmtId="0" fontId="20" fillId="0" borderId="129" xfId="0" applyFont="1" applyBorder="1">
      <alignment vertical="center"/>
    </xf>
    <xf numFmtId="0" fontId="20" fillId="0" borderId="130" xfId="0" applyFont="1" applyBorder="1">
      <alignment vertical="center"/>
    </xf>
    <xf numFmtId="0" fontId="20" fillId="0" borderId="131" xfId="0" applyFont="1" applyBorder="1">
      <alignment vertical="center"/>
    </xf>
    <xf numFmtId="0" fontId="20" fillId="11" borderId="132" xfId="0" applyFont="1" applyFill="1" applyBorder="1">
      <alignment vertical="center"/>
    </xf>
    <xf numFmtId="0" fontId="20" fillId="11" borderId="121" xfId="0" applyFont="1" applyFill="1" applyBorder="1" applyAlignment="1">
      <alignment horizontal="left" vertical="center"/>
    </xf>
    <xf numFmtId="0" fontId="20" fillId="11" borderId="132" xfId="0" applyFont="1" applyFill="1" applyBorder="1" applyAlignment="1">
      <alignment horizontal="left" vertical="center"/>
    </xf>
    <xf numFmtId="0" fontId="20" fillId="11" borderId="122" xfId="0" applyFont="1" applyFill="1" applyBorder="1" applyAlignment="1">
      <alignment horizontal="left" vertical="center"/>
    </xf>
    <xf numFmtId="0" fontId="28" fillId="0" borderId="0" xfId="0" applyFont="1" applyAlignment="1" applyProtection="1">
      <alignment horizontal="center" vertical="center"/>
      <protection hidden="1"/>
    </xf>
    <xf numFmtId="0" fontId="43" fillId="0" borderId="0" xfId="0" applyFont="1" applyAlignment="1" applyProtection="1">
      <alignment vertical="center" wrapText="1" shrinkToFit="1"/>
      <protection hidden="1"/>
    </xf>
    <xf numFmtId="0" fontId="0" fillId="8" borderId="0" xfId="0" applyFill="1">
      <alignment vertical="center"/>
    </xf>
    <xf numFmtId="0" fontId="0" fillId="8" borderId="0" xfId="0" applyFill="1" applyProtection="1">
      <alignment vertical="center"/>
      <protection hidden="1"/>
    </xf>
    <xf numFmtId="0" fontId="0" fillId="0" borderId="0" xfId="0" applyProtection="1">
      <alignment vertical="center"/>
      <protection hidden="1"/>
    </xf>
    <xf numFmtId="0" fontId="67" fillId="8" borderId="0" xfId="0" applyFont="1" applyFill="1">
      <alignment vertical="center"/>
    </xf>
    <xf numFmtId="0" fontId="67" fillId="8" borderId="0" xfId="0" applyFont="1" applyFill="1" applyAlignment="1" applyProtection="1">
      <alignment horizontal="left" vertical="center"/>
      <protection hidden="1"/>
    </xf>
    <xf numFmtId="0" fontId="67" fillId="8" borderId="0" xfId="0" applyFont="1" applyFill="1" applyProtection="1">
      <alignment vertical="center"/>
      <protection hidden="1"/>
    </xf>
    <xf numFmtId="0" fontId="65" fillId="8" borderId="0" xfId="0" applyFont="1" applyFill="1">
      <alignment vertical="center"/>
    </xf>
    <xf numFmtId="0" fontId="65" fillId="8" borderId="0" xfId="0" applyFont="1" applyFill="1" applyProtection="1">
      <alignment vertical="center"/>
      <protection hidden="1"/>
    </xf>
    <xf numFmtId="0" fontId="68" fillId="8" borderId="0" xfId="0" applyFont="1" applyFill="1" applyAlignment="1" applyProtection="1">
      <alignment horizontal="left" vertical="center"/>
      <protection hidden="1"/>
    </xf>
    <xf numFmtId="178" fontId="20" fillId="0" borderId="11" xfId="0" applyNumberFormat="1" applyFont="1" applyBorder="1">
      <alignment vertical="center"/>
    </xf>
    <xf numFmtId="0" fontId="20" fillId="0" borderId="21" xfId="0" applyFont="1" applyBorder="1" applyAlignment="1">
      <alignment horizontal="right" vertical="center"/>
    </xf>
    <xf numFmtId="180" fontId="20" fillId="24" borderId="11" xfId="0" applyNumberFormat="1" applyFont="1" applyFill="1" applyBorder="1">
      <alignment vertical="center"/>
    </xf>
    <xf numFmtId="180" fontId="20" fillId="0" borderId="21" xfId="0" applyNumberFormat="1" applyFont="1" applyBorder="1">
      <alignment vertical="center"/>
    </xf>
    <xf numFmtId="180" fontId="20" fillId="0" borderId="11" xfId="0" applyNumberFormat="1" applyFont="1" applyBorder="1">
      <alignment vertical="center"/>
    </xf>
    <xf numFmtId="14" fontId="20" fillId="0" borderId="21" xfId="0" applyNumberFormat="1" applyFont="1" applyBorder="1" applyAlignment="1">
      <alignment horizontal="right" vertical="center"/>
    </xf>
    <xf numFmtId="38" fontId="20" fillId="0" borderId="13" xfId="0" applyNumberFormat="1" applyFont="1" applyBorder="1">
      <alignment vertical="center"/>
    </xf>
    <xf numFmtId="0" fontId="20" fillId="0" borderId="23" xfId="0" applyFont="1" applyBorder="1">
      <alignment vertical="center"/>
    </xf>
    <xf numFmtId="0" fontId="43" fillId="8" borderId="0" xfId="0" applyFont="1" applyFill="1" applyAlignment="1" applyProtection="1">
      <alignment horizontal="left" vertical="top" wrapText="1"/>
      <protection hidden="1"/>
    </xf>
    <xf numFmtId="0" fontId="24" fillId="0" borderId="0" xfId="0" applyFont="1">
      <alignment vertical="center"/>
    </xf>
    <xf numFmtId="0" fontId="75" fillId="8" borderId="0" xfId="0" applyFont="1" applyFill="1" applyProtection="1">
      <alignment vertical="center"/>
      <protection hidden="1"/>
    </xf>
    <xf numFmtId="0" fontId="75" fillId="0" borderId="0" xfId="0" applyFont="1" applyProtection="1">
      <alignment vertical="center"/>
      <protection hidden="1"/>
    </xf>
    <xf numFmtId="0" fontId="0" fillId="8" borderId="0" xfId="0" applyFill="1" applyAlignment="1" applyProtection="1">
      <alignment horizontal="left"/>
      <protection hidden="1"/>
    </xf>
    <xf numFmtId="0" fontId="75" fillId="8" borderId="0" xfId="0" applyFont="1" applyFill="1" applyAlignment="1" applyProtection="1">
      <alignment horizontal="center" vertical="center"/>
      <protection hidden="1"/>
    </xf>
    <xf numFmtId="0" fontId="75" fillId="8" borderId="0" xfId="0" applyFont="1" applyFill="1" applyAlignment="1" applyProtection="1">
      <alignment horizontal="left" vertical="center"/>
      <protection hidden="1"/>
    </xf>
    <xf numFmtId="0" fontId="68" fillId="4" borderId="157" xfId="0" applyFont="1" applyFill="1" applyBorder="1" applyAlignment="1" applyProtection="1">
      <alignment vertical="center" wrapText="1"/>
      <protection hidden="1"/>
    </xf>
    <xf numFmtId="0" fontId="68" fillId="4" borderId="158" xfId="0" applyFont="1" applyFill="1" applyBorder="1" applyAlignment="1" applyProtection="1">
      <alignment vertical="center" wrapText="1"/>
      <protection hidden="1"/>
    </xf>
    <xf numFmtId="183" fontId="67" fillId="8" borderId="0" xfId="0" applyNumberFormat="1" applyFont="1" applyFill="1" applyAlignment="1" applyProtection="1">
      <alignment vertical="center" shrinkToFit="1"/>
      <protection hidden="1"/>
    </xf>
    <xf numFmtId="183" fontId="67" fillId="0" borderId="0" xfId="0" applyNumberFormat="1" applyFont="1" applyAlignment="1" applyProtection="1">
      <alignment vertical="center" shrinkToFit="1"/>
      <protection hidden="1"/>
    </xf>
    <xf numFmtId="0" fontId="68" fillId="8" borderId="0" xfId="0" applyFont="1" applyFill="1" applyAlignment="1" applyProtection="1">
      <protection hidden="1"/>
    </xf>
    <xf numFmtId="0" fontId="68" fillId="0" borderId="0" xfId="0" applyFont="1" applyAlignment="1" applyProtection="1">
      <protection hidden="1"/>
    </xf>
    <xf numFmtId="0" fontId="68" fillId="0" borderId="0" xfId="0" applyFont="1" applyProtection="1">
      <alignment vertical="center"/>
      <protection hidden="1"/>
    </xf>
    <xf numFmtId="0" fontId="68" fillId="8" borderId="0" xfId="0" applyFont="1" applyFill="1" applyAlignment="1" applyProtection="1">
      <alignment horizontal="center" vertical="center"/>
      <protection hidden="1"/>
    </xf>
    <xf numFmtId="0" fontId="24" fillId="8" borderId="0" xfId="0" applyFont="1" applyFill="1" applyAlignment="1" applyProtection="1">
      <alignment horizontal="center" vertical="center"/>
      <protection hidden="1"/>
    </xf>
    <xf numFmtId="0" fontId="67" fillId="8" borderId="0" xfId="0" applyFont="1" applyFill="1" applyAlignment="1" applyProtection="1">
      <alignment horizontal="center" vertical="center"/>
      <protection hidden="1"/>
    </xf>
    <xf numFmtId="49" fontId="24" fillId="8" borderId="0" xfId="0" applyNumberFormat="1" applyFont="1" applyFill="1" applyAlignment="1" applyProtection="1">
      <alignment horizontal="center" vertical="center"/>
      <protection hidden="1"/>
    </xf>
    <xf numFmtId="176" fontId="24" fillId="8" borderId="0" xfId="0" applyNumberFormat="1" applyFont="1" applyFill="1" applyAlignment="1" applyProtection="1">
      <alignment horizontal="center" vertical="center"/>
      <protection hidden="1"/>
    </xf>
    <xf numFmtId="180" fontId="24" fillId="8" borderId="0" xfId="0" applyNumberFormat="1" applyFont="1" applyFill="1" applyAlignment="1" applyProtection="1">
      <alignment horizontal="right" vertical="center"/>
      <protection hidden="1"/>
    </xf>
    <xf numFmtId="182" fontId="24" fillId="8" borderId="0" xfId="0" applyNumberFormat="1" applyFont="1" applyFill="1" applyAlignment="1" applyProtection="1">
      <alignment horizontal="left" vertical="center"/>
      <protection hidden="1"/>
    </xf>
    <xf numFmtId="180" fontId="24" fillId="8" borderId="0" xfId="0" applyNumberFormat="1" applyFont="1" applyFill="1" applyAlignment="1" applyProtection="1">
      <alignment horizontal="left" vertical="center"/>
      <protection hidden="1"/>
    </xf>
    <xf numFmtId="182" fontId="24" fillId="8" borderId="0" xfId="0" applyNumberFormat="1" applyFont="1" applyFill="1" applyAlignment="1" applyProtection="1">
      <alignment horizontal="center" vertical="center"/>
      <protection hidden="1"/>
    </xf>
    <xf numFmtId="180" fontId="24" fillId="8" borderId="0" xfId="0" applyNumberFormat="1" applyFont="1" applyFill="1" applyAlignment="1" applyProtection="1">
      <alignment horizontal="center" vertical="center"/>
      <protection hidden="1"/>
    </xf>
    <xf numFmtId="0" fontId="89" fillId="4" borderId="14" xfId="0" applyFont="1" applyFill="1" applyBorder="1" applyAlignment="1" applyProtection="1">
      <alignment horizontal="left"/>
      <protection hidden="1"/>
    </xf>
    <xf numFmtId="0" fontId="68" fillId="8" borderId="0" xfId="0" applyFont="1" applyFill="1" applyProtection="1">
      <alignment vertical="center"/>
      <protection hidden="1"/>
    </xf>
    <xf numFmtId="0" fontId="24" fillId="8" borderId="0" xfId="0" applyFont="1" applyFill="1" applyProtection="1">
      <alignment vertical="center"/>
      <protection hidden="1"/>
    </xf>
    <xf numFmtId="0" fontId="90" fillId="8" borderId="0" xfId="0" applyFont="1" applyFill="1" applyProtection="1">
      <alignment vertical="center"/>
      <protection hidden="1"/>
    </xf>
    <xf numFmtId="38" fontId="91" fillId="8" borderId="0" xfId="2" applyFont="1" applyFill="1" applyBorder="1" applyAlignment="1" applyProtection="1">
      <alignment vertical="center"/>
      <protection hidden="1"/>
    </xf>
    <xf numFmtId="0" fontId="92" fillId="8" borderId="0" xfId="0" applyFont="1" applyFill="1" applyProtection="1">
      <alignment vertical="center"/>
      <protection hidden="1"/>
    </xf>
    <xf numFmtId="0" fontId="94" fillId="8" borderId="0" xfId="0" applyFont="1" applyFill="1" applyProtection="1">
      <alignment vertical="center"/>
      <protection hidden="1"/>
    </xf>
    <xf numFmtId="0" fontId="68" fillId="8" borderId="0" xfId="0" applyFont="1" applyFill="1" applyAlignment="1" applyProtection="1">
      <alignment vertical="top"/>
      <protection hidden="1"/>
    </xf>
    <xf numFmtId="0" fontId="68" fillId="8" borderId="19" xfId="0" applyFont="1" applyFill="1" applyBorder="1" applyAlignment="1" applyProtection="1">
      <alignment vertical="top"/>
      <protection hidden="1"/>
    </xf>
    <xf numFmtId="0" fontId="68" fillId="8" borderId="4" xfId="0" applyFont="1" applyFill="1" applyBorder="1" applyAlignment="1" applyProtection="1">
      <alignment vertical="top"/>
      <protection locked="0" hidden="1"/>
    </xf>
    <xf numFmtId="0" fontId="68" fillId="8" borderId="20" xfId="0" applyFont="1" applyFill="1" applyBorder="1" applyAlignment="1" applyProtection="1">
      <alignment vertical="top"/>
      <protection locked="0" hidden="1"/>
    </xf>
    <xf numFmtId="0" fontId="75" fillId="8" borderId="0" xfId="0" applyFont="1" applyFill="1" applyAlignment="1" applyProtection="1">
      <alignment vertical="top"/>
      <protection hidden="1"/>
    </xf>
    <xf numFmtId="0" fontId="68" fillId="8" borderId="11" xfId="0" applyFont="1" applyFill="1" applyBorder="1" applyAlignment="1" applyProtection="1">
      <alignment vertical="top"/>
      <protection locked="0" hidden="1"/>
    </xf>
    <xf numFmtId="0" fontId="68" fillId="8" borderId="0" xfId="0" applyFont="1" applyFill="1" applyAlignment="1" applyProtection="1">
      <alignment vertical="top"/>
      <protection locked="0" hidden="1"/>
    </xf>
    <xf numFmtId="0" fontId="68" fillId="8" borderId="21" xfId="0" applyFont="1" applyFill="1" applyBorder="1" applyAlignment="1" applyProtection="1">
      <alignment vertical="top"/>
      <protection locked="0" hidden="1"/>
    </xf>
    <xf numFmtId="0" fontId="75" fillId="8" borderId="0" xfId="0" applyFont="1" applyFill="1" applyAlignment="1" applyProtection="1">
      <alignment vertical="top" wrapText="1"/>
      <protection hidden="1"/>
    </xf>
    <xf numFmtId="0" fontId="75" fillId="8" borderId="13" xfId="0" applyFont="1" applyFill="1" applyBorder="1" applyAlignment="1" applyProtection="1">
      <alignment vertical="top" wrapText="1"/>
      <protection hidden="1"/>
    </xf>
    <xf numFmtId="0" fontId="75" fillId="8" borderId="14" xfId="0" applyFont="1" applyFill="1" applyBorder="1" applyAlignment="1" applyProtection="1">
      <alignment vertical="top" wrapText="1"/>
      <protection hidden="1"/>
    </xf>
    <xf numFmtId="0" fontId="75" fillId="8" borderId="23" xfId="0" applyFont="1" applyFill="1" applyBorder="1" applyAlignment="1" applyProtection="1">
      <alignment vertical="top" wrapText="1"/>
      <protection hidden="1"/>
    </xf>
    <xf numFmtId="0" fontId="75" fillId="8" borderId="0" xfId="0" applyFont="1" applyFill="1" applyAlignment="1" applyProtection="1">
      <alignment horizontal="left" wrapText="1"/>
      <protection hidden="1"/>
    </xf>
    <xf numFmtId="0" fontId="75" fillId="0" borderId="0" xfId="0" applyFont="1" applyAlignment="1" applyProtection="1">
      <alignment horizontal="left" wrapText="1"/>
      <protection hidden="1"/>
    </xf>
    <xf numFmtId="0" fontId="24" fillId="0" borderId="0" xfId="0" applyFont="1" applyAlignment="1">
      <alignment horizontal="center" vertical="center"/>
    </xf>
    <xf numFmtId="14" fontId="24" fillId="0" borderId="0" xfId="0" applyNumberFormat="1" applyFont="1">
      <alignment vertical="center"/>
    </xf>
    <xf numFmtId="0" fontId="24" fillId="0" borderId="0" xfId="0" quotePrefix="1" applyFont="1">
      <alignment vertical="center"/>
    </xf>
    <xf numFmtId="0" fontId="95" fillId="0" borderId="0" xfId="0" applyFont="1">
      <alignment vertical="center"/>
    </xf>
    <xf numFmtId="38" fontId="24" fillId="0" borderId="0" xfId="0" applyNumberFormat="1" applyFont="1">
      <alignment vertical="center"/>
    </xf>
    <xf numFmtId="14" fontId="24" fillId="0" borderId="0" xfId="0" applyNumberFormat="1" applyFont="1" applyAlignment="1">
      <alignment horizontal="left" vertical="center"/>
    </xf>
    <xf numFmtId="38" fontId="24" fillId="0" borderId="0" xfId="0" applyNumberFormat="1" applyFont="1" applyAlignment="1">
      <alignment horizontal="left" vertical="center"/>
    </xf>
    <xf numFmtId="178" fontId="24" fillId="0" borderId="0" xfId="0" applyNumberFormat="1" applyFont="1">
      <alignment vertical="center"/>
    </xf>
    <xf numFmtId="177" fontId="24" fillId="0" borderId="0" xfId="0" applyNumberFormat="1" applyFont="1">
      <alignment vertical="center"/>
    </xf>
    <xf numFmtId="0" fontId="13" fillId="0" borderId="0" xfId="8">
      <alignment vertical="center"/>
    </xf>
    <xf numFmtId="0" fontId="28" fillId="8" borderId="0" xfId="8" applyFont="1" applyFill="1" applyProtection="1">
      <alignment vertical="center"/>
      <protection hidden="1"/>
    </xf>
    <xf numFmtId="0" fontId="28" fillId="0" borderId="0" xfId="8" applyFont="1" applyProtection="1">
      <alignment vertical="center"/>
      <protection hidden="1"/>
    </xf>
    <xf numFmtId="0" fontId="33" fillId="8" borderId="0" xfId="1" applyFont="1" applyFill="1" applyBorder="1" applyAlignment="1" applyProtection="1">
      <alignment vertical="center"/>
    </xf>
    <xf numFmtId="0" fontId="35" fillId="8" borderId="0" xfId="8" applyFont="1" applyFill="1" applyProtection="1">
      <alignment vertical="center"/>
      <protection hidden="1"/>
    </xf>
    <xf numFmtId="49" fontId="29" fillId="8" borderId="0" xfId="8" applyNumberFormat="1" applyFont="1" applyFill="1" applyAlignment="1" applyProtection="1">
      <alignment vertical="top"/>
      <protection hidden="1"/>
    </xf>
    <xf numFmtId="0" fontId="29" fillId="8" borderId="0" xfId="8" applyFont="1" applyFill="1" applyAlignment="1" applyProtection="1">
      <alignment vertical="top" wrapText="1"/>
      <protection hidden="1"/>
    </xf>
    <xf numFmtId="0" fontId="52" fillId="8" borderId="0" xfId="8" applyFont="1" applyFill="1" applyProtection="1">
      <alignment vertical="center"/>
      <protection hidden="1"/>
    </xf>
    <xf numFmtId="0" fontId="55" fillId="8" borderId="0" xfId="8" applyFont="1" applyFill="1" applyAlignment="1" applyProtection="1">
      <protection hidden="1"/>
    </xf>
    <xf numFmtId="0" fontId="52" fillId="8" borderId="0" xfId="8" applyFont="1" applyFill="1" applyAlignment="1" applyProtection="1">
      <alignment horizontal="left" vertical="center"/>
      <protection hidden="1"/>
    </xf>
    <xf numFmtId="0" fontId="98" fillId="8" borderId="0" xfId="8" applyFont="1" applyFill="1" applyProtection="1">
      <alignment vertical="center"/>
      <protection hidden="1"/>
    </xf>
    <xf numFmtId="0" fontId="98" fillId="8" borderId="0" xfId="8" applyFont="1" applyFill="1" applyAlignment="1" applyProtection="1">
      <alignment wrapText="1"/>
      <protection hidden="1"/>
    </xf>
    <xf numFmtId="0" fontId="69" fillId="8" borderId="0" xfId="8" applyFont="1" applyFill="1" applyAlignment="1" applyProtection="1">
      <alignment horizontal="center" vertical="center" wrapText="1" shrinkToFit="1"/>
      <protection hidden="1"/>
    </xf>
    <xf numFmtId="0" fontId="42" fillId="8" borderId="0" xfId="8" applyFont="1" applyFill="1" applyAlignment="1">
      <alignment horizontal="center" vertical="center" shrinkToFit="1"/>
    </xf>
    <xf numFmtId="0" fontId="20" fillId="0" borderId="0" xfId="8" applyFont="1">
      <alignment vertical="center"/>
    </xf>
    <xf numFmtId="0" fontId="75" fillId="0" borderId="0" xfId="8" applyFont="1">
      <alignment vertical="center"/>
    </xf>
    <xf numFmtId="0" fontId="68" fillId="0" borderId="0" xfId="8" applyFont="1">
      <alignment vertical="center"/>
    </xf>
    <xf numFmtId="0" fontId="68" fillId="0" borderId="0" xfId="8" applyFont="1" applyAlignment="1">
      <alignment horizontal="left" vertical="center"/>
    </xf>
    <xf numFmtId="38" fontId="20" fillId="0" borderId="0" xfId="8" applyNumberFormat="1" applyFont="1">
      <alignment vertical="center"/>
    </xf>
    <xf numFmtId="38" fontId="75" fillId="0" borderId="0" xfId="8" applyNumberFormat="1" applyFont="1">
      <alignment vertical="center"/>
    </xf>
    <xf numFmtId="0" fontId="20" fillId="0" borderId="106" xfId="8" applyFont="1" applyBorder="1">
      <alignment vertical="center"/>
    </xf>
    <xf numFmtId="0" fontId="20" fillId="0" borderId="107" xfId="8" quotePrefix="1" applyFont="1" applyBorder="1">
      <alignment vertical="center"/>
    </xf>
    <xf numFmtId="0" fontId="24" fillId="0" borderId="0" xfId="8" applyFont="1">
      <alignment vertical="center"/>
    </xf>
    <xf numFmtId="0" fontId="24" fillId="0" borderId="107" xfId="8" applyFont="1" applyBorder="1">
      <alignment vertical="center"/>
    </xf>
    <xf numFmtId="0" fontId="41" fillId="7" borderId="91" xfId="0" applyFont="1" applyFill="1" applyBorder="1" applyAlignment="1" applyProtection="1">
      <alignment horizontal="left" vertical="top" wrapText="1"/>
      <protection hidden="1"/>
    </xf>
    <xf numFmtId="0" fontId="41" fillId="7" borderId="0" xfId="0" applyFont="1" applyFill="1" applyAlignment="1" applyProtection="1">
      <alignment horizontal="left" vertical="top" wrapText="1"/>
      <protection hidden="1"/>
    </xf>
    <xf numFmtId="0" fontId="26" fillId="33" borderId="16" xfId="10" applyFont="1" applyFill="1" applyBorder="1" applyAlignment="1">
      <alignment horizontal="center" vertical="center"/>
    </xf>
    <xf numFmtId="0" fontId="26" fillId="34" borderId="0" xfId="10" applyFont="1" applyFill="1" applyAlignment="1">
      <alignment horizontal="center" vertical="center"/>
    </xf>
    <xf numFmtId="0" fontId="26" fillId="36" borderId="0" xfId="10" applyFont="1" applyFill="1" applyAlignment="1">
      <alignment horizontal="center" vertical="center"/>
    </xf>
    <xf numFmtId="0" fontId="61" fillId="0" borderId="59" xfId="0" applyFont="1" applyBorder="1">
      <alignment vertical="center"/>
    </xf>
    <xf numFmtId="0" fontId="61" fillId="0" borderId="60" xfId="0" applyFont="1" applyBorder="1">
      <alignment vertical="center"/>
    </xf>
    <xf numFmtId="0" fontId="23" fillId="0" borderId="0" xfId="0" applyFont="1" applyAlignment="1">
      <alignment horizontal="right" vertical="center"/>
    </xf>
    <xf numFmtId="0" fontId="20" fillId="0" borderId="201" xfId="8" applyFont="1" applyBorder="1">
      <alignment vertical="center"/>
    </xf>
    <xf numFmtId="0" fontId="75" fillId="0" borderId="201" xfId="8" applyFont="1" applyBorder="1">
      <alignment vertical="center"/>
    </xf>
    <xf numFmtId="0" fontId="68" fillId="0" borderId="201" xfId="8" applyFont="1" applyBorder="1">
      <alignment vertical="center"/>
    </xf>
    <xf numFmtId="0" fontId="13" fillId="0" borderId="202" xfId="8" applyBorder="1">
      <alignment vertical="center"/>
    </xf>
    <xf numFmtId="0" fontId="13" fillId="0" borderId="203" xfId="8" applyBorder="1">
      <alignment vertical="center"/>
    </xf>
    <xf numFmtId="0" fontId="20" fillId="0" borderId="207" xfId="8" applyFont="1" applyBorder="1">
      <alignment vertical="center"/>
    </xf>
    <xf numFmtId="0" fontId="20" fillId="0" borderId="208" xfId="8" applyFont="1" applyBorder="1">
      <alignment vertical="center"/>
    </xf>
    <xf numFmtId="0" fontId="75" fillId="0" borderId="207" xfId="8" applyFont="1" applyBorder="1">
      <alignment vertical="center"/>
    </xf>
    <xf numFmtId="0" fontId="68" fillId="0" borderId="207" xfId="8" applyFont="1" applyBorder="1">
      <alignment vertical="center"/>
    </xf>
    <xf numFmtId="0" fontId="24" fillId="0" borderId="208" xfId="8" applyFont="1" applyBorder="1">
      <alignment vertical="center"/>
    </xf>
    <xf numFmtId="0" fontId="68" fillId="0" borderId="207" xfId="8" applyFont="1" applyBorder="1" applyAlignment="1">
      <alignment horizontal="left" vertical="center"/>
    </xf>
    <xf numFmtId="0" fontId="13" fillId="0" borderId="209" xfId="8" applyBorder="1">
      <alignment vertical="center"/>
    </xf>
    <xf numFmtId="0" fontId="13" fillId="0" borderId="210" xfId="8" applyBorder="1">
      <alignment vertical="center"/>
    </xf>
    <xf numFmtId="0" fontId="13" fillId="0" borderId="211" xfId="8" applyBorder="1">
      <alignment vertical="center"/>
    </xf>
    <xf numFmtId="0" fontId="20" fillId="0" borderId="214" xfId="8" quotePrefix="1" applyFont="1" applyBorder="1">
      <alignment vertical="center"/>
    </xf>
    <xf numFmtId="0" fontId="20" fillId="0" borderId="215" xfId="8" applyFont="1" applyBorder="1">
      <alignment vertical="center"/>
    </xf>
    <xf numFmtId="0" fontId="75" fillId="0" borderId="214" xfId="8" applyFont="1" applyBorder="1">
      <alignment vertical="center"/>
    </xf>
    <xf numFmtId="0" fontId="68" fillId="0" borderId="214" xfId="8" applyFont="1" applyBorder="1">
      <alignment vertical="center"/>
    </xf>
    <xf numFmtId="0" fontId="24" fillId="0" borderId="215" xfId="8" applyFont="1" applyBorder="1">
      <alignment vertical="center"/>
    </xf>
    <xf numFmtId="0" fontId="68" fillId="0" borderId="214" xfId="8" applyFont="1" applyBorder="1" applyAlignment="1">
      <alignment horizontal="left" vertical="center"/>
    </xf>
    <xf numFmtId="0" fontId="20" fillId="0" borderId="214" xfId="8" applyFont="1" applyBorder="1">
      <alignment vertical="center"/>
    </xf>
    <xf numFmtId="0" fontId="13" fillId="0" borderId="216" xfId="8" applyBorder="1">
      <alignment vertical="center"/>
    </xf>
    <xf numFmtId="0" fontId="13" fillId="0" borderId="217" xfId="8" applyBorder="1">
      <alignment vertical="center"/>
    </xf>
    <xf numFmtId="0" fontId="20" fillId="0" borderId="221" xfId="8" applyFont="1" applyBorder="1">
      <alignment vertical="center"/>
    </xf>
    <xf numFmtId="0" fontId="105" fillId="0" borderId="222" xfId="8" applyFont="1" applyBorder="1">
      <alignment vertical="center"/>
    </xf>
    <xf numFmtId="0" fontId="75" fillId="0" borderId="221" xfId="8" applyFont="1" applyBorder="1">
      <alignment vertical="center"/>
    </xf>
    <xf numFmtId="0" fontId="103" fillId="0" borderId="222" xfId="8" applyFont="1" applyBorder="1">
      <alignment vertical="center"/>
    </xf>
    <xf numFmtId="0" fontId="13" fillId="0" borderId="222" xfId="8" applyBorder="1">
      <alignment vertical="center"/>
    </xf>
    <xf numFmtId="0" fontId="13" fillId="0" borderId="221" xfId="8" applyBorder="1">
      <alignment vertical="center"/>
    </xf>
    <xf numFmtId="0" fontId="13" fillId="0" borderId="223" xfId="8" applyBorder="1">
      <alignment vertical="center"/>
    </xf>
    <xf numFmtId="0" fontId="13" fillId="0" borderId="224" xfId="8" applyBorder="1">
      <alignment vertical="center"/>
    </xf>
    <xf numFmtId="0" fontId="13" fillId="0" borderId="225" xfId="8" applyBorder="1">
      <alignment vertical="center"/>
    </xf>
    <xf numFmtId="0" fontId="103" fillId="0" borderId="0" xfId="8" applyFont="1">
      <alignment vertical="center"/>
    </xf>
    <xf numFmtId="0" fontId="20" fillId="0" borderId="107" xfId="8" applyFont="1" applyBorder="1">
      <alignment vertical="center"/>
    </xf>
    <xf numFmtId="0" fontId="75" fillId="0" borderId="106" xfId="8" applyFont="1" applyBorder="1">
      <alignment vertical="center"/>
    </xf>
    <xf numFmtId="0" fontId="68" fillId="0" borderId="106" xfId="8" applyFont="1" applyBorder="1">
      <alignment vertical="center"/>
    </xf>
    <xf numFmtId="0" fontId="68" fillId="0" borderId="106" xfId="8" applyFont="1" applyBorder="1" applyAlignment="1">
      <alignment horizontal="left" vertical="center"/>
    </xf>
    <xf numFmtId="38" fontId="20" fillId="0" borderId="106" xfId="8" applyNumberFormat="1" applyFont="1" applyBorder="1">
      <alignment vertical="center"/>
    </xf>
    <xf numFmtId="0" fontId="75" fillId="0" borderId="0" xfId="0" applyFont="1">
      <alignment vertical="center"/>
    </xf>
    <xf numFmtId="0" fontId="24" fillId="20" borderId="0" xfId="0" applyFont="1" applyFill="1" applyProtection="1">
      <alignment vertical="center"/>
      <protection locked="0" hidden="1"/>
    </xf>
    <xf numFmtId="0" fontId="73" fillId="21" borderId="0" xfId="0" applyFont="1" applyFill="1" applyProtection="1">
      <alignment vertical="center"/>
      <protection hidden="1"/>
    </xf>
    <xf numFmtId="0" fontId="52" fillId="8" borderId="0" xfId="0" applyFont="1" applyFill="1" applyAlignment="1" applyProtection="1">
      <alignment horizontal="left" vertical="center"/>
      <protection hidden="1"/>
    </xf>
    <xf numFmtId="0" fontId="30" fillId="8" borderId="0" xfId="0" applyFont="1" applyFill="1" applyAlignment="1" applyProtection="1">
      <alignment vertical="center" wrapText="1"/>
      <protection hidden="1"/>
    </xf>
    <xf numFmtId="0" fontId="115" fillId="0" borderId="0" xfId="0" applyFont="1" applyProtection="1">
      <alignment vertical="center"/>
      <protection hidden="1"/>
    </xf>
    <xf numFmtId="0" fontId="115" fillId="0" borderId="0" xfId="0" applyFont="1" applyAlignment="1" applyProtection="1">
      <alignment vertical="center" wrapText="1"/>
      <protection hidden="1"/>
    </xf>
    <xf numFmtId="0" fontId="118" fillId="9" borderId="0" xfId="8" applyFont="1" applyFill="1">
      <alignment vertical="center"/>
    </xf>
    <xf numFmtId="0" fontId="21" fillId="9" borderId="0" xfId="0" applyFont="1" applyFill="1">
      <alignment vertical="center"/>
    </xf>
    <xf numFmtId="0" fontId="20" fillId="0" borderId="0" xfId="0" applyFont="1" applyAlignment="1">
      <alignment horizontal="right" vertical="center"/>
    </xf>
    <xf numFmtId="0" fontId="120" fillId="0" borderId="24" xfId="15" applyFont="1" applyBorder="1">
      <alignment vertical="center"/>
    </xf>
    <xf numFmtId="0" fontId="120" fillId="0" borderId="0" xfId="15" applyFont="1">
      <alignment vertical="center"/>
    </xf>
    <xf numFmtId="0" fontId="27" fillId="0" borderId="0" xfId="0" applyFont="1">
      <alignment vertical="center"/>
    </xf>
    <xf numFmtId="0" fontId="27" fillId="0" borderId="254" xfId="0" applyFont="1" applyBorder="1">
      <alignment vertical="center"/>
    </xf>
    <xf numFmtId="0" fontId="27" fillId="0" borderId="255" xfId="0" applyFont="1" applyBorder="1">
      <alignment vertical="center"/>
    </xf>
    <xf numFmtId="0" fontId="27" fillId="0" borderId="125" xfId="0" applyFont="1" applyBorder="1">
      <alignment vertical="center"/>
    </xf>
    <xf numFmtId="0" fontId="27" fillId="0" borderId="128" xfId="0" applyFont="1" applyBorder="1">
      <alignment vertical="center"/>
    </xf>
    <xf numFmtId="0" fontId="120" fillId="2" borderId="24" xfId="15" applyFont="1" applyFill="1" applyBorder="1">
      <alignment vertical="center"/>
    </xf>
    <xf numFmtId="38" fontId="120" fillId="0" borderId="24" xfId="15" applyNumberFormat="1" applyFont="1" applyBorder="1">
      <alignment vertical="center"/>
    </xf>
    <xf numFmtId="0" fontId="24" fillId="0" borderId="0" xfId="0" applyFont="1" applyProtection="1">
      <alignment vertical="center"/>
      <protection locked="0" hidden="1"/>
    </xf>
    <xf numFmtId="0" fontId="123" fillId="0" borderId="0" xfId="0" applyFont="1">
      <alignment vertical="center"/>
    </xf>
    <xf numFmtId="49" fontId="29" fillId="8" borderId="0" xfId="0" applyNumberFormat="1" applyFont="1" applyFill="1" applyAlignment="1" applyProtection="1">
      <alignment vertical="center" wrapText="1"/>
      <protection hidden="1"/>
    </xf>
    <xf numFmtId="0" fontId="24" fillId="0" borderId="17" xfId="0" applyFont="1" applyBorder="1">
      <alignment vertical="center"/>
    </xf>
    <xf numFmtId="0" fontId="24" fillId="0" borderId="2" xfId="0" applyFont="1" applyBorder="1">
      <alignment vertical="center"/>
    </xf>
    <xf numFmtId="0" fontId="24" fillId="0" borderId="16" xfId="0" applyFont="1" applyBorder="1">
      <alignment vertical="center"/>
    </xf>
    <xf numFmtId="0" fontId="24" fillId="0" borderId="3" xfId="0" applyFont="1" applyBorder="1">
      <alignment vertical="center"/>
    </xf>
    <xf numFmtId="0" fontId="24" fillId="0" borderId="12" xfId="0" applyFont="1" applyBorder="1">
      <alignment vertical="center"/>
    </xf>
    <xf numFmtId="0" fontId="24" fillId="0" borderId="10" xfId="0" applyFont="1" applyBorder="1">
      <alignment vertical="center"/>
    </xf>
    <xf numFmtId="0" fontId="23" fillId="11" borderId="0" xfId="0" applyFont="1" applyFill="1">
      <alignment vertical="center"/>
    </xf>
    <xf numFmtId="0" fontId="23" fillId="0" borderId="0" xfId="0" quotePrefix="1" applyFont="1">
      <alignment vertical="center"/>
    </xf>
    <xf numFmtId="0" fontId="23" fillId="2" borderId="0" xfId="0" applyFont="1" applyFill="1">
      <alignment vertical="center"/>
    </xf>
    <xf numFmtId="0" fontId="23" fillId="3" borderId="0" xfId="0" applyFont="1" applyFill="1">
      <alignment vertical="center"/>
    </xf>
    <xf numFmtId="0" fontId="23" fillId="15" borderId="0" xfId="0" applyFont="1" applyFill="1">
      <alignment vertical="center"/>
    </xf>
    <xf numFmtId="0" fontId="23" fillId="4" borderId="0" xfId="0" applyFont="1" applyFill="1">
      <alignment vertical="center"/>
    </xf>
    <xf numFmtId="0" fontId="23" fillId="5" borderId="0" xfId="0" applyFont="1" applyFill="1">
      <alignment vertical="center"/>
    </xf>
    <xf numFmtId="0" fontId="23" fillId="0" borderId="0" xfId="10" applyFont="1">
      <alignment vertical="center"/>
    </xf>
    <xf numFmtId="0" fontId="23" fillId="0" borderId="0" xfId="10" quotePrefix="1" applyFont="1">
      <alignment vertical="center"/>
    </xf>
    <xf numFmtId="0" fontId="23" fillId="30" borderId="0" xfId="0" applyFont="1" applyFill="1">
      <alignment vertical="center"/>
    </xf>
    <xf numFmtId="0" fontId="23" fillId="0" borderId="11" xfId="0" applyFont="1" applyBorder="1">
      <alignment vertical="center"/>
    </xf>
    <xf numFmtId="38" fontId="23" fillId="0" borderId="0" xfId="0" applyNumberFormat="1" applyFont="1">
      <alignment vertical="center"/>
    </xf>
    <xf numFmtId="184" fontId="23" fillId="0" borderId="0" xfId="0" applyNumberFormat="1" applyFont="1">
      <alignment vertical="center"/>
    </xf>
    <xf numFmtId="0" fontId="23" fillId="18" borderId="0" xfId="0" applyFont="1" applyFill="1">
      <alignment vertical="center"/>
    </xf>
    <xf numFmtId="0" fontId="23" fillId="37" borderId="0" xfId="0" applyFont="1" applyFill="1">
      <alignment vertical="center"/>
    </xf>
    <xf numFmtId="0" fontId="23" fillId="21" borderId="0" xfId="0" applyFont="1" applyFill="1">
      <alignment vertical="center"/>
    </xf>
    <xf numFmtId="0" fontId="75" fillId="0" borderId="0" xfId="0" applyFont="1" applyAlignment="1">
      <alignment horizontal="left" wrapText="1"/>
    </xf>
    <xf numFmtId="0" fontId="127" fillId="8" borderId="0" xfId="0" applyFont="1" applyFill="1" applyAlignment="1" applyProtection="1">
      <alignment vertical="center" wrapText="1"/>
      <protection hidden="1"/>
    </xf>
    <xf numFmtId="0" fontId="120" fillId="30" borderId="24" xfId="15" applyFont="1" applyFill="1" applyBorder="1">
      <alignment vertical="center"/>
    </xf>
    <xf numFmtId="0" fontId="128" fillId="0" borderId="0" xfId="0" applyFont="1" applyAlignment="1" applyProtection="1">
      <alignment vertical="center" wrapText="1"/>
      <protection hidden="1"/>
    </xf>
    <xf numFmtId="0" fontId="27" fillId="30" borderId="0" xfId="0" applyFont="1" applyFill="1">
      <alignment vertical="center"/>
    </xf>
    <xf numFmtId="0" fontId="23" fillId="29" borderId="0" xfId="0" applyFont="1" applyFill="1">
      <alignment vertical="center"/>
    </xf>
    <xf numFmtId="0" fontId="96" fillId="29" borderId="0" xfId="0" quotePrefix="1" applyFont="1" applyFill="1">
      <alignment vertical="center"/>
    </xf>
    <xf numFmtId="0" fontId="125" fillId="0" borderId="0" xfId="0" applyFont="1" applyAlignment="1">
      <alignment horizontal="center" vertical="center"/>
    </xf>
    <xf numFmtId="0" fontId="23" fillId="25" borderId="0" xfId="0" applyFont="1" applyFill="1">
      <alignment vertical="center"/>
    </xf>
    <xf numFmtId="0" fontId="23" fillId="31" borderId="0" xfId="0" applyFont="1" applyFill="1">
      <alignment vertical="center"/>
    </xf>
    <xf numFmtId="0" fontId="26" fillId="26" borderId="0" xfId="0" applyFont="1" applyFill="1" applyAlignment="1">
      <alignment horizontal="center" vertical="center"/>
    </xf>
    <xf numFmtId="0" fontId="27" fillId="2" borderId="0" xfId="0" applyFont="1" applyFill="1">
      <alignment vertical="center"/>
    </xf>
    <xf numFmtId="0" fontId="27" fillId="3" borderId="0" xfId="0" applyFont="1" applyFill="1">
      <alignment vertical="center"/>
    </xf>
    <xf numFmtId="0" fontId="27" fillId="25" borderId="0" xfId="0" applyFont="1" applyFill="1">
      <alignment vertical="center"/>
    </xf>
    <xf numFmtId="0" fontId="27" fillId="4" borderId="0" xfId="0" applyFont="1" applyFill="1">
      <alignment vertical="center"/>
    </xf>
    <xf numFmtId="14" fontId="23" fillId="0" borderId="0" xfId="0" applyNumberFormat="1" applyFont="1">
      <alignment vertical="center"/>
    </xf>
    <xf numFmtId="0" fontId="96" fillId="27" borderId="0" xfId="0" applyFont="1" applyFill="1">
      <alignment vertical="center"/>
    </xf>
    <xf numFmtId="0" fontId="26" fillId="6" borderId="0" xfId="0" applyFont="1" applyFill="1" applyAlignment="1">
      <alignment horizontal="center" vertical="center"/>
    </xf>
    <xf numFmtId="0" fontId="27" fillId="0" borderId="0" xfId="0" quotePrefix="1" applyFont="1">
      <alignment vertical="center"/>
    </xf>
    <xf numFmtId="14" fontId="27" fillId="28" borderId="0" xfId="0" applyNumberFormat="1" applyFont="1" applyFill="1">
      <alignment vertical="center"/>
    </xf>
    <xf numFmtId="14" fontId="27" fillId="0" borderId="0" xfId="0" applyNumberFormat="1" applyFont="1">
      <alignment vertical="center"/>
    </xf>
    <xf numFmtId="0" fontId="23" fillId="23" borderId="0" xfId="0" applyFont="1" applyFill="1">
      <alignment vertical="center"/>
    </xf>
    <xf numFmtId="49" fontId="29" fillId="8" borderId="0" xfId="0" applyNumberFormat="1" applyFont="1" applyFill="1" applyAlignment="1" applyProtection="1">
      <alignment vertical="center" wrapText="1"/>
      <protection locked="0"/>
    </xf>
    <xf numFmtId="0" fontId="32" fillId="8" borderId="0" xfId="0" applyFont="1" applyFill="1" applyAlignment="1" applyProtection="1">
      <alignment vertical="center" wrapText="1"/>
      <protection hidden="1"/>
    </xf>
    <xf numFmtId="0" fontId="130" fillId="0" borderId="44" xfId="0" applyFont="1" applyBorder="1">
      <alignment vertical="center"/>
    </xf>
    <xf numFmtId="0" fontId="130" fillId="0" borderId="45" xfId="0" applyFont="1" applyBorder="1">
      <alignment vertical="center"/>
    </xf>
    <xf numFmtId="0" fontId="23" fillId="38" borderId="0" xfId="0" applyFont="1" applyFill="1">
      <alignment vertical="center"/>
    </xf>
    <xf numFmtId="0" fontId="120" fillId="39" borderId="24" xfId="15" applyFont="1" applyFill="1" applyBorder="1">
      <alignment vertical="center"/>
    </xf>
    <xf numFmtId="0" fontId="131" fillId="26" borderId="24" xfId="15" applyFont="1" applyFill="1" applyBorder="1">
      <alignment vertical="center"/>
    </xf>
    <xf numFmtId="0" fontId="132" fillId="15" borderId="24" xfId="15" applyFont="1" applyFill="1" applyBorder="1">
      <alignment vertical="center"/>
    </xf>
    <xf numFmtId="0" fontId="120" fillId="15" borderId="24" xfId="15" applyFont="1" applyFill="1" applyBorder="1">
      <alignment vertical="center"/>
    </xf>
    <xf numFmtId="0" fontId="131" fillId="12" borderId="24" xfId="15" applyFont="1" applyFill="1" applyBorder="1">
      <alignment vertical="center"/>
    </xf>
    <xf numFmtId="0" fontId="120" fillId="24" borderId="24" xfId="15" applyFont="1" applyFill="1" applyBorder="1">
      <alignment vertical="center"/>
    </xf>
    <xf numFmtId="0" fontId="132" fillId="40" borderId="24" xfId="15" applyFont="1" applyFill="1" applyBorder="1">
      <alignment vertical="center"/>
    </xf>
    <xf numFmtId="0" fontId="120" fillId="41" borderId="24" xfId="15" applyFont="1" applyFill="1" applyBorder="1">
      <alignment vertical="center"/>
    </xf>
    <xf numFmtId="0" fontId="132" fillId="41" borderId="24" xfId="15" applyFont="1" applyFill="1" applyBorder="1">
      <alignment vertical="center"/>
    </xf>
    <xf numFmtId="0" fontId="131" fillId="36" borderId="24" xfId="15" applyFont="1" applyFill="1" applyBorder="1">
      <alignment vertical="center"/>
    </xf>
    <xf numFmtId="0" fontId="131" fillId="19" borderId="24" xfId="15" applyFont="1" applyFill="1" applyBorder="1">
      <alignment vertical="center"/>
    </xf>
    <xf numFmtId="0" fontId="131" fillId="21" borderId="24" xfId="15" applyFont="1" applyFill="1" applyBorder="1">
      <alignment vertical="center"/>
    </xf>
    <xf numFmtId="0" fontId="120" fillId="42" borderId="24" xfId="15" applyFont="1" applyFill="1" applyBorder="1">
      <alignment vertical="center"/>
    </xf>
    <xf numFmtId="0" fontId="120" fillId="43" borderId="24" xfId="15" applyFont="1" applyFill="1" applyBorder="1">
      <alignment vertical="center"/>
    </xf>
    <xf numFmtId="0" fontId="132" fillId="43" borderId="24" xfId="15" applyFont="1" applyFill="1" applyBorder="1">
      <alignment vertical="center"/>
    </xf>
    <xf numFmtId="0" fontId="120" fillId="44" borderId="24" xfId="15" applyFont="1" applyFill="1" applyBorder="1">
      <alignment vertical="center"/>
    </xf>
    <xf numFmtId="0" fontId="120" fillId="44" borderId="158" xfId="15" applyFont="1" applyFill="1" applyBorder="1">
      <alignment vertical="center"/>
    </xf>
    <xf numFmtId="0" fontId="120" fillId="0" borderId="158" xfId="15" applyFont="1" applyBorder="1">
      <alignment vertical="center"/>
    </xf>
    <xf numFmtId="0" fontId="132" fillId="0" borderId="24" xfId="15" applyFont="1" applyBorder="1">
      <alignment vertical="center"/>
    </xf>
    <xf numFmtId="0" fontId="24" fillId="0" borderId="0" xfId="8" applyFont="1" applyAlignment="1">
      <alignment horizontal="left" vertical="center"/>
    </xf>
    <xf numFmtId="0" fontId="20" fillId="11" borderId="264" xfId="0" applyFont="1" applyFill="1" applyBorder="1">
      <alignment vertical="center"/>
    </xf>
    <xf numFmtId="0" fontId="60" fillId="0" borderId="0" xfId="8" applyFont="1">
      <alignment vertical="center"/>
    </xf>
    <xf numFmtId="0" fontId="67" fillId="0" borderId="0" xfId="8" applyFont="1">
      <alignment vertical="center"/>
    </xf>
    <xf numFmtId="0" fontId="89" fillId="4" borderId="0" xfId="0" applyFont="1" applyFill="1" applyAlignment="1" applyProtection="1">
      <alignment horizontal="left"/>
      <protection hidden="1"/>
    </xf>
    <xf numFmtId="0" fontId="120" fillId="44" borderId="149" xfId="15" applyFont="1" applyFill="1" applyBorder="1">
      <alignment vertical="center"/>
    </xf>
    <xf numFmtId="0" fontId="120" fillId="0" borderId="269" xfId="15" applyFont="1" applyBorder="1">
      <alignment vertical="center"/>
    </xf>
    <xf numFmtId="0" fontId="120" fillId="0" borderId="275" xfId="15" applyFont="1" applyBorder="1">
      <alignment vertical="center"/>
    </xf>
    <xf numFmtId="0" fontId="24" fillId="11" borderId="24" xfId="0" applyFont="1" applyFill="1" applyBorder="1">
      <alignment vertical="center"/>
    </xf>
    <xf numFmtId="0" fontId="29" fillId="0" borderId="0" xfId="0" applyFont="1" applyProtection="1">
      <alignment vertical="center"/>
      <protection hidden="1"/>
    </xf>
    <xf numFmtId="0" fontId="20" fillId="0" borderId="0" xfId="0" applyFont="1" applyProtection="1">
      <alignment vertical="center"/>
      <protection hidden="1"/>
    </xf>
    <xf numFmtId="0" fontId="18" fillId="0" borderId="0" xfId="1" applyNumberFormat="1" applyFill="1" applyBorder="1" applyAlignment="1" applyProtection="1">
      <alignment vertical="center"/>
      <protection locked="0"/>
    </xf>
    <xf numFmtId="0" fontId="106" fillId="0" borderId="0" xfId="0" applyFont="1" applyProtection="1">
      <alignment vertical="center"/>
      <protection hidden="1"/>
    </xf>
    <xf numFmtId="49" fontId="28" fillId="0" borderId="0" xfId="0" applyNumberFormat="1" applyFont="1" applyProtection="1">
      <alignment vertical="center"/>
      <protection hidden="1"/>
    </xf>
    <xf numFmtId="0" fontId="21" fillId="8" borderId="0" xfId="0" applyFont="1" applyFill="1" applyAlignment="1">
      <alignment horizontal="center" vertical="center"/>
    </xf>
    <xf numFmtId="0" fontId="61" fillId="0" borderId="45" xfId="0" applyFont="1" applyBorder="1">
      <alignment vertical="center"/>
    </xf>
    <xf numFmtId="49" fontId="20" fillId="0" borderId="0" xfId="0" applyNumberFormat="1" applyFont="1">
      <alignment vertical="center"/>
    </xf>
    <xf numFmtId="179" fontId="20" fillId="0" borderId="0" xfId="0" applyNumberFormat="1" applyFont="1">
      <alignment vertical="center"/>
    </xf>
    <xf numFmtId="14" fontId="20" fillId="0" borderId="0" xfId="0" applyNumberFormat="1" applyFont="1" applyAlignment="1">
      <alignment horizontal="left" vertical="center"/>
    </xf>
    <xf numFmtId="0" fontId="78" fillId="0" borderId="0" xfId="0" applyFont="1" applyProtection="1">
      <alignment vertical="center"/>
      <protection hidden="1"/>
    </xf>
    <xf numFmtId="0" fontId="120" fillId="11" borderId="24" xfId="15" applyFont="1" applyFill="1" applyBorder="1">
      <alignment vertical="center"/>
    </xf>
    <xf numFmtId="0" fontId="75" fillId="0" borderId="0" xfId="0" applyFont="1" applyAlignment="1" applyProtection="1">
      <alignment horizontal="center" vertical="center"/>
      <protection hidden="1"/>
    </xf>
    <xf numFmtId="0" fontId="102" fillId="0" borderId="0" xfId="0" applyFont="1" applyProtection="1">
      <alignment vertical="center"/>
      <protection hidden="1"/>
    </xf>
    <xf numFmtId="0" fontId="76" fillId="0" borderId="0" xfId="1" applyFont="1" applyAlignment="1">
      <alignment vertical="center"/>
    </xf>
    <xf numFmtId="0" fontId="131" fillId="13" borderId="24" xfId="15" applyFont="1" applyFill="1" applyBorder="1">
      <alignment vertical="center"/>
    </xf>
    <xf numFmtId="0" fontId="131" fillId="47" borderId="24" xfId="15" applyFont="1" applyFill="1" applyBorder="1">
      <alignment vertical="center"/>
    </xf>
    <xf numFmtId="0" fontId="132" fillId="48" borderId="24" xfId="15" applyFont="1" applyFill="1" applyBorder="1">
      <alignment vertical="center"/>
    </xf>
    <xf numFmtId="0" fontId="132" fillId="38" borderId="24" xfId="15" applyFont="1" applyFill="1" applyBorder="1">
      <alignment vertical="center"/>
    </xf>
    <xf numFmtId="0" fontId="132" fillId="49" borderId="24" xfId="15" applyFont="1" applyFill="1" applyBorder="1">
      <alignment vertical="center"/>
    </xf>
    <xf numFmtId="0" fontId="23" fillId="2" borderId="0" xfId="0" applyFont="1" applyFill="1" applyAlignment="1">
      <alignment horizontal="center" vertical="center"/>
    </xf>
    <xf numFmtId="0" fontId="23" fillId="3" borderId="0" xfId="0" applyFont="1" applyFill="1" applyAlignment="1">
      <alignment horizontal="center" vertical="center"/>
    </xf>
    <xf numFmtId="0" fontId="23" fillId="25" borderId="0" xfId="0" applyFont="1" applyFill="1" applyAlignment="1">
      <alignment horizontal="center" vertical="center"/>
    </xf>
    <xf numFmtId="0" fontId="23" fillId="5" borderId="0" xfId="0" applyFont="1" applyFill="1" applyAlignment="1">
      <alignment horizontal="center" vertical="center"/>
    </xf>
    <xf numFmtId="0" fontId="28" fillId="0" borderId="305" xfId="0" applyFont="1" applyBorder="1" applyProtection="1">
      <alignment vertical="center"/>
      <protection hidden="1"/>
    </xf>
    <xf numFmtId="0" fontId="28" fillId="0" borderId="308" xfId="0" applyFont="1" applyBorder="1" applyProtection="1">
      <alignment vertical="center"/>
      <protection hidden="1"/>
    </xf>
    <xf numFmtId="0" fontId="82" fillId="4" borderId="325" xfId="0" applyFont="1" applyFill="1" applyBorder="1" applyProtection="1">
      <alignment vertical="center"/>
      <protection hidden="1"/>
    </xf>
    <xf numFmtId="0" fontId="82" fillId="4" borderId="393" xfId="0" applyFont="1" applyFill="1" applyBorder="1" applyProtection="1">
      <alignment vertical="center"/>
      <protection hidden="1"/>
    </xf>
    <xf numFmtId="0" fontId="89" fillId="4" borderId="281" xfId="0" applyFont="1" applyFill="1" applyBorder="1" applyAlignment="1" applyProtection="1">
      <alignment horizontal="left"/>
      <protection hidden="1"/>
    </xf>
    <xf numFmtId="0" fontId="0" fillId="4" borderId="281" xfId="0" applyFill="1" applyBorder="1" applyProtection="1">
      <alignment vertical="center"/>
      <protection hidden="1"/>
    </xf>
    <xf numFmtId="0" fontId="89" fillId="4" borderId="287" xfId="0" applyFont="1" applyFill="1" applyBorder="1" applyAlignment="1" applyProtection="1">
      <alignment horizontal="left"/>
      <protection hidden="1"/>
    </xf>
    <xf numFmtId="0" fontId="0" fillId="4" borderId="0" xfId="0" applyFill="1" applyProtection="1">
      <alignment vertical="center"/>
      <protection hidden="1"/>
    </xf>
    <xf numFmtId="0" fontId="89" fillId="4" borderId="315" xfId="0" applyFont="1" applyFill="1" applyBorder="1" applyAlignment="1" applyProtection="1">
      <alignment horizontal="left"/>
      <protection hidden="1"/>
    </xf>
    <xf numFmtId="0" fontId="20" fillId="0" borderId="305" xfId="0" applyFont="1" applyBorder="1" applyProtection="1">
      <alignment vertical="center"/>
      <protection hidden="1"/>
    </xf>
    <xf numFmtId="0" fontId="26" fillId="0" borderId="0" xfId="10" applyFont="1" applyAlignment="1">
      <alignment horizontal="center" vertical="center"/>
    </xf>
    <xf numFmtId="0" fontId="23" fillId="42" borderId="0" xfId="0" applyFont="1" applyFill="1">
      <alignment vertical="center"/>
    </xf>
    <xf numFmtId="0" fontId="0" fillId="42" borderId="0" xfId="0" applyFill="1">
      <alignment vertical="center"/>
    </xf>
    <xf numFmtId="0" fontId="23" fillId="42" borderId="0" xfId="0" quotePrefix="1" applyFont="1" applyFill="1">
      <alignment vertical="center"/>
    </xf>
    <xf numFmtId="0" fontId="23" fillId="42" borderId="0" xfId="10" applyFont="1" applyFill="1">
      <alignment vertical="center"/>
    </xf>
    <xf numFmtId="0" fontId="23" fillId="42" borderId="0" xfId="10" quotePrefix="1" applyFont="1" applyFill="1">
      <alignment vertical="center"/>
    </xf>
    <xf numFmtId="0" fontId="23" fillId="37" borderId="0" xfId="0" quotePrefix="1" applyFont="1" applyFill="1">
      <alignment vertical="center"/>
    </xf>
    <xf numFmtId="0" fontId="20" fillId="0" borderId="261" xfId="0" applyFont="1" applyBorder="1">
      <alignment vertical="center"/>
    </xf>
    <xf numFmtId="0" fontId="20" fillId="0" borderId="262" xfId="0" applyFont="1" applyBorder="1">
      <alignment vertical="center"/>
    </xf>
    <xf numFmtId="0" fontId="20" fillId="0" borderId="399" xfId="0" applyFont="1" applyBorder="1">
      <alignment vertical="center"/>
    </xf>
    <xf numFmtId="0" fontId="137" fillId="0" borderId="59" xfId="0" applyFont="1" applyBorder="1">
      <alignment vertical="center"/>
    </xf>
    <xf numFmtId="0" fontId="137" fillId="0" borderId="60" xfId="0" applyFont="1" applyBorder="1">
      <alignment vertical="center"/>
    </xf>
    <xf numFmtId="0" fontId="0" fillId="30" borderId="0" xfId="0" applyFill="1">
      <alignment vertical="center"/>
    </xf>
    <xf numFmtId="0" fontId="0" fillId="21" borderId="0" xfId="0" applyFill="1">
      <alignment vertical="center"/>
    </xf>
    <xf numFmtId="0" fontId="27" fillId="0" borderId="0" xfId="0" applyFont="1" applyAlignment="1">
      <alignment horizontal="center" vertical="center"/>
    </xf>
    <xf numFmtId="0" fontId="24" fillId="0" borderId="9" xfId="0" applyFont="1" applyBorder="1">
      <alignment vertical="center"/>
    </xf>
    <xf numFmtId="0" fontId="24" fillId="11" borderId="2" xfId="0" applyFont="1" applyFill="1" applyBorder="1">
      <alignment vertical="center"/>
    </xf>
    <xf numFmtId="0" fontId="24" fillId="0" borderId="275" xfId="0" applyFont="1" applyBorder="1">
      <alignment vertical="center"/>
    </xf>
    <xf numFmtId="0" fontId="24" fillId="0" borderId="110" xfId="0" applyFont="1" applyBorder="1">
      <alignment vertical="center"/>
    </xf>
    <xf numFmtId="0" fontId="24" fillId="11" borderId="269" xfId="0" applyFont="1" applyFill="1" applyBorder="1">
      <alignment vertical="center"/>
    </xf>
    <xf numFmtId="0" fontId="21" fillId="13" borderId="11" xfId="0" applyFont="1" applyFill="1" applyBorder="1">
      <alignment vertical="center"/>
    </xf>
    <xf numFmtId="0" fontId="21" fillId="13" borderId="21" xfId="0" applyFont="1" applyFill="1" applyBorder="1">
      <alignment vertical="center"/>
    </xf>
    <xf numFmtId="0" fontId="24" fillId="30" borderId="17" xfId="0" applyFont="1" applyFill="1" applyBorder="1">
      <alignment vertical="center"/>
    </xf>
    <xf numFmtId="0" fontId="24" fillId="30" borderId="2" xfId="0" applyFont="1" applyFill="1" applyBorder="1">
      <alignment vertical="center"/>
    </xf>
    <xf numFmtId="0" fontId="20" fillId="0" borderId="17" xfId="0" applyFont="1" applyBorder="1">
      <alignment vertical="center"/>
    </xf>
    <xf numFmtId="0" fontId="20" fillId="0" borderId="2" xfId="0" applyFont="1" applyBorder="1">
      <alignment vertical="center"/>
    </xf>
    <xf numFmtId="0" fontId="20" fillId="0" borderId="16" xfId="0" applyFont="1" applyBorder="1">
      <alignment vertical="center"/>
    </xf>
    <xf numFmtId="0" fontId="20" fillId="0" borderId="3" xfId="0" applyFont="1" applyBorder="1">
      <alignment vertical="center"/>
    </xf>
    <xf numFmtId="0" fontId="20" fillId="0" borderId="12" xfId="0" applyFont="1" applyBorder="1">
      <alignment vertical="center"/>
    </xf>
    <xf numFmtId="0" fontId="20" fillId="0" borderId="10" xfId="0" applyFont="1" applyBorder="1">
      <alignment vertical="center"/>
    </xf>
    <xf numFmtId="38" fontId="20" fillId="0" borderId="42" xfId="0" applyNumberFormat="1" applyFont="1" applyBorder="1">
      <alignment vertical="center"/>
    </xf>
    <xf numFmtId="14" fontId="24" fillId="0" borderId="3" xfId="0" applyNumberFormat="1" applyFont="1" applyBorder="1">
      <alignment vertical="center"/>
    </xf>
    <xf numFmtId="14" fontId="24" fillId="0" borderId="10" xfId="0" applyNumberFormat="1" applyFont="1" applyBorder="1">
      <alignment vertical="center"/>
    </xf>
    <xf numFmtId="0" fontId="24" fillId="0" borderId="9" xfId="0" applyFont="1" applyBorder="1" applyAlignment="1">
      <alignment horizontal="right" vertical="center"/>
    </xf>
    <xf numFmtId="0" fontId="24" fillId="30" borderId="1" xfId="0" applyFont="1" applyFill="1" applyBorder="1">
      <alignment vertical="center"/>
    </xf>
    <xf numFmtId="0" fontId="24" fillId="30" borderId="1" xfId="0" applyFont="1" applyFill="1" applyBorder="1" applyAlignment="1">
      <alignment horizontal="center" vertical="center"/>
    </xf>
    <xf numFmtId="0" fontId="24" fillId="30" borderId="2" xfId="0" applyFont="1" applyFill="1" applyBorder="1" applyAlignment="1">
      <alignment horizontal="center" vertical="center"/>
    </xf>
    <xf numFmtId="14" fontId="24" fillId="30" borderId="17" xfId="0" applyNumberFormat="1" applyFont="1" applyFill="1" applyBorder="1">
      <alignment vertical="center"/>
    </xf>
    <xf numFmtId="0" fontId="60" fillId="0" borderId="17" xfId="0" applyFont="1" applyBorder="1">
      <alignment vertical="center"/>
    </xf>
    <xf numFmtId="0" fontId="60" fillId="0" borderId="16" xfId="0" applyFont="1" applyBorder="1">
      <alignment vertical="center"/>
    </xf>
    <xf numFmtId="0" fontId="60" fillId="0" borderId="149" xfId="0" applyFont="1" applyBorder="1">
      <alignment vertical="center"/>
    </xf>
    <xf numFmtId="0" fontId="60" fillId="0" borderId="1" xfId="0" applyFont="1" applyBorder="1">
      <alignment vertical="center"/>
    </xf>
    <xf numFmtId="0" fontId="60" fillId="0" borderId="17" xfId="0" quotePrefix="1" applyFont="1" applyBorder="1">
      <alignment vertical="center"/>
    </xf>
    <xf numFmtId="0" fontId="0" fillId="0" borderId="17" xfId="0" applyBorder="1">
      <alignment vertical="center"/>
    </xf>
    <xf numFmtId="0" fontId="0" fillId="0" borderId="2" xfId="0" applyBorder="1">
      <alignment vertical="center"/>
    </xf>
    <xf numFmtId="0" fontId="66" fillId="0" borderId="0" xfId="0" applyFont="1">
      <alignment vertical="center"/>
    </xf>
    <xf numFmtId="0" fontId="0" fillId="0" borderId="16" xfId="0" applyBorder="1">
      <alignment vertical="center"/>
    </xf>
    <xf numFmtId="0" fontId="0" fillId="0" borderId="3" xfId="0" applyBorder="1">
      <alignment vertical="center"/>
    </xf>
    <xf numFmtId="0" fontId="0" fillId="0" borderId="12" xfId="0" applyBorder="1">
      <alignment vertical="center"/>
    </xf>
    <xf numFmtId="0" fontId="0" fillId="0" borderId="10" xfId="0" applyBorder="1">
      <alignment vertical="center"/>
    </xf>
    <xf numFmtId="0" fontId="106" fillId="0" borderId="0" xfId="0" applyFont="1">
      <alignment vertical="center"/>
    </xf>
    <xf numFmtId="0" fontId="66" fillId="0" borderId="0" xfId="0" applyFont="1" applyAlignment="1">
      <alignment horizontal="left" wrapText="1"/>
    </xf>
    <xf numFmtId="0" fontId="92" fillId="0" borderId="0" xfId="0" applyFont="1">
      <alignment vertical="center"/>
    </xf>
    <xf numFmtId="182" fontId="0" fillId="0" borderId="0" xfId="0" applyNumberFormat="1">
      <alignment vertical="center"/>
    </xf>
    <xf numFmtId="0" fontId="66" fillId="0" borderId="16" xfId="0" applyFont="1" applyBorder="1" applyAlignment="1">
      <alignment horizontal="left" wrapText="1"/>
    </xf>
    <xf numFmtId="0" fontId="66" fillId="0" borderId="16" xfId="0" applyFont="1" applyBorder="1">
      <alignment vertical="center"/>
    </xf>
    <xf numFmtId="0" fontId="66" fillId="0" borderId="24" xfId="0" applyFont="1" applyBorder="1">
      <alignment vertical="center"/>
    </xf>
    <xf numFmtId="0" fontId="92" fillId="0" borderId="16" xfId="0" applyFont="1" applyBorder="1">
      <alignment vertical="center"/>
    </xf>
    <xf numFmtId="0" fontId="66" fillId="0" borderId="275" xfId="0" applyFont="1" applyBorder="1">
      <alignment vertical="center"/>
    </xf>
    <xf numFmtId="0" fontId="60" fillId="0" borderId="16" xfId="0" quotePrefix="1" applyFont="1" applyBorder="1">
      <alignment vertical="center"/>
    </xf>
    <xf numFmtId="49" fontId="66" fillId="0" borderId="16" xfId="0" applyNumberFormat="1" applyFont="1" applyBorder="1">
      <alignment vertical="center"/>
    </xf>
    <xf numFmtId="0" fontId="66" fillId="30" borderId="16" xfId="0" applyFont="1" applyFill="1" applyBorder="1">
      <alignment vertical="center"/>
    </xf>
    <xf numFmtId="0" fontId="75" fillId="0" borderId="1" xfId="0" applyFont="1" applyBorder="1" applyAlignment="1">
      <alignment vertical="center" wrapText="1"/>
    </xf>
    <xf numFmtId="0" fontId="66" fillId="0" borderId="17" xfId="0" applyFont="1" applyBorder="1">
      <alignment vertical="center"/>
    </xf>
    <xf numFmtId="0" fontId="66" fillId="0" borderId="269" xfId="0" applyFont="1" applyBorder="1">
      <alignment vertical="center"/>
    </xf>
    <xf numFmtId="0" fontId="75" fillId="0" borderId="0" xfId="0" applyFont="1" applyAlignment="1">
      <alignment vertical="center" wrapText="1"/>
    </xf>
    <xf numFmtId="0" fontId="16" fillId="0" borderId="401" xfId="1" applyFont="1" applyFill="1" applyBorder="1" applyAlignment="1" applyProtection="1">
      <alignment vertical="center"/>
    </xf>
    <xf numFmtId="0" fontId="66" fillId="0" borderId="9" xfId="0" applyFont="1" applyBorder="1">
      <alignment vertical="center"/>
    </xf>
    <xf numFmtId="0" fontId="0" fillId="0" borderId="9" xfId="0" applyBorder="1">
      <alignment vertical="center"/>
    </xf>
    <xf numFmtId="0" fontId="75" fillId="0" borderId="9" xfId="0" applyFont="1" applyBorder="1">
      <alignment vertical="center"/>
    </xf>
    <xf numFmtId="0" fontId="66" fillId="0" borderId="12" xfId="0" applyFont="1" applyBorder="1">
      <alignment vertical="center"/>
    </xf>
    <xf numFmtId="0" fontId="16" fillId="0" borderId="402" xfId="1" applyFont="1" applyFill="1" applyBorder="1" applyAlignment="1" applyProtection="1">
      <alignment vertical="center"/>
    </xf>
    <xf numFmtId="0" fontId="16" fillId="0" borderId="275" xfId="1" applyFont="1" applyFill="1" applyBorder="1" applyAlignment="1" applyProtection="1">
      <alignment vertical="center"/>
    </xf>
    <xf numFmtId="0" fontId="66" fillId="0" borderId="1" xfId="0" applyFont="1" applyBorder="1">
      <alignment vertical="center"/>
    </xf>
    <xf numFmtId="0" fontId="0" fillId="0" borderId="1" xfId="0" applyBorder="1">
      <alignment vertical="center"/>
    </xf>
    <xf numFmtId="0" fontId="16" fillId="0" borderId="269" xfId="1" applyFont="1" applyFill="1" applyBorder="1" applyAlignment="1" applyProtection="1">
      <alignment vertical="center"/>
    </xf>
    <xf numFmtId="0" fontId="66" fillId="0" borderId="110" xfId="0" applyFont="1" applyBorder="1">
      <alignment vertical="center"/>
    </xf>
    <xf numFmtId="0" fontId="75" fillId="0" borderId="1" xfId="0" applyFont="1" applyBorder="1">
      <alignment vertical="center"/>
    </xf>
    <xf numFmtId="0" fontId="66" fillId="30" borderId="17" xfId="0" applyFont="1" applyFill="1" applyBorder="1">
      <alignment vertical="center"/>
    </xf>
    <xf numFmtId="0" fontId="66" fillId="30" borderId="12" xfId="0" applyFont="1" applyFill="1" applyBorder="1">
      <alignment vertical="center"/>
    </xf>
    <xf numFmtId="0" fontId="75" fillId="0" borderId="9" xfId="0" applyFont="1" applyBorder="1" applyAlignment="1">
      <alignment vertical="center" wrapText="1"/>
    </xf>
    <xf numFmtId="0" fontId="0" fillId="0" borderId="149" xfId="0" applyBorder="1">
      <alignment vertical="center"/>
    </xf>
    <xf numFmtId="0" fontId="66" fillId="0" borderId="149" xfId="0" applyFont="1" applyBorder="1">
      <alignment vertical="center"/>
    </xf>
    <xf numFmtId="0" fontId="0" fillId="2" borderId="149" xfId="0" applyFill="1" applyBorder="1">
      <alignment vertical="center"/>
    </xf>
    <xf numFmtId="0" fontId="66" fillId="2" borderId="157" xfId="0" applyFont="1" applyFill="1" applyBorder="1" applyAlignment="1">
      <alignment horizontal="left" wrapText="1"/>
    </xf>
    <xf numFmtId="0" fontId="75" fillId="2" borderId="157" xfId="0" applyFont="1" applyFill="1" applyBorder="1" applyAlignment="1">
      <alignment horizontal="left" wrapText="1"/>
    </xf>
    <xf numFmtId="0" fontId="75" fillId="2" borderId="157" xfId="0" applyFont="1" applyFill="1" applyBorder="1" applyAlignment="1">
      <alignment vertical="center" wrapText="1"/>
    </xf>
    <xf numFmtId="0" fontId="66" fillId="2" borderId="149" xfId="0" applyFont="1" applyFill="1" applyBorder="1">
      <alignment vertical="center"/>
    </xf>
    <xf numFmtId="0" fontId="66" fillId="2" borderId="149" xfId="0" applyFont="1" applyFill="1" applyBorder="1" applyAlignment="1">
      <alignment horizontal="left" wrapText="1"/>
    </xf>
    <xf numFmtId="0" fontId="92" fillId="2" borderId="149" xfId="0" applyFont="1" applyFill="1" applyBorder="1">
      <alignment vertical="center"/>
    </xf>
    <xf numFmtId="0" fontId="66" fillId="2" borderId="24" xfId="0" applyFont="1" applyFill="1" applyBorder="1">
      <alignment vertical="center"/>
    </xf>
    <xf numFmtId="0" fontId="0" fillId="15" borderId="149" xfId="0" applyFill="1" applyBorder="1">
      <alignment vertical="center"/>
    </xf>
    <xf numFmtId="0" fontId="66" fillId="15" borderId="157" xfId="0" applyFont="1" applyFill="1" applyBorder="1" applyAlignment="1">
      <alignment horizontal="left" wrapText="1"/>
    </xf>
    <xf numFmtId="0" fontId="75" fillId="15" borderId="157" xfId="0" applyFont="1" applyFill="1" applyBorder="1" applyAlignment="1">
      <alignment horizontal="left" wrapText="1"/>
    </xf>
    <xf numFmtId="0" fontId="75" fillId="15" borderId="158" xfId="0" applyFont="1" applyFill="1" applyBorder="1" applyAlignment="1">
      <alignment horizontal="left" wrapText="1"/>
    </xf>
    <xf numFmtId="0" fontId="92" fillId="0" borderId="28" xfId="0" applyFont="1" applyBorder="1">
      <alignment vertical="center"/>
    </xf>
    <xf numFmtId="0" fontId="92" fillId="0" borderId="256" xfId="0" applyFont="1" applyBorder="1">
      <alignment vertical="center"/>
    </xf>
    <xf numFmtId="0" fontId="92" fillId="0" borderId="257" xfId="0" applyFont="1" applyBorder="1">
      <alignment vertical="center"/>
    </xf>
    <xf numFmtId="0" fontId="92" fillId="0" borderId="149" xfId="0" applyFont="1" applyBorder="1">
      <alignment vertical="center"/>
    </xf>
    <xf numFmtId="0" fontId="66" fillId="0" borderId="157" xfId="0" applyFont="1" applyBorder="1">
      <alignment vertical="center"/>
    </xf>
    <xf numFmtId="0" fontId="75" fillId="0" borderId="157" xfId="0" applyFont="1" applyBorder="1">
      <alignment vertical="center"/>
    </xf>
    <xf numFmtId="0" fontId="66" fillId="30" borderId="24" xfId="0" applyFont="1" applyFill="1" applyBorder="1">
      <alignment vertical="center"/>
    </xf>
    <xf numFmtId="0" fontId="131" fillId="46" borderId="24" xfId="15" applyFont="1" applyFill="1" applyBorder="1">
      <alignment vertical="center"/>
    </xf>
    <xf numFmtId="0" fontId="131" fillId="0" borderId="0" xfId="15" applyFont="1">
      <alignment vertical="center"/>
    </xf>
    <xf numFmtId="0" fontId="131" fillId="45" borderId="24" xfId="15" applyFont="1" applyFill="1" applyBorder="1">
      <alignment vertical="center"/>
    </xf>
    <xf numFmtId="0" fontId="105" fillId="0" borderId="0" xfId="8" applyFont="1">
      <alignment vertical="center"/>
    </xf>
    <xf numFmtId="49" fontId="23" fillId="0" borderId="0" xfId="0" applyNumberFormat="1" applyFont="1" applyProtection="1">
      <alignment vertical="center"/>
      <protection locked="0"/>
    </xf>
    <xf numFmtId="49" fontId="23" fillId="0" borderId="0" xfId="0" applyNumberFormat="1" applyFont="1" applyAlignment="1" applyProtection="1">
      <alignment vertical="center" shrinkToFit="1"/>
      <protection locked="0"/>
    </xf>
    <xf numFmtId="0" fontId="13" fillId="18" borderId="0" xfId="8" applyFill="1">
      <alignment vertical="center"/>
    </xf>
    <xf numFmtId="0" fontId="13" fillId="18" borderId="308" xfId="8" applyFill="1" applyBorder="1">
      <alignment vertical="center"/>
    </xf>
    <xf numFmtId="0" fontId="63" fillId="18" borderId="55" xfId="8" applyFont="1" applyFill="1" applyBorder="1" applyAlignment="1" applyProtection="1">
      <alignment vertical="center" wrapText="1" shrinkToFit="1"/>
      <protection hidden="1"/>
    </xf>
    <xf numFmtId="0" fontId="63" fillId="18" borderId="46" xfId="8" applyFont="1" applyFill="1" applyBorder="1" applyAlignment="1" applyProtection="1">
      <alignment vertical="center" wrapText="1" shrinkToFit="1"/>
      <protection hidden="1"/>
    </xf>
    <xf numFmtId="0" fontId="13" fillId="18" borderId="46" xfId="8" applyFill="1" applyBorder="1">
      <alignment vertical="center"/>
    </xf>
    <xf numFmtId="0" fontId="13" fillId="18" borderId="359" xfId="8" applyFill="1" applyBorder="1">
      <alignment vertical="center"/>
    </xf>
    <xf numFmtId="0" fontId="63" fillId="18" borderId="56" xfId="8" applyFont="1" applyFill="1" applyBorder="1" applyAlignment="1" applyProtection="1">
      <alignment vertical="center" wrapText="1" shrinkToFit="1"/>
      <protection hidden="1"/>
    </xf>
    <xf numFmtId="0" fontId="63" fillId="18" borderId="0" xfId="8" applyFont="1" applyFill="1" applyAlignment="1" applyProtection="1">
      <alignment vertical="center" wrapText="1" shrinkToFit="1"/>
      <protection hidden="1"/>
    </xf>
    <xf numFmtId="0" fontId="63" fillId="18" borderId="330" xfId="8" applyFont="1" applyFill="1" applyBorder="1" applyAlignment="1" applyProtection="1">
      <alignment vertical="center" wrapText="1" shrinkToFit="1"/>
      <protection hidden="1"/>
    </xf>
    <xf numFmtId="0" fontId="63" fillId="18" borderId="289" xfId="8" applyFont="1" applyFill="1" applyBorder="1" applyAlignment="1" applyProtection="1">
      <alignment vertical="center" wrapText="1" shrinkToFit="1"/>
      <protection hidden="1"/>
    </xf>
    <xf numFmtId="0" fontId="13" fillId="18" borderId="289" xfId="8" applyFill="1" applyBorder="1">
      <alignment vertical="center"/>
    </xf>
    <xf numFmtId="0" fontId="13" fillId="18" borderId="295" xfId="8" applyFill="1" applyBorder="1">
      <alignment vertical="center"/>
    </xf>
    <xf numFmtId="49" fontId="23" fillId="0" borderId="0" xfId="0" applyNumberFormat="1" applyFont="1">
      <alignment vertical="center"/>
    </xf>
    <xf numFmtId="49" fontId="23" fillId="0" borderId="0" xfId="0" applyNumberFormat="1" applyFont="1" applyAlignment="1">
      <alignment vertical="center" shrinkToFit="1"/>
    </xf>
    <xf numFmtId="0" fontId="28" fillId="0" borderId="0" xfId="0" applyFont="1" applyAlignment="1">
      <alignment vertical="center" shrinkToFit="1"/>
    </xf>
    <xf numFmtId="49" fontId="29" fillId="0" borderId="0" xfId="0" applyNumberFormat="1" applyFont="1" applyAlignment="1">
      <alignment vertical="center" wrapText="1"/>
    </xf>
    <xf numFmtId="0" fontId="0" fillId="0" borderId="0" xfId="0" applyAlignment="1">
      <alignment vertical="center" shrinkToFit="1"/>
    </xf>
    <xf numFmtId="184" fontId="28" fillId="0" borderId="0" xfId="0" applyNumberFormat="1" applyFont="1">
      <alignment vertical="center"/>
    </xf>
    <xf numFmtId="0" fontId="18" fillId="0" borderId="0" xfId="1" applyNumberFormat="1" applyFill="1" applyBorder="1" applyAlignment="1" applyProtection="1">
      <alignment vertical="center"/>
    </xf>
    <xf numFmtId="0" fontId="22" fillId="0" borderId="0" xfId="0" applyFont="1" applyAlignment="1" applyProtection="1">
      <alignment horizontal="center" vertical="center"/>
      <protection hidden="1"/>
    </xf>
    <xf numFmtId="0" fontId="24" fillId="0" borderId="0" xfId="0" applyFont="1" applyProtection="1">
      <alignment vertical="center"/>
      <protection hidden="1"/>
    </xf>
    <xf numFmtId="0" fontId="28" fillId="0" borderId="0" xfId="0" applyFont="1" applyAlignment="1" applyProtection="1">
      <alignment vertical="center" shrinkToFit="1"/>
      <protection hidden="1"/>
    </xf>
    <xf numFmtId="0" fontId="28" fillId="0" borderId="308" xfId="0" applyFont="1" applyBorder="1" applyAlignment="1" applyProtection="1">
      <alignment vertical="center" shrinkToFit="1"/>
      <protection hidden="1"/>
    </xf>
    <xf numFmtId="184" fontId="28" fillId="0" borderId="0" xfId="0" applyNumberFormat="1" applyFont="1" applyProtection="1">
      <alignment vertical="center"/>
      <protection hidden="1"/>
    </xf>
    <xf numFmtId="0" fontId="18" fillId="0" borderId="0" xfId="1" applyNumberFormat="1" applyFill="1" applyBorder="1" applyAlignment="1" applyProtection="1">
      <alignment vertical="center"/>
      <protection hidden="1"/>
    </xf>
    <xf numFmtId="0" fontId="33" fillId="8" borderId="0" xfId="1" applyFont="1" applyFill="1" applyBorder="1" applyAlignment="1" applyProtection="1">
      <alignment vertical="center"/>
      <protection hidden="1"/>
    </xf>
    <xf numFmtId="0" fontId="24" fillId="20" borderId="0" xfId="0" applyFont="1" applyFill="1" applyProtection="1">
      <alignment vertical="center"/>
      <protection hidden="1"/>
    </xf>
    <xf numFmtId="0" fontId="120" fillId="51" borderId="24" xfId="15" applyFont="1" applyFill="1" applyBorder="1">
      <alignment vertical="center"/>
    </xf>
    <xf numFmtId="0" fontId="120" fillId="51" borderId="158" xfId="15" applyFont="1" applyFill="1" applyBorder="1">
      <alignment vertical="center"/>
    </xf>
    <xf numFmtId="0" fontId="132" fillId="29" borderId="24" xfId="15" applyFont="1" applyFill="1" applyBorder="1">
      <alignment vertical="center"/>
    </xf>
    <xf numFmtId="0" fontId="120" fillId="11" borderId="0" xfId="15" applyFont="1" applyFill="1">
      <alignment vertical="center"/>
    </xf>
    <xf numFmtId="38" fontId="120" fillId="11" borderId="24" xfId="15" applyNumberFormat="1" applyFont="1" applyFill="1" applyBorder="1">
      <alignment vertical="center"/>
    </xf>
    <xf numFmtId="0" fontId="35" fillId="4" borderId="1" xfId="0" applyFont="1" applyFill="1" applyBorder="1" applyAlignment="1" applyProtection="1">
      <alignment vertical="center" shrinkToFit="1"/>
      <protection hidden="1"/>
    </xf>
    <xf numFmtId="0" fontId="35" fillId="4" borderId="2" xfId="0" applyFont="1" applyFill="1" applyBorder="1" applyAlignment="1" applyProtection="1">
      <alignment vertical="center" shrinkToFit="1"/>
      <protection hidden="1"/>
    </xf>
    <xf numFmtId="0" fontId="35" fillId="4" borderId="297" xfId="0" applyFont="1" applyFill="1" applyBorder="1" applyAlignment="1" applyProtection="1">
      <alignment vertical="center" shrinkToFit="1"/>
      <protection hidden="1"/>
    </xf>
    <xf numFmtId="0" fontId="35" fillId="4" borderId="9" xfId="0" applyFont="1" applyFill="1" applyBorder="1" applyAlignment="1" applyProtection="1">
      <alignment vertical="center" shrinkToFit="1"/>
      <protection hidden="1"/>
    </xf>
    <xf numFmtId="0" fontId="35" fillId="4" borderId="10" xfId="0" applyFont="1" applyFill="1" applyBorder="1" applyAlignment="1" applyProtection="1">
      <alignment vertical="center" shrinkToFit="1"/>
      <protection hidden="1"/>
    </xf>
    <xf numFmtId="0" fontId="28" fillId="0" borderId="308" xfId="0" applyFont="1" applyBorder="1">
      <alignment vertical="center"/>
    </xf>
    <xf numFmtId="0" fontId="35" fillId="4" borderId="1" xfId="0" applyFont="1" applyFill="1" applyBorder="1" applyAlignment="1" applyProtection="1">
      <alignment horizontal="center" vertical="center" shrinkToFit="1"/>
      <protection hidden="1"/>
    </xf>
    <xf numFmtId="0" fontId="35" fillId="4" borderId="2" xfId="0" applyFont="1" applyFill="1" applyBorder="1" applyAlignment="1" applyProtection="1">
      <alignment horizontal="center" vertical="center" shrinkToFit="1"/>
      <protection hidden="1"/>
    </xf>
    <xf numFmtId="0" fontId="35" fillId="4" borderId="297" xfId="0" applyFont="1" applyFill="1" applyBorder="1" applyAlignment="1" applyProtection="1">
      <alignment horizontal="center" vertical="center" shrinkToFit="1"/>
      <protection hidden="1"/>
    </xf>
    <xf numFmtId="0" fontId="35" fillId="4" borderId="9" xfId="0" applyFont="1" applyFill="1" applyBorder="1" applyAlignment="1" applyProtection="1">
      <alignment horizontal="center" vertical="center" shrinkToFit="1"/>
      <protection hidden="1"/>
    </xf>
    <xf numFmtId="0" fontId="35" fillId="4" borderId="10" xfId="0" applyFont="1" applyFill="1" applyBorder="1" applyAlignment="1" applyProtection="1">
      <alignment horizontal="center" vertical="center" shrinkToFit="1"/>
      <protection hidden="1"/>
    </xf>
    <xf numFmtId="0" fontId="120" fillId="30" borderId="0" xfId="15" applyFont="1" applyFill="1">
      <alignment vertical="center"/>
    </xf>
    <xf numFmtId="0" fontId="26" fillId="42" borderId="0" xfId="0" applyFont="1" applyFill="1">
      <alignment vertical="center"/>
    </xf>
    <xf numFmtId="0" fontId="142" fillId="22" borderId="0" xfId="0" applyFont="1" applyFill="1">
      <alignment vertical="center"/>
    </xf>
    <xf numFmtId="0" fontId="23" fillId="22" borderId="0" xfId="0" applyFont="1" applyFill="1">
      <alignment vertical="center"/>
    </xf>
    <xf numFmtId="0" fontId="120" fillId="8" borderId="24" xfId="15" applyFont="1" applyFill="1" applyBorder="1">
      <alignment vertical="center"/>
    </xf>
    <xf numFmtId="0" fontId="20" fillId="8" borderId="44" xfId="0" applyFont="1" applyFill="1" applyBorder="1">
      <alignment vertical="center"/>
    </xf>
    <xf numFmtId="0" fontId="20" fillId="8" borderId="80" xfId="0" applyFont="1" applyFill="1" applyBorder="1">
      <alignment vertical="center"/>
    </xf>
    <xf numFmtId="0" fontId="37" fillId="0" borderId="45" xfId="0" applyFont="1" applyBorder="1">
      <alignment vertical="center"/>
    </xf>
    <xf numFmtId="0" fontId="144" fillId="35" borderId="16" xfId="1" applyFont="1" applyFill="1" applyBorder="1" applyAlignment="1">
      <alignment horizontal="center" vertical="center"/>
    </xf>
    <xf numFmtId="0" fontId="13" fillId="0" borderId="459" xfId="8" applyBorder="1">
      <alignment vertical="center"/>
    </xf>
    <xf numFmtId="0" fontId="13" fillId="0" borderId="50" xfId="8" applyBorder="1">
      <alignment vertical="center"/>
    </xf>
    <xf numFmtId="0" fontId="23" fillId="8" borderId="0" xfId="0" applyFont="1" applyFill="1">
      <alignment vertical="center"/>
    </xf>
    <xf numFmtId="0" fontId="20" fillId="0" borderId="89" xfId="0" applyFont="1" applyBorder="1">
      <alignment vertical="center"/>
    </xf>
    <xf numFmtId="185" fontId="23" fillId="0" borderId="0" xfId="0" applyNumberFormat="1" applyFont="1">
      <alignment vertical="center"/>
    </xf>
    <xf numFmtId="185" fontId="23" fillId="8" borderId="0" xfId="0" applyNumberFormat="1" applyFont="1" applyFill="1">
      <alignment vertical="center"/>
    </xf>
    <xf numFmtId="0" fontId="120" fillId="28" borderId="24" xfId="15" applyFont="1" applyFill="1" applyBorder="1">
      <alignment vertical="center"/>
    </xf>
    <xf numFmtId="0" fontId="23" fillId="28" borderId="0" xfId="0" applyFont="1" applyFill="1">
      <alignment vertical="center"/>
    </xf>
    <xf numFmtId="0" fontId="24" fillId="28" borderId="9" xfId="0" applyFont="1" applyFill="1" applyBorder="1">
      <alignment vertical="center"/>
    </xf>
    <xf numFmtId="0" fontId="24" fillId="28" borderId="0" xfId="0" quotePrefix="1" applyFont="1" applyFill="1">
      <alignment vertical="center"/>
    </xf>
    <xf numFmtId="0" fontId="13" fillId="0" borderId="517" xfId="8" applyBorder="1">
      <alignment vertical="center"/>
    </xf>
    <xf numFmtId="0" fontId="35" fillId="8" borderId="528" xfId="0" applyFont="1" applyFill="1" applyBorder="1" applyProtection="1">
      <alignment vertical="center"/>
      <protection hidden="1"/>
    </xf>
    <xf numFmtId="0" fontId="35" fillId="8" borderId="50" xfId="0" applyFont="1" applyFill="1" applyBorder="1" applyAlignment="1" applyProtection="1">
      <alignment horizontal="center" vertical="center"/>
      <protection hidden="1"/>
    </xf>
    <xf numFmtId="0" fontId="35" fillId="8" borderId="529" xfId="0" applyFont="1" applyFill="1" applyBorder="1" applyAlignment="1" applyProtection="1">
      <alignment horizontal="left" vertical="center"/>
      <protection hidden="1"/>
    </xf>
    <xf numFmtId="0" fontId="35" fillId="8" borderId="50" xfId="0" applyFont="1" applyFill="1" applyBorder="1" applyAlignment="1" applyProtection="1">
      <alignment horizontal="left" vertical="center"/>
      <protection hidden="1"/>
    </xf>
    <xf numFmtId="0" fontId="35" fillId="8" borderId="50" xfId="0" applyFont="1" applyFill="1" applyBorder="1" applyProtection="1">
      <alignment vertical="center"/>
      <protection hidden="1"/>
    </xf>
    <xf numFmtId="0" fontId="20" fillId="28" borderId="0" xfId="8" applyFont="1" applyFill="1">
      <alignment vertical="center"/>
    </xf>
    <xf numFmtId="0" fontId="20" fillId="0" borderId="0" xfId="8" applyFont="1" applyAlignment="1">
      <alignment vertical="center" wrapText="1"/>
    </xf>
    <xf numFmtId="0" fontId="92" fillId="0" borderId="24" xfId="0" applyFont="1" applyBorder="1">
      <alignment vertical="center"/>
    </xf>
    <xf numFmtId="0" fontId="0" fillId="0" borderId="24" xfId="0" applyBorder="1">
      <alignment vertical="center"/>
    </xf>
    <xf numFmtId="0" fontId="24" fillId="28" borderId="0" xfId="0" applyFont="1" applyFill="1">
      <alignment vertical="center"/>
    </xf>
    <xf numFmtId="0" fontId="24" fillId="30" borderId="0" xfId="0" applyFont="1" applyFill="1">
      <alignment vertical="center"/>
    </xf>
    <xf numFmtId="0" fontId="24" fillId="54" borderId="0" xfId="0" applyFont="1" applyFill="1">
      <alignment vertical="center"/>
    </xf>
    <xf numFmtId="0" fontId="0" fillId="28" borderId="17" xfId="0" applyFill="1" applyBorder="1">
      <alignment vertical="center"/>
    </xf>
    <xf numFmtId="0" fontId="0" fillId="28" borderId="2" xfId="0" applyFill="1" applyBorder="1">
      <alignment vertical="center"/>
    </xf>
    <xf numFmtId="0" fontId="9" fillId="0" borderId="0" xfId="8" applyFont="1">
      <alignment vertical="center"/>
    </xf>
    <xf numFmtId="0" fontId="21" fillId="36" borderId="0" xfId="8" applyFont="1" applyFill="1" applyAlignment="1">
      <alignment horizontal="center" vertical="center"/>
    </xf>
    <xf numFmtId="0" fontId="0" fillId="28" borderId="16" xfId="0" applyFill="1" applyBorder="1">
      <alignment vertical="center"/>
    </xf>
    <xf numFmtId="0" fontId="0" fillId="8" borderId="16" xfId="0" applyFill="1" applyBorder="1">
      <alignment vertical="center"/>
    </xf>
    <xf numFmtId="0" fontId="0" fillId="8" borderId="12" xfId="0" applyFill="1" applyBorder="1">
      <alignment vertical="center"/>
    </xf>
    <xf numFmtId="0" fontId="13" fillId="0" borderId="411" xfId="8" applyBorder="1">
      <alignment vertical="center"/>
    </xf>
    <xf numFmtId="0" fontId="92" fillId="0" borderId="17" xfId="0" applyFont="1" applyBorder="1">
      <alignment vertical="center"/>
    </xf>
    <xf numFmtId="0" fontId="23" fillId="0" borderId="2" xfId="0" applyFont="1" applyBorder="1">
      <alignment vertical="center"/>
    </xf>
    <xf numFmtId="0" fontId="92" fillId="0" borderId="12" xfId="0" applyFont="1" applyBorder="1">
      <alignment vertical="center"/>
    </xf>
    <xf numFmtId="0" fontId="23" fillId="0" borderId="10" xfId="0" applyFont="1" applyBorder="1">
      <alignment vertical="center"/>
    </xf>
    <xf numFmtId="0" fontId="131" fillId="59" borderId="24" xfId="15" applyFont="1" applyFill="1" applyBorder="1">
      <alignment vertical="center"/>
    </xf>
    <xf numFmtId="0" fontId="120" fillId="28" borderId="0" xfId="15" applyFont="1" applyFill="1">
      <alignment vertical="center"/>
    </xf>
    <xf numFmtId="38" fontId="120" fillId="28" borderId="24" xfId="15" applyNumberFormat="1" applyFont="1" applyFill="1" applyBorder="1">
      <alignment vertical="center"/>
    </xf>
    <xf numFmtId="0" fontId="131" fillId="57" borderId="24" xfId="15" applyFont="1" applyFill="1" applyBorder="1">
      <alignment vertical="center"/>
    </xf>
    <xf numFmtId="0" fontId="26" fillId="57" borderId="0" xfId="0" applyFont="1" applyFill="1" applyAlignment="1">
      <alignment horizontal="center" vertical="center"/>
    </xf>
    <xf numFmtId="0" fontId="23" fillId="17" borderId="0" xfId="0" applyFont="1" applyFill="1">
      <alignment vertical="center"/>
    </xf>
    <xf numFmtId="0" fontId="120" fillId="23" borderId="24" xfId="15" applyFont="1" applyFill="1" applyBorder="1">
      <alignment vertical="center"/>
    </xf>
    <xf numFmtId="0" fontId="23" fillId="28" borderId="0" xfId="0" applyFont="1" applyFill="1" applyAlignment="1">
      <alignment horizontal="right" vertical="center"/>
    </xf>
    <xf numFmtId="38" fontId="23" fillId="28" borderId="0" xfId="0" applyNumberFormat="1" applyFont="1" applyFill="1">
      <alignment vertical="center"/>
    </xf>
    <xf numFmtId="0" fontId="0" fillId="20" borderId="0" xfId="0" applyFill="1">
      <alignment vertical="center"/>
    </xf>
    <xf numFmtId="0" fontId="0" fillId="20" borderId="21" xfId="0" applyFill="1" applyBorder="1">
      <alignment vertical="center"/>
    </xf>
    <xf numFmtId="0" fontId="0" fillId="20" borderId="14" xfId="0" applyFill="1" applyBorder="1">
      <alignment vertical="center"/>
    </xf>
    <xf numFmtId="0" fontId="0" fillId="20" borderId="23" xfId="0" applyFill="1" applyBorder="1">
      <alignment vertical="center"/>
    </xf>
    <xf numFmtId="0" fontId="132" fillId="23" borderId="24" xfId="15" applyFont="1" applyFill="1" applyBorder="1">
      <alignment vertical="center"/>
    </xf>
    <xf numFmtId="38" fontId="13" fillId="0" borderId="0" xfId="8" applyNumberFormat="1">
      <alignment vertical="center"/>
    </xf>
    <xf numFmtId="14" fontId="13" fillId="0" borderId="0" xfId="8" applyNumberFormat="1">
      <alignment vertical="center"/>
    </xf>
    <xf numFmtId="0" fontId="23" fillId="0" borderId="158" xfId="0" applyFont="1" applyBorder="1">
      <alignment vertical="center"/>
    </xf>
    <xf numFmtId="0" fontId="0" fillId="0" borderId="275" xfId="0" applyBorder="1">
      <alignment vertical="center"/>
    </xf>
    <xf numFmtId="0" fontId="0" fillId="0" borderId="110" xfId="0" applyBorder="1">
      <alignment vertical="center"/>
    </xf>
    <xf numFmtId="0" fontId="0" fillId="0" borderId="269" xfId="0" applyBorder="1">
      <alignment vertical="center"/>
    </xf>
    <xf numFmtId="0" fontId="132" fillId="50" borderId="24" xfId="15" applyFont="1" applyFill="1" applyBorder="1">
      <alignment vertical="center"/>
    </xf>
    <xf numFmtId="0" fontId="26" fillId="50" borderId="0" xfId="0" applyFont="1" applyFill="1" applyAlignment="1">
      <alignment horizontal="center" vertical="center"/>
    </xf>
    <xf numFmtId="0" fontId="13" fillId="0" borderId="14" xfId="8" applyBorder="1">
      <alignment vertical="center"/>
    </xf>
    <xf numFmtId="0" fontId="16" fillId="0" borderId="401" xfId="1" applyNumberFormat="1" applyFont="1" applyFill="1" applyBorder="1" applyAlignment="1" applyProtection="1">
      <alignment vertical="center"/>
    </xf>
    <xf numFmtId="0" fontId="16" fillId="0" borderId="275" xfId="1" applyNumberFormat="1" applyFont="1" applyFill="1" applyBorder="1" applyAlignment="1" applyProtection="1">
      <alignment vertical="center"/>
    </xf>
    <xf numFmtId="0" fontId="27" fillId="38" borderId="0" xfId="0" applyFont="1" applyFill="1" applyAlignment="1">
      <alignment horizontal="center" vertical="center"/>
    </xf>
    <xf numFmtId="0" fontId="132" fillId="60" borderId="24" xfId="15" applyFont="1" applyFill="1" applyBorder="1">
      <alignment vertical="center"/>
    </xf>
    <xf numFmtId="0" fontId="0" fillId="2" borderId="24" xfId="0" applyFill="1" applyBorder="1">
      <alignment vertical="center"/>
    </xf>
    <xf numFmtId="0" fontId="0" fillId="31" borderId="24" xfId="0" applyFill="1" applyBorder="1">
      <alignment vertical="center"/>
    </xf>
    <xf numFmtId="0" fontId="0" fillId="28" borderId="24" xfId="0" applyFill="1" applyBorder="1">
      <alignment vertical="center"/>
    </xf>
    <xf numFmtId="0" fontId="31" fillId="11" borderId="51" xfId="0" applyFont="1" applyFill="1" applyBorder="1" applyAlignment="1" applyProtection="1">
      <alignment vertical="center" wrapText="1" shrinkToFit="1"/>
      <protection hidden="1"/>
    </xf>
    <xf numFmtId="0" fontId="31" fillId="11" borderId="0" xfId="0" applyFont="1" applyFill="1" applyAlignment="1" applyProtection="1">
      <alignment vertical="center" wrapText="1" shrinkToFit="1"/>
      <protection hidden="1"/>
    </xf>
    <xf numFmtId="0" fontId="31" fillId="11" borderId="477" xfId="0" applyFont="1" applyFill="1" applyBorder="1" applyAlignment="1" applyProtection="1">
      <alignment vertical="center" wrapText="1" shrinkToFit="1"/>
      <protection hidden="1"/>
    </xf>
    <xf numFmtId="0" fontId="9" fillId="38" borderId="0" xfId="8" applyFont="1" applyFill="1">
      <alignment vertical="center"/>
    </xf>
    <xf numFmtId="0" fontId="13" fillId="38" borderId="0" xfId="8" applyFill="1">
      <alignment vertical="center"/>
    </xf>
    <xf numFmtId="0" fontId="0" fillId="0" borderId="24" xfId="0" applyBorder="1" applyAlignment="1">
      <alignment horizontal="right" vertical="center"/>
    </xf>
    <xf numFmtId="0" fontId="120" fillId="5" borderId="24" xfId="15" applyFont="1" applyFill="1" applyBorder="1">
      <alignment vertical="center"/>
    </xf>
    <xf numFmtId="0" fontId="0" fillId="55" borderId="24" xfId="0" applyFill="1" applyBorder="1">
      <alignment vertical="center"/>
    </xf>
    <xf numFmtId="0" fontId="8" fillId="0" borderId="0" xfId="8" applyFont="1">
      <alignment vertical="center"/>
    </xf>
    <xf numFmtId="0" fontId="0" fillId="0" borderId="158" xfId="0" applyBorder="1">
      <alignment vertical="center"/>
    </xf>
    <xf numFmtId="0" fontId="0" fillId="15" borderId="158" xfId="0" applyFill="1" applyBorder="1" applyAlignment="1">
      <alignment horizontal="center" vertical="center"/>
    </xf>
    <xf numFmtId="0" fontId="0" fillId="28" borderId="158" xfId="0" applyFill="1" applyBorder="1">
      <alignment vertical="center"/>
    </xf>
    <xf numFmtId="0" fontId="0" fillId="2" borderId="269" xfId="0" applyFill="1" applyBorder="1">
      <alignment vertical="center"/>
    </xf>
    <xf numFmtId="0" fontId="13" fillId="0" borderId="24" xfId="8" applyBorder="1">
      <alignment vertical="center"/>
    </xf>
    <xf numFmtId="0" fontId="8" fillId="0" borderId="24" xfId="8" applyFont="1" applyBorder="1">
      <alignment vertical="center"/>
    </xf>
    <xf numFmtId="0" fontId="13" fillId="28" borderId="24" xfId="8" applyFill="1" applyBorder="1">
      <alignment vertical="center"/>
    </xf>
    <xf numFmtId="14" fontId="0" fillId="0" borderId="0" xfId="0" applyNumberFormat="1">
      <alignment vertical="center"/>
    </xf>
    <xf numFmtId="180" fontId="120" fillId="28" borderId="24" xfId="15" applyNumberFormat="1" applyFont="1" applyFill="1" applyBorder="1">
      <alignment vertical="center"/>
    </xf>
    <xf numFmtId="0" fontId="60" fillId="8" borderId="510" xfId="0" applyFont="1" applyFill="1" applyBorder="1" applyAlignment="1" applyProtection="1">
      <alignment horizontal="center" vertical="top" wrapText="1"/>
      <protection locked="0"/>
    </xf>
    <xf numFmtId="0" fontId="60" fillId="8" borderId="0" xfId="0" applyFont="1" applyFill="1" applyAlignment="1" applyProtection="1">
      <alignment horizontal="center" vertical="top" wrapText="1"/>
      <protection locked="0"/>
    </xf>
    <xf numFmtId="0" fontId="66" fillId="0" borderId="221" xfId="8" applyFont="1" applyBorder="1">
      <alignment vertical="center"/>
    </xf>
    <xf numFmtId="0" fontId="66" fillId="0" borderId="0" xfId="8" applyFont="1">
      <alignment vertical="center"/>
    </xf>
    <xf numFmtId="0" fontId="0" fillId="11" borderId="24" xfId="0" applyFill="1" applyBorder="1">
      <alignment vertical="center"/>
    </xf>
    <xf numFmtId="0" fontId="24" fillId="22" borderId="24" xfId="0" applyFont="1" applyFill="1" applyBorder="1">
      <alignment vertical="center"/>
    </xf>
    <xf numFmtId="0" fontId="24" fillId="28" borderId="24" xfId="0" applyFont="1" applyFill="1" applyBorder="1">
      <alignment vertical="center"/>
    </xf>
    <xf numFmtId="0" fontId="24" fillId="0" borderId="24" xfId="0" applyFont="1" applyBorder="1">
      <alignment vertical="center"/>
    </xf>
    <xf numFmtId="0" fontId="28" fillId="0" borderId="499" xfId="0" applyFont="1" applyBorder="1">
      <alignment vertical="center"/>
    </xf>
    <xf numFmtId="38" fontId="120" fillId="30" borderId="24" xfId="15" applyNumberFormat="1" applyFont="1" applyFill="1" applyBorder="1">
      <alignment vertical="center"/>
    </xf>
    <xf numFmtId="0" fontId="7" fillId="0" borderId="0" xfId="8" applyFont="1">
      <alignment vertical="center"/>
    </xf>
    <xf numFmtId="0" fontId="13" fillId="28" borderId="0" xfId="8" applyFill="1">
      <alignment vertical="center"/>
    </xf>
    <xf numFmtId="0" fontId="18" fillId="0" borderId="0" xfId="1" applyAlignment="1">
      <alignment vertical="center"/>
    </xf>
    <xf numFmtId="0" fontId="28" fillId="18" borderId="0" xfId="0" applyFont="1" applyFill="1" applyProtection="1">
      <alignment vertical="center"/>
      <protection hidden="1"/>
    </xf>
    <xf numFmtId="0" fontId="28" fillId="18" borderId="64" xfId="0" applyFont="1" applyFill="1" applyBorder="1" applyProtection="1">
      <alignment vertical="center"/>
      <protection hidden="1"/>
    </xf>
    <xf numFmtId="0" fontId="132" fillId="61" borderId="24" xfId="15" applyFont="1" applyFill="1" applyBorder="1">
      <alignment vertical="center"/>
    </xf>
    <xf numFmtId="0" fontId="65" fillId="23" borderId="269" xfId="0" applyFont="1" applyFill="1" applyBorder="1">
      <alignment vertical="center"/>
    </xf>
    <xf numFmtId="14" fontId="120" fillId="28" borderId="24" xfId="15" applyNumberFormat="1" applyFont="1" applyFill="1" applyBorder="1">
      <alignment vertical="center"/>
    </xf>
    <xf numFmtId="0" fontId="6" fillId="0" borderId="0" xfId="8" applyFont="1">
      <alignment vertical="center"/>
    </xf>
    <xf numFmtId="14" fontId="120" fillId="0" borderId="24" xfId="15" applyNumberFormat="1" applyFont="1" applyBorder="1">
      <alignment vertical="center"/>
    </xf>
    <xf numFmtId="0" fontId="18" fillId="18" borderId="670" xfId="1" applyFill="1" applyBorder="1" applyAlignment="1" applyProtection="1">
      <alignment vertical="center" shrinkToFit="1"/>
    </xf>
    <xf numFmtId="0" fontId="18" fillId="18" borderId="0" xfId="1" applyFill="1" applyBorder="1" applyAlignment="1" applyProtection="1">
      <alignment vertical="center" shrinkToFit="1"/>
    </xf>
    <xf numFmtId="0" fontId="18" fillId="18" borderId="477" xfId="1" applyFill="1" applyBorder="1" applyAlignment="1" applyProtection="1">
      <alignment vertical="center" shrinkToFit="1"/>
    </xf>
    <xf numFmtId="0" fontId="164" fillId="8" borderId="0" xfId="1" applyFont="1" applyFill="1" applyAlignment="1" applyProtection="1">
      <alignment vertical="top"/>
      <protection hidden="1"/>
    </xf>
    <xf numFmtId="0" fontId="24" fillId="0" borderId="0" xfId="0" applyFont="1" applyAlignment="1">
      <alignment vertical="center" wrapText="1"/>
    </xf>
    <xf numFmtId="0" fontId="5" fillId="0" borderId="0" xfId="8" applyFont="1">
      <alignment vertical="center"/>
    </xf>
    <xf numFmtId="49" fontId="66" fillId="0" borderId="0" xfId="0" applyNumberFormat="1" applyFont="1">
      <alignment vertical="center"/>
    </xf>
    <xf numFmtId="0" fontId="26" fillId="62" borderId="0" xfId="0" applyFont="1" applyFill="1" applyAlignment="1">
      <alignment horizontal="center" vertical="center"/>
    </xf>
    <xf numFmtId="0" fontId="0" fillId="8" borderId="763" xfId="0" applyFill="1" applyBorder="1" applyAlignment="1">
      <alignment horizontal="right" vertical="center"/>
    </xf>
    <xf numFmtId="0" fontId="4" fillId="0" borderId="0" xfId="8" applyFont="1">
      <alignment vertical="center"/>
    </xf>
    <xf numFmtId="0" fontId="13" fillId="0" borderId="308" xfId="8" applyBorder="1">
      <alignment vertical="center"/>
    </xf>
    <xf numFmtId="0" fontId="0" fillId="0" borderId="505" xfId="0" applyBorder="1">
      <alignment vertical="center"/>
    </xf>
    <xf numFmtId="0" fontId="0" fillId="0" borderId="506" xfId="0" applyBorder="1">
      <alignment vertical="center"/>
    </xf>
    <xf numFmtId="0" fontId="0" fillId="0" borderId="510" xfId="0" applyBorder="1">
      <alignment vertical="center"/>
    </xf>
    <xf numFmtId="0" fontId="0" fillId="0" borderId="503" xfId="0" applyBorder="1">
      <alignment vertical="center"/>
    </xf>
    <xf numFmtId="0" fontId="0" fillId="0" borderId="507" xfId="0" applyBorder="1">
      <alignment vertical="center"/>
    </xf>
    <xf numFmtId="0" fontId="0" fillId="0" borderId="509" xfId="0" applyBorder="1">
      <alignment vertical="center"/>
    </xf>
    <xf numFmtId="0" fontId="3" fillId="0" borderId="0" xfId="8" applyFont="1">
      <alignment vertical="center"/>
    </xf>
    <xf numFmtId="0" fontId="55" fillId="8" borderId="0" xfId="0" applyFont="1" applyFill="1" applyAlignment="1" applyProtection="1">
      <protection hidden="1"/>
    </xf>
    <xf numFmtId="0" fontId="35" fillId="8" borderId="308" xfId="0" applyFont="1" applyFill="1" applyBorder="1" applyProtection="1">
      <alignment vertical="center"/>
      <protection hidden="1"/>
    </xf>
    <xf numFmtId="0" fontId="28" fillId="8" borderId="308" xfId="0" applyFont="1" applyFill="1" applyBorder="1" applyProtection="1">
      <alignment vertical="center"/>
      <protection hidden="1"/>
    </xf>
    <xf numFmtId="0" fontId="35" fillId="8" borderId="305" xfId="0" applyFont="1" applyFill="1" applyBorder="1" applyProtection="1">
      <alignment vertical="center"/>
      <protection hidden="1"/>
    </xf>
    <xf numFmtId="0" fontId="28" fillId="8" borderId="305" xfId="0" applyFont="1" applyFill="1" applyBorder="1" applyProtection="1">
      <alignment vertical="center"/>
      <protection hidden="1"/>
    </xf>
    <xf numFmtId="0" fontId="55" fillId="8" borderId="281" xfId="0" applyFont="1" applyFill="1" applyBorder="1" applyAlignment="1" applyProtection="1">
      <protection hidden="1"/>
    </xf>
    <xf numFmtId="0" fontId="28" fillId="8" borderId="281" xfId="0" applyFont="1" applyFill="1" applyBorder="1" applyProtection="1">
      <alignment vertical="center"/>
      <protection hidden="1"/>
    </xf>
    <xf numFmtId="0" fontId="20" fillId="28" borderId="0" xfId="0" applyFont="1" applyFill="1">
      <alignment vertical="center"/>
    </xf>
    <xf numFmtId="0" fontId="13" fillId="8" borderId="0" xfId="8" applyFill="1">
      <alignment vertical="center"/>
    </xf>
    <xf numFmtId="0" fontId="0" fillId="8" borderId="514" xfId="0" applyFill="1" applyBorder="1">
      <alignment vertical="center"/>
    </xf>
    <xf numFmtId="0" fontId="13" fillId="8" borderId="305" xfId="8" applyFill="1" applyBorder="1">
      <alignment vertical="center"/>
    </xf>
    <xf numFmtId="0" fontId="18" fillId="8" borderId="0" xfId="1" applyNumberFormat="1" applyFill="1" applyBorder="1" applyAlignment="1" applyProtection="1">
      <alignment vertical="center" shrinkToFit="1"/>
    </xf>
    <xf numFmtId="0" fontId="29" fillId="8" borderId="0" xfId="9" applyNumberFormat="1" applyFont="1" applyFill="1" applyBorder="1" applyAlignment="1" applyProtection="1">
      <alignment vertical="center" shrinkToFit="1"/>
    </xf>
    <xf numFmtId="0" fontId="18" fillId="8" borderId="0" xfId="1" applyFill="1" applyAlignment="1">
      <alignment vertical="center"/>
    </xf>
    <xf numFmtId="0" fontId="31" fillId="18" borderId="461" xfId="0" applyFont="1" applyFill="1" applyBorder="1" applyAlignment="1" applyProtection="1">
      <alignment vertical="center" wrapText="1"/>
      <protection hidden="1"/>
    </xf>
    <xf numFmtId="0" fontId="31" fillId="18" borderId="0" xfId="0" applyFont="1" applyFill="1" applyAlignment="1" applyProtection="1">
      <alignment vertical="center" wrapText="1"/>
      <protection hidden="1"/>
    </xf>
    <xf numFmtId="0" fontId="2" fillId="0" borderId="0" xfId="8" applyFont="1">
      <alignment vertical="center"/>
    </xf>
    <xf numFmtId="0" fontId="1" fillId="0" borderId="0" xfId="8" applyFont="1">
      <alignment vertical="center"/>
    </xf>
    <xf numFmtId="186" fontId="13" fillId="0" borderId="0" xfId="8" applyNumberFormat="1">
      <alignment vertical="center"/>
    </xf>
    <xf numFmtId="186" fontId="23" fillId="11" borderId="0" xfId="0" applyNumberFormat="1" applyFont="1" applyFill="1">
      <alignment vertical="center"/>
    </xf>
    <xf numFmtId="49" fontId="106" fillId="0" borderId="782" xfId="0" applyNumberFormat="1" applyFont="1" applyBorder="1" applyAlignment="1" applyProtection="1">
      <alignment horizontal="center" vertical="center"/>
      <protection hidden="1"/>
    </xf>
    <xf numFmtId="49" fontId="106" fillId="0" borderId="150" xfId="0" applyNumberFormat="1" applyFont="1" applyBorder="1" applyAlignment="1" applyProtection="1">
      <alignment horizontal="center" vertical="center"/>
      <protection hidden="1"/>
    </xf>
    <xf numFmtId="49" fontId="106" fillId="0" borderId="786" xfId="0" applyNumberFormat="1" applyFont="1" applyBorder="1" applyAlignment="1" applyProtection="1">
      <alignment horizontal="center" vertical="center"/>
      <protection hidden="1"/>
    </xf>
    <xf numFmtId="49" fontId="106" fillId="0" borderId="787" xfId="0" applyNumberFormat="1" applyFont="1" applyBorder="1" applyAlignment="1" applyProtection="1">
      <alignment horizontal="center" vertical="center"/>
      <protection hidden="1"/>
    </xf>
    <xf numFmtId="0" fontId="106" fillId="0" borderId="150" xfId="0" applyFont="1" applyBorder="1" applyAlignment="1" applyProtection="1">
      <alignment horizontal="center" vertical="center" wrapText="1"/>
      <protection hidden="1"/>
    </xf>
    <xf numFmtId="0" fontId="106" fillId="0" borderId="783" xfId="0" applyFont="1" applyBorder="1" applyAlignment="1" applyProtection="1">
      <alignment horizontal="center" vertical="center" wrapText="1"/>
      <protection hidden="1"/>
    </xf>
    <xf numFmtId="0" fontId="106" fillId="0" borderId="787" xfId="0" applyFont="1" applyBorder="1" applyAlignment="1" applyProtection="1">
      <alignment horizontal="center" vertical="center" wrapText="1"/>
      <protection hidden="1"/>
    </xf>
    <xf numFmtId="0" fontId="106" fillId="0" borderId="788" xfId="0" applyFont="1" applyBorder="1" applyAlignment="1" applyProtection="1">
      <alignment horizontal="center" vertical="center" wrapText="1"/>
      <protection hidden="1"/>
    </xf>
    <xf numFmtId="49" fontId="106" fillId="8" borderId="784" xfId="0" applyNumberFormat="1" applyFont="1" applyFill="1" applyBorder="1" applyAlignment="1" applyProtection="1">
      <alignment horizontal="center" vertical="center" wrapText="1"/>
      <protection hidden="1"/>
    </xf>
    <xf numFmtId="49" fontId="106" fillId="8" borderId="24" xfId="0" applyNumberFormat="1" applyFont="1" applyFill="1" applyBorder="1" applyAlignment="1" applyProtection="1">
      <alignment horizontal="center" vertical="center" wrapText="1"/>
      <protection hidden="1"/>
    </xf>
    <xf numFmtId="49" fontId="106" fillId="8" borderId="24" xfId="0" applyNumberFormat="1" applyFont="1" applyFill="1" applyBorder="1" applyAlignment="1" applyProtection="1">
      <alignment horizontal="center" vertical="center"/>
      <protection hidden="1"/>
    </xf>
    <xf numFmtId="0" fontId="157" fillId="8" borderId="24" xfId="1" applyFont="1" applyFill="1" applyBorder="1" applyAlignment="1" applyProtection="1">
      <alignment horizontal="center" vertical="center" wrapText="1"/>
      <protection locked="0" hidden="1"/>
    </xf>
    <xf numFmtId="0" fontId="157" fillId="8" borderId="785" xfId="1" applyFont="1" applyFill="1" applyBorder="1" applyAlignment="1" applyProtection="1">
      <alignment horizontal="center" vertical="center" wrapText="1"/>
      <protection locked="0" hidden="1"/>
    </xf>
    <xf numFmtId="49" fontId="106" fillId="8" borderId="789" xfId="0" applyNumberFormat="1" applyFont="1" applyFill="1" applyBorder="1" applyAlignment="1" applyProtection="1">
      <alignment horizontal="center" vertical="center"/>
      <protection hidden="1"/>
    </xf>
    <xf numFmtId="49" fontId="106" fillId="8" borderId="110" xfId="0" applyNumberFormat="1" applyFont="1" applyFill="1" applyBorder="1" applyAlignment="1" applyProtection="1">
      <alignment horizontal="center" vertical="center"/>
      <protection hidden="1"/>
    </xf>
    <xf numFmtId="49" fontId="106" fillId="8" borderId="784" xfId="0" applyNumberFormat="1" applyFont="1" applyFill="1" applyBorder="1" applyAlignment="1" applyProtection="1">
      <alignment horizontal="center" vertical="center"/>
      <protection hidden="1"/>
    </xf>
    <xf numFmtId="0" fontId="157" fillId="0" borderId="110" xfId="1" applyFont="1" applyBorder="1" applyAlignment="1" applyProtection="1">
      <alignment horizontal="center" vertical="center"/>
      <protection locked="0"/>
    </xf>
    <xf numFmtId="0" fontId="157" fillId="0" borderId="790" xfId="1" applyFont="1" applyBorder="1" applyAlignment="1" applyProtection="1">
      <alignment horizontal="center" vertical="center"/>
      <protection locked="0"/>
    </xf>
    <xf numFmtId="0" fontId="157" fillId="0" borderId="24" xfId="1" applyFont="1" applyBorder="1" applyAlignment="1" applyProtection="1">
      <alignment horizontal="center" vertical="center"/>
      <protection locked="0"/>
    </xf>
    <xf numFmtId="0" fontId="157" fillId="0" borderId="785" xfId="1" applyFont="1" applyBorder="1" applyAlignment="1" applyProtection="1">
      <alignment horizontal="center" vertical="center"/>
      <protection locked="0"/>
    </xf>
    <xf numFmtId="49" fontId="153" fillId="7" borderId="19" xfId="0" applyNumberFormat="1" applyFont="1" applyFill="1" applyBorder="1" applyAlignment="1" applyProtection="1">
      <alignment horizontal="center" vertical="center" wrapText="1"/>
      <protection hidden="1"/>
    </xf>
    <xf numFmtId="49" fontId="153" fillId="7" borderId="4" xfId="0" applyNumberFormat="1" applyFont="1" applyFill="1" applyBorder="1" applyAlignment="1" applyProtection="1">
      <alignment horizontal="center" vertical="center" wrapText="1"/>
      <protection hidden="1"/>
    </xf>
    <xf numFmtId="49" fontId="153" fillId="7" borderId="20" xfId="0" applyNumberFormat="1" applyFont="1" applyFill="1" applyBorder="1" applyAlignment="1" applyProtection="1">
      <alignment horizontal="center" vertical="center" wrapText="1"/>
      <protection hidden="1"/>
    </xf>
    <xf numFmtId="49" fontId="153" fillId="7" borderId="11" xfId="0" applyNumberFormat="1" applyFont="1" applyFill="1" applyBorder="1" applyAlignment="1" applyProtection="1">
      <alignment horizontal="center" vertical="center" wrapText="1"/>
      <protection hidden="1"/>
    </xf>
    <xf numFmtId="49" fontId="153" fillId="7" borderId="0" xfId="0" applyNumberFormat="1" applyFont="1" applyFill="1" applyAlignment="1" applyProtection="1">
      <alignment horizontal="center" vertical="center" wrapText="1"/>
      <protection hidden="1"/>
    </xf>
    <xf numFmtId="49" fontId="153" fillId="7" borderId="21" xfId="0" applyNumberFormat="1" applyFont="1" applyFill="1" applyBorder="1" applyAlignment="1" applyProtection="1">
      <alignment horizontal="center" vertical="center" wrapText="1"/>
      <protection hidden="1"/>
    </xf>
    <xf numFmtId="0" fontId="25" fillId="8" borderId="0" xfId="0" applyFont="1" applyFill="1" applyAlignment="1">
      <alignment horizontal="center" vertical="center"/>
    </xf>
    <xf numFmtId="0" fontId="154" fillId="21" borderId="19" xfId="0" applyFont="1" applyFill="1" applyBorder="1" applyAlignment="1" applyProtection="1">
      <alignment horizontal="left" vertical="center"/>
      <protection hidden="1"/>
    </xf>
    <xf numFmtId="0" fontId="154" fillId="21" borderId="4" xfId="0" applyFont="1" applyFill="1" applyBorder="1" applyAlignment="1" applyProtection="1">
      <alignment horizontal="left" vertical="center"/>
      <protection hidden="1"/>
    </xf>
    <xf numFmtId="0" fontId="154" fillId="21" borderId="20" xfId="0" applyFont="1" applyFill="1" applyBorder="1" applyAlignment="1" applyProtection="1">
      <alignment horizontal="left" vertical="center"/>
      <protection hidden="1"/>
    </xf>
    <xf numFmtId="0" fontId="154" fillId="21" borderId="11" xfId="0" applyFont="1" applyFill="1" applyBorder="1" applyAlignment="1" applyProtection="1">
      <alignment horizontal="left" vertical="center"/>
      <protection hidden="1"/>
    </xf>
    <xf numFmtId="0" fontId="154" fillId="21" borderId="0" xfId="0" applyFont="1" applyFill="1" applyAlignment="1" applyProtection="1">
      <alignment horizontal="left" vertical="center"/>
      <protection hidden="1"/>
    </xf>
    <xf numFmtId="0" fontId="154" fillId="21" borderId="21" xfId="0" applyFont="1" applyFill="1" applyBorder="1" applyAlignment="1" applyProtection="1">
      <alignment horizontal="left" vertical="center"/>
      <protection hidden="1"/>
    </xf>
    <xf numFmtId="0" fontId="154" fillId="21" borderId="13" xfId="0" applyFont="1" applyFill="1" applyBorder="1" applyAlignment="1" applyProtection="1">
      <alignment horizontal="left" vertical="center"/>
      <protection hidden="1"/>
    </xf>
    <xf numFmtId="0" fontId="154" fillId="21" borderId="14" xfId="0" applyFont="1" applyFill="1" applyBorder="1" applyAlignment="1" applyProtection="1">
      <alignment horizontal="left" vertical="center"/>
      <protection hidden="1"/>
    </xf>
    <xf numFmtId="0" fontId="154" fillId="21" borderId="23" xfId="0" applyFont="1" applyFill="1" applyBorder="1" applyAlignment="1" applyProtection="1">
      <alignment horizontal="left" vertical="center"/>
      <protection hidden="1"/>
    </xf>
    <xf numFmtId="0" fontId="155" fillId="20" borderId="19" xfId="0" applyFont="1" applyFill="1" applyBorder="1" applyAlignment="1" applyProtection="1">
      <alignment vertical="center" wrapText="1"/>
      <protection hidden="1"/>
    </xf>
    <xf numFmtId="0" fontId="155" fillId="20" borderId="4" xfId="0" applyFont="1" applyFill="1" applyBorder="1" applyAlignment="1" applyProtection="1">
      <alignment vertical="center" wrapText="1"/>
      <protection hidden="1"/>
    </xf>
    <xf numFmtId="0" fontId="155" fillId="20" borderId="20" xfId="0" applyFont="1" applyFill="1" applyBorder="1" applyAlignment="1" applyProtection="1">
      <alignment vertical="center" wrapText="1"/>
      <protection hidden="1"/>
    </xf>
    <xf numFmtId="0" fontId="155" fillId="20" borderId="11" xfId="0" applyFont="1" applyFill="1" applyBorder="1" applyAlignment="1" applyProtection="1">
      <alignment vertical="center" wrapText="1"/>
      <protection hidden="1"/>
    </xf>
    <xf numFmtId="0" fontId="155" fillId="20" borderId="0" xfId="0" applyFont="1" applyFill="1" applyAlignment="1" applyProtection="1">
      <alignment vertical="center" wrapText="1"/>
      <protection hidden="1"/>
    </xf>
    <xf numFmtId="0" fontId="155" fillId="20" borderId="21" xfId="0" applyFont="1" applyFill="1" applyBorder="1" applyAlignment="1" applyProtection="1">
      <alignment vertical="center" wrapText="1"/>
      <protection hidden="1"/>
    </xf>
    <xf numFmtId="0" fontId="155" fillId="20" borderId="273" xfId="0" applyFont="1" applyFill="1" applyBorder="1" applyAlignment="1" applyProtection="1">
      <alignment vertical="center" wrapText="1"/>
      <protection hidden="1"/>
    </xf>
    <xf numFmtId="0" fontId="155" fillId="20" borderId="274" xfId="0" applyFont="1" applyFill="1" applyBorder="1" applyAlignment="1" applyProtection="1">
      <alignment vertical="center" wrapText="1"/>
      <protection hidden="1"/>
    </xf>
    <xf numFmtId="0" fontId="155" fillId="20" borderId="586" xfId="0" applyFont="1" applyFill="1" applyBorder="1" applyAlignment="1" applyProtection="1">
      <alignment vertical="center" wrapText="1"/>
      <protection hidden="1"/>
    </xf>
    <xf numFmtId="0" fontId="78" fillId="20" borderId="30" xfId="0" applyFont="1" applyFill="1" applyBorder="1" applyAlignment="1" applyProtection="1">
      <alignment horizontal="center" vertical="center" wrapText="1"/>
      <protection hidden="1"/>
    </xf>
    <xf numFmtId="0" fontId="78" fillId="20" borderId="6" xfId="0" applyFont="1" applyFill="1" applyBorder="1" applyAlignment="1" applyProtection="1">
      <alignment horizontal="center" vertical="center" wrapText="1"/>
      <protection hidden="1"/>
    </xf>
    <xf numFmtId="0" fontId="78" fillId="20" borderId="13" xfId="0" applyFont="1" applyFill="1" applyBorder="1" applyAlignment="1" applyProtection="1">
      <alignment horizontal="center" vertical="center" wrapText="1"/>
      <protection hidden="1"/>
    </xf>
    <xf numFmtId="0" fontId="78" fillId="20" borderId="14" xfId="0" applyFont="1" applyFill="1" applyBorder="1" applyAlignment="1" applyProtection="1">
      <alignment horizontal="center" vertical="center" wrapText="1"/>
      <protection hidden="1"/>
    </xf>
    <xf numFmtId="0" fontId="124" fillId="20" borderId="6" xfId="1" applyFont="1" applyFill="1" applyBorder="1" applyAlignment="1" applyProtection="1">
      <alignment horizontal="center" vertical="center" wrapText="1"/>
      <protection locked="0" hidden="1"/>
    </xf>
    <xf numFmtId="0" fontId="124" fillId="20" borderId="14" xfId="1" applyFont="1" applyFill="1" applyBorder="1" applyAlignment="1" applyProtection="1">
      <alignment horizontal="center" vertical="center" wrapText="1"/>
      <protection locked="0" hidden="1"/>
    </xf>
    <xf numFmtId="0" fontId="18" fillId="8" borderId="0" xfId="1" applyFill="1" applyAlignment="1" applyProtection="1">
      <alignment horizontal="left" vertical="center"/>
      <protection locked="0"/>
    </xf>
    <xf numFmtId="0" fontId="0" fillId="8" borderId="0" xfId="0" applyFill="1" applyAlignment="1" applyProtection="1">
      <alignment horizontal="left" vertical="center"/>
      <protection locked="0"/>
    </xf>
    <xf numFmtId="0" fontId="157" fillId="0" borderId="24" xfId="1" applyFont="1" applyFill="1" applyBorder="1" applyAlignment="1" applyProtection="1">
      <alignment horizontal="center" vertical="center"/>
      <protection locked="0"/>
    </xf>
    <xf numFmtId="0" fontId="157" fillId="0" borderId="785" xfId="1" applyFont="1" applyFill="1" applyBorder="1" applyAlignment="1" applyProtection="1">
      <alignment horizontal="center" vertical="center"/>
      <protection locked="0"/>
    </xf>
    <xf numFmtId="49" fontId="106" fillId="8" borderId="786" xfId="0" applyNumberFormat="1" applyFont="1" applyFill="1" applyBorder="1" applyAlignment="1" applyProtection="1">
      <alignment horizontal="center" vertical="center"/>
      <protection hidden="1"/>
    </xf>
    <xf numFmtId="49" fontId="106" fillId="8" borderId="787" xfId="0" applyNumberFormat="1" applyFont="1" applyFill="1" applyBorder="1" applyAlignment="1" applyProtection="1">
      <alignment horizontal="center" vertical="center"/>
      <protection hidden="1"/>
    </xf>
    <xf numFmtId="0" fontId="157" fillId="8" borderId="787" xfId="1" applyFont="1" applyFill="1" applyBorder="1" applyAlignment="1" applyProtection="1">
      <alignment horizontal="center" vertical="center" wrapText="1"/>
      <protection locked="0" hidden="1"/>
    </xf>
    <xf numFmtId="0" fontId="157" fillId="8" borderId="788" xfId="1" applyFont="1" applyFill="1" applyBorder="1" applyAlignment="1" applyProtection="1">
      <alignment horizontal="center" vertical="center" wrapText="1"/>
      <protection locked="0" hidden="1"/>
    </xf>
    <xf numFmtId="0" fontId="20" fillId="2" borderId="400" xfId="0" applyFont="1" applyFill="1" applyBorder="1" applyAlignment="1">
      <alignment horizontal="center" vertical="center"/>
    </xf>
    <xf numFmtId="0" fontId="20" fillId="32" borderId="400" xfId="0" applyFont="1" applyFill="1" applyBorder="1" applyAlignment="1">
      <alignment horizontal="center" vertical="center"/>
    </xf>
    <xf numFmtId="0" fontId="20" fillId="50" borderId="400" xfId="0" applyFont="1" applyFill="1" applyBorder="1" applyAlignment="1">
      <alignment horizontal="center" vertical="center"/>
    </xf>
    <xf numFmtId="0" fontId="21" fillId="13" borderId="78" xfId="0" applyFont="1" applyFill="1" applyBorder="1" applyAlignment="1">
      <alignment horizontal="center" vertical="center"/>
    </xf>
    <xf numFmtId="0" fontId="21" fillId="13" borderId="79" xfId="0" applyFont="1" applyFill="1" applyBorder="1" applyAlignment="1">
      <alignment horizontal="center" vertical="center"/>
    </xf>
    <xf numFmtId="0" fontId="21" fillId="13" borderId="19" xfId="0" applyFont="1" applyFill="1" applyBorder="1" applyAlignment="1">
      <alignment horizontal="center" vertical="center"/>
    </xf>
    <xf numFmtId="0" fontId="21" fillId="13" borderId="20" xfId="0" applyFont="1" applyFill="1" applyBorder="1" applyAlignment="1">
      <alignment horizontal="center" vertical="center"/>
    </xf>
    <xf numFmtId="0" fontId="21" fillId="14" borderId="84" xfId="0" applyFont="1" applyFill="1" applyBorder="1" applyAlignment="1">
      <alignment horizontal="center" vertical="center"/>
    </xf>
    <xf numFmtId="0" fontId="21" fillId="14" borderId="85" xfId="0" applyFont="1" applyFill="1" applyBorder="1" applyAlignment="1">
      <alignment horizontal="center" vertical="center"/>
    </xf>
    <xf numFmtId="0" fontId="21" fillId="7" borderId="76" xfId="0" applyFont="1" applyFill="1" applyBorder="1" applyAlignment="1">
      <alignment horizontal="center" vertical="center"/>
    </xf>
    <xf numFmtId="0" fontId="21" fillId="7" borderId="77" xfId="0" applyFont="1" applyFill="1" applyBorder="1" applyAlignment="1">
      <alignment horizontal="center" vertical="center"/>
    </xf>
    <xf numFmtId="0" fontId="21" fillId="12" borderId="74" xfId="0" applyFont="1" applyFill="1" applyBorder="1" applyAlignment="1">
      <alignment horizontal="center" vertical="center"/>
    </xf>
    <xf numFmtId="0" fontId="21" fillId="12" borderId="75" xfId="0" applyFont="1" applyFill="1" applyBorder="1" applyAlignment="1">
      <alignment horizontal="center" vertical="center"/>
    </xf>
    <xf numFmtId="0" fontId="31" fillId="11" borderId="0" xfId="8" applyFont="1" applyFill="1" applyAlignment="1" applyProtection="1">
      <alignment horizontal="center" vertical="center" wrapText="1" shrinkToFit="1"/>
      <protection hidden="1"/>
    </xf>
    <xf numFmtId="182" fontId="0" fillId="2" borderId="4" xfId="0" applyNumberFormat="1" applyFill="1" applyBorder="1" applyAlignment="1" applyProtection="1">
      <alignment horizontal="center" vertical="center"/>
      <protection locked="0"/>
    </xf>
    <xf numFmtId="182" fontId="0" fillId="2" borderId="0" xfId="0" applyNumberFormat="1" applyFill="1" applyAlignment="1" applyProtection="1">
      <alignment horizontal="center" vertical="center"/>
      <protection locked="0"/>
    </xf>
    <xf numFmtId="0" fontId="28" fillId="8" borderId="4" xfId="0" applyFont="1" applyFill="1" applyBorder="1" applyAlignment="1" applyProtection="1">
      <alignment horizontal="center" vertical="center"/>
      <protection hidden="1"/>
    </xf>
    <xf numFmtId="0" fontId="28" fillId="8" borderId="20" xfId="0" applyFont="1" applyFill="1" applyBorder="1" applyAlignment="1" applyProtection="1">
      <alignment horizontal="center" vertical="center"/>
      <protection hidden="1"/>
    </xf>
    <xf numFmtId="0" fontId="28" fillId="8" borderId="0" xfId="0" applyFont="1" applyFill="1" applyAlignment="1" applyProtection="1">
      <alignment horizontal="center" vertical="center"/>
      <protection hidden="1"/>
    </xf>
    <xf numFmtId="0" fontId="28" fillId="8" borderId="21" xfId="0" applyFont="1" applyFill="1" applyBorder="1" applyAlignment="1" applyProtection="1">
      <alignment horizontal="center" vertical="center"/>
      <protection hidden="1"/>
    </xf>
    <xf numFmtId="0" fontId="54" fillId="8" borderId="11" xfId="0" applyFont="1" applyFill="1" applyBorder="1" applyAlignment="1" applyProtection="1">
      <alignment horizontal="left"/>
      <protection hidden="1"/>
    </xf>
    <xf numFmtId="0" fontId="54" fillId="8" borderId="0" xfId="0" applyFont="1" applyFill="1" applyAlignment="1" applyProtection="1">
      <alignment horizontal="left"/>
      <protection hidden="1"/>
    </xf>
    <xf numFmtId="0" fontId="106" fillId="4" borderId="280" xfId="0" applyFont="1" applyFill="1" applyBorder="1" applyAlignment="1" applyProtection="1">
      <alignment vertical="center" shrinkToFit="1"/>
      <protection hidden="1"/>
    </xf>
    <xf numFmtId="0" fontId="106" fillId="4" borderId="281" xfId="0" applyFont="1" applyFill="1" applyBorder="1" applyAlignment="1" applyProtection="1">
      <alignment vertical="center" shrinkToFit="1"/>
      <protection hidden="1"/>
    </xf>
    <xf numFmtId="0" fontId="106" fillId="4" borderId="297" xfId="0" applyFont="1" applyFill="1" applyBorder="1" applyAlignment="1" applyProtection="1">
      <alignment vertical="center" shrinkToFit="1"/>
      <protection hidden="1"/>
    </xf>
    <xf numFmtId="0" fontId="106" fillId="4" borderId="9" xfId="0" applyFont="1" applyFill="1" applyBorder="1" applyAlignment="1" applyProtection="1">
      <alignment vertical="center" shrinkToFit="1"/>
      <protection hidden="1"/>
    </xf>
    <xf numFmtId="0" fontId="78" fillId="4" borderId="286" xfId="0" applyFont="1" applyFill="1" applyBorder="1" applyAlignment="1" applyProtection="1">
      <alignment horizontal="center" vertical="center" shrinkToFit="1"/>
      <protection hidden="1"/>
    </xf>
    <xf numFmtId="0" fontId="78" fillId="4" borderId="281" xfId="0" applyFont="1" applyFill="1" applyBorder="1" applyAlignment="1" applyProtection="1">
      <alignment horizontal="center" vertical="center" shrinkToFit="1"/>
      <protection hidden="1"/>
    </xf>
    <xf numFmtId="0" fontId="78" fillId="4" borderId="296" xfId="0" applyFont="1" applyFill="1" applyBorder="1" applyAlignment="1" applyProtection="1">
      <alignment horizontal="center" vertical="center" shrinkToFit="1"/>
      <protection hidden="1"/>
    </xf>
    <xf numFmtId="0" fontId="78" fillId="4" borderId="12" xfId="0" applyFont="1" applyFill="1" applyBorder="1" applyAlignment="1" applyProtection="1">
      <alignment horizontal="center" vertical="center" shrinkToFit="1"/>
      <protection hidden="1"/>
    </xf>
    <xf numFmtId="0" fontId="78" fillId="4" borderId="9" xfId="0" applyFont="1" applyFill="1" applyBorder="1" applyAlignment="1" applyProtection="1">
      <alignment horizontal="center" vertical="center" shrinkToFit="1"/>
      <protection hidden="1"/>
    </xf>
    <xf numFmtId="0" fontId="78" fillId="4" borderId="33" xfId="0" applyFont="1" applyFill="1" applyBorder="1" applyAlignment="1" applyProtection="1">
      <alignment horizontal="center" vertical="center" shrinkToFit="1"/>
      <protection hidden="1"/>
    </xf>
    <xf numFmtId="49" fontId="23" fillId="23" borderId="38" xfId="0" applyNumberFormat="1" applyFont="1" applyFill="1" applyBorder="1" applyAlignment="1" applyProtection="1">
      <alignment vertical="center" shrinkToFit="1"/>
      <protection locked="0"/>
    </xf>
    <xf numFmtId="49" fontId="23" fillId="23" borderId="1" xfId="0" applyNumberFormat="1" applyFont="1" applyFill="1" applyBorder="1" applyAlignment="1" applyProtection="1">
      <alignment vertical="center" shrinkToFit="1"/>
      <protection locked="0"/>
    </xf>
    <xf numFmtId="49" fontId="23" fillId="23" borderId="2" xfId="0" applyNumberFormat="1" applyFont="1" applyFill="1" applyBorder="1" applyAlignment="1" applyProtection="1">
      <alignment vertical="center" shrinkToFit="1"/>
      <protection locked="0"/>
    </xf>
    <xf numFmtId="49" fontId="23" fillId="23" borderId="36" xfId="0" applyNumberFormat="1" applyFont="1" applyFill="1" applyBorder="1" applyAlignment="1" applyProtection="1">
      <alignment vertical="center" shrinkToFit="1"/>
      <protection locked="0"/>
    </xf>
    <xf numFmtId="49" fontId="23" fillId="23" borderId="9" xfId="0" applyNumberFormat="1" applyFont="1" applyFill="1" applyBorder="1" applyAlignment="1" applyProtection="1">
      <alignment vertical="center" shrinkToFit="1"/>
      <protection locked="0"/>
    </xf>
    <xf numFmtId="49" fontId="23" fillId="23" borderId="10" xfId="0" applyNumberFormat="1" applyFont="1" applyFill="1" applyBorder="1" applyAlignment="1" applyProtection="1">
      <alignment vertical="center" shrinkToFit="1"/>
      <protection locked="0"/>
    </xf>
    <xf numFmtId="0" fontId="60" fillId="4" borderId="17" xfId="0" applyFont="1" applyFill="1" applyBorder="1" applyAlignment="1" applyProtection="1">
      <alignment horizontal="center" vertical="center" shrinkToFit="1"/>
      <protection hidden="1"/>
    </xf>
    <xf numFmtId="0" fontId="60" fillId="4" borderId="1" xfId="0" applyFont="1" applyFill="1" applyBorder="1" applyAlignment="1" applyProtection="1">
      <alignment horizontal="center" vertical="center" shrinkToFit="1"/>
      <protection hidden="1"/>
    </xf>
    <xf numFmtId="0" fontId="60" fillId="4" borderId="37" xfId="0" applyFont="1" applyFill="1" applyBorder="1" applyAlignment="1" applyProtection="1">
      <alignment horizontal="center" vertical="center" shrinkToFit="1"/>
      <protection hidden="1"/>
    </xf>
    <xf numFmtId="0" fontId="60" fillId="4" borderId="12" xfId="0" applyFont="1" applyFill="1" applyBorder="1" applyAlignment="1" applyProtection="1">
      <alignment horizontal="center" vertical="center" shrinkToFit="1"/>
      <protection hidden="1"/>
    </xf>
    <xf numFmtId="0" fontId="60" fillId="4" borderId="9" xfId="0" applyFont="1" applyFill="1" applyBorder="1" applyAlignment="1" applyProtection="1">
      <alignment horizontal="center" vertical="center" shrinkToFit="1"/>
      <protection hidden="1"/>
    </xf>
    <xf numFmtId="0" fontId="60" fillId="4" borderId="33" xfId="0" applyFont="1" applyFill="1" applyBorder="1" applyAlignment="1" applyProtection="1">
      <alignment horizontal="center" vertical="center" shrinkToFit="1"/>
      <protection hidden="1"/>
    </xf>
    <xf numFmtId="49" fontId="23" fillId="23" borderId="304" xfId="0" applyNumberFormat="1" applyFont="1" applyFill="1" applyBorder="1" applyAlignment="1" applyProtection="1">
      <alignment vertical="center" shrinkToFit="1"/>
      <protection locked="0"/>
    </xf>
    <xf numFmtId="49" fontId="23" fillId="23" borderId="298" xfId="0" applyNumberFormat="1" applyFont="1" applyFill="1" applyBorder="1" applyAlignment="1" applyProtection="1">
      <alignment vertical="center" shrinkToFit="1"/>
      <protection locked="0"/>
    </xf>
    <xf numFmtId="0" fontId="74" fillId="4" borderId="280" xfId="0" applyFont="1" applyFill="1" applyBorder="1" applyAlignment="1" applyProtection="1">
      <alignment horizontal="center" vertical="center"/>
      <protection hidden="1"/>
    </xf>
    <xf numFmtId="0" fontId="74" fillId="4" borderId="281" xfId="0" applyFont="1" applyFill="1" applyBorder="1" applyAlignment="1" applyProtection="1">
      <alignment horizontal="center" vertical="center"/>
      <protection hidden="1"/>
    </xf>
    <xf numFmtId="0" fontId="74" fillId="4" borderId="282" xfId="0" applyFont="1" applyFill="1" applyBorder="1" applyAlignment="1" applyProtection="1">
      <alignment horizontal="center" vertical="center"/>
      <protection hidden="1"/>
    </xf>
    <xf numFmtId="0" fontId="74" fillId="4" borderId="288" xfId="0" applyFont="1" applyFill="1" applyBorder="1" applyAlignment="1" applyProtection="1">
      <alignment horizontal="center" vertical="center"/>
      <protection hidden="1"/>
    </xf>
    <xf numFmtId="0" fontId="74" fillId="4" borderId="289" xfId="0" applyFont="1" applyFill="1" applyBorder="1" applyAlignment="1" applyProtection="1">
      <alignment horizontal="center" vertical="center"/>
      <protection hidden="1"/>
    </xf>
    <xf numFmtId="0" fontId="74" fillId="4" borderId="290" xfId="0" applyFont="1" applyFill="1" applyBorder="1" applyAlignment="1" applyProtection="1">
      <alignment horizontal="center" vertical="center"/>
      <protection hidden="1"/>
    </xf>
    <xf numFmtId="0" fontId="18" fillId="23" borderId="283" xfId="1" applyFill="1" applyBorder="1" applyAlignment="1" applyProtection="1">
      <alignment horizontal="center" vertical="center" shrinkToFit="1"/>
      <protection locked="0"/>
    </xf>
    <xf numFmtId="0" fontId="107" fillId="23" borderId="284" xfId="1" applyFont="1" applyFill="1" applyBorder="1" applyAlignment="1" applyProtection="1">
      <alignment horizontal="center" vertical="center" shrinkToFit="1"/>
      <protection locked="0"/>
    </xf>
    <xf numFmtId="0" fontId="107" fillId="23" borderId="285" xfId="1" applyFont="1" applyFill="1" applyBorder="1" applyAlignment="1" applyProtection="1">
      <alignment horizontal="center" vertical="center" shrinkToFit="1"/>
      <protection locked="0"/>
    </xf>
    <xf numFmtId="0" fontId="107" fillId="23" borderId="291" xfId="1" applyFont="1" applyFill="1" applyBorder="1" applyAlignment="1" applyProtection="1">
      <alignment horizontal="center" vertical="center" shrinkToFit="1"/>
      <protection locked="0"/>
    </xf>
    <xf numFmtId="0" fontId="107" fillId="23" borderId="292" xfId="1" applyFont="1" applyFill="1" applyBorder="1" applyAlignment="1" applyProtection="1">
      <alignment horizontal="center" vertical="center" shrinkToFit="1"/>
      <protection locked="0"/>
    </xf>
    <xf numFmtId="0" fontId="107" fillId="23" borderId="293" xfId="1" applyFont="1" applyFill="1" applyBorder="1" applyAlignment="1" applyProtection="1">
      <alignment horizontal="center" vertical="center" shrinkToFit="1"/>
      <protection locked="0"/>
    </xf>
    <xf numFmtId="0" fontId="36" fillId="4" borderId="281" xfId="0" applyFont="1" applyFill="1" applyBorder="1" applyAlignment="1" applyProtection="1">
      <alignment horizontal="center" vertical="center"/>
      <protection hidden="1"/>
    </xf>
    <xf numFmtId="0" fontId="36" fillId="4" borderId="289" xfId="0" applyFont="1" applyFill="1" applyBorder="1" applyAlignment="1" applyProtection="1">
      <alignment horizontal="center" vertical="center"/>
      <protection hidden="1"/>
    </xf>
    <xf numFmtId="0" fontId="18" fillId="2" borderId="286" xfId="1" applyFill="1" applyBorder="1" applyAlignment="1" applyProtection="1">
      <alignment horizontal="center" vertical="center"/>
      <protection locked="0"/>
    </xf>
    <xf numFmtId="0" fontId="18" fillId="2" borderId="281" xfId="1" applyFill="1" applyBorder="1" applyAlignment="1" applyProtection="1">
      <alignment horizontal="center" vertical="center"/>
      <protection locked="0"/>
    </xf>
    <xf numFmtId="0" fontId="18" fillId="2" borderId="287" xfId="1" applyFill="1" applyBorder="1" applyAlignment="1" applyProtection="1">
      <alignment horizontal="center" vertical="center"/>
      <protection locked="0"/>
    </xf>
    <xf numFmtId="0" fontId="18" fillId="2" borderId="294" xfId="1" applyFill="1" applyBorder="1" applyAlignment="1" applyProtection="1">
      <alignment horizontal="center" vertical="center"/>
      <protection locked="0"/>
    </xf>
    <xf numFmtId="0" fontId="18" fillId="2" borderId="289" xfId="1" applyFill="1" applyBorder="1" applyAlignment="1" applyProtection="1">
      <alignment horizontal="center" vertical="center"/>
      <protection locked="0"/>
    </xf>
    <xf numFmtId="0" fontId="18" fillId="2" borderId="295" xfId="1" applyFill="1" applyBorder="1" applyAlignment="1" applyProtection="1">
      <alignment horizontal="center" vertical="center"/>
      <protection locked="0"/>
    </xf>
    <xf numFmtId="0" fontId="50" fillId="7" borderId="90" xfId="0" applyFont="1" applyFill="1" applyBorder="1" applyAlignment="1" applyProtection="1">
      <alignment horizontal="left" vertical="center"/>
      <protection hidden="1"/>
    </xf>
    <xf numFmtId="0" fontId="50" fillId="7" borderId="91" xfId="0" applyFont="1" applyFill="1" applyBorder="1" applyAlignment="1" applyProtection="1">
      <alignment horizontal="left" vertical="center"/>
      <protection hidden="1"/>
    </xf>
    <xf numFmtId="0" fontId="50" fillId="7" borderId="93" xfId="0" applyFont="1" applyFill="1" applyBorder="1" applyAlignment="1" applyProtection="1">
      <alignment horizontal="left" vertical="center"/>
      <protection hidden="1"/>
    </xf>
    <xf numFmtId="0" fontId="50" fillId="7" borderId="0" xfId="0" applyFont="1" applyFill="1" applyAlignment="1" applyProtection="1">
      <alignment horizontal="left" vertical="center"/>
      <protection hidden="1"/>
    </xf>
    <xf numFmtId="0" fontId="56" fillId="7" borderId="91" xfId="0" applyFont="1" applyFill="1" applyBorder="1" applyAlignment="1" applyProtection="1">
      <alignment horizontal="left" vertical="top" wrapText="1"/>
      <protection hidden="1"/>
    </xf>
    <xf numFmtId="0" fontId="56" fillId="7" borderId="92" xfId="0" applyFont="1" applyFill="1" applyBorder="1" applyAlignment="1" applyProtection="1">
      <alignment horizontal="left" vertical="top" wrapText="1"/>
      <protection hidden="1"/>
    </xf>
    <xf numFmtId="0" fontId="56" fillId="7" borderId="0" xfId="0" applyFont="1" applyFill="1" applyAlignment="1" applyProtection="1">
      <alignment horizontal="left" vertical="top" wrapText="1"/>
      <protection hidden="1"/>
    </xf>
    <xf numFmtId="0" fontId="56" fillId="7" borderId="94" xfId="0" applyFont="1" applyFill="1" applyBorder="1" applyAlignment="1" applyProtection="1">
      <alignment horizontal="left" vertical="top" wrapText="1"/>
      <protection hidden="1"/>
    </xf>
    <xf numFmtId="0" fontId="20" fillId="4" borderId="303" xfId="0" applyFont="1" applyFill="1" applyBorder="1" applyAlignment="1" applyProtection="1">
      <alignment horizontal="center" vertical="center" shrinkToFit="1"/>
      <protection hidden="1"/>
    </xf>
    <xf numFmtId="0" fontId="20" fillId="4" borderId="1" xfId="0" applyFont="1" applyFill="1" applyBorder="1" applyAlignment="1" applyProtection="1">
      <alignment horizontal="center" vertical="center" shrinkToFit="1"/>
      <protection hidden="1"/>
    </xf>
    <xf numFmtId="0" fontId="20" fillId="4" borderId="2" xfId="0" applyFont="1" applyFill="1" applyBorder="1" applyAlignment="1" applyProtection="1">
      <alignment horizontal="center" vertical="center" shrinkToFit="1"/>
      <protection hidden="1"/>
    </xf>
    <xf numFmtId="0" fontId="20" fillId="4" borderId="297" xfId="0" applyFont="1" applyFill="1" applyBorder="1" applyAlignment="1" applyProtection="1">
      <alignment horizontal="center" vertical="center" shrinkToFit="1"/>
      <protection hidden="1"/>
    </xf>
    <xf numFmtId="0" fontId="20" fillId="4" borderId="9" xfId="0" applyFont="1" applyFill="1" applyBorder="1" applyAlignment="1" applyProtection="1">
      <alignment horizontal="center" vertical="center" shrinkToFit="1"/>
      <protection hidden="1"/>
    </xf>
    <xf numFmtId="0" fontId="20" fillId="4" borderId="10" xfId="0" applyFont="1" applyFill="1" applyBorder="1" applyAlignment="1" applyProtection="1">
      <alignment horizontal="center" vertical="center" shrinkToFit="1"/>
      <protection hidden="1"/>
    </xf>
    <xf numFmtId="0" fontId="28" fillId="23" borderId="17" xfId="0" applyFont="1" applyFill="1" applyBorder="1" applyAlignment="1" applyProtection="1">
      <alignment horizontal="center" vertical="center" shrinkToFit="1"/>
      <protection locked="0"/>
    </xf>
    <xf numFmtId="0" fontId="28" fillId="23" borderId="1" xfId="0" applyFont="1" applyFill="1" applyBorder="1" applyAlignment="1" applyProtection="1">
      <alignment horizontal="center" vertical="center" shrinkToFit="1"/>
      <protection locked="0"/>
    </xf>
    <xf numFmtId="0" fontId="28" fillId="23" borderId="12" xfId="0" applyFont="1" applyFill="1" applyBorder="1" applyAlignment="1" applyProtection="1">
      <alignment horizontal="center" vertical="center" shrinkToFit="1"/>
      <protection locked="0"/>
    </xf>
    <xf numFmtId="0" fontId="28" fillId="23" borderId="9" xfId="0" applyFont="1" applyFill="1" applyBorder="1" applyAlignment="1" applyProtection="1">
      <alignment horizontal="center" vertical="center" shrinkToFit="1"/>
      <protection locked="0"/>
    </xf>
    <xf numFmtId="0" fontId="28" fillId="4" borderId="17" xfId="0" applyFont="1" applyFill="1" applyBorder="1" applyAlignment="1">
      <alignment horizontal="center" vertical="center" shrinkToFit="1"/>
    </xf>
    <xf numFmtId="0" fontId="28" fillId="4" borderId="1" xfId="0" applyFont="1" applyFill="1" applyBorder="1" applyAlignment="1">
      <alignment horizontal="center" vertical="center" shrinkToFit="1"/>
    </xf>
    <xf numFmtId="0" fontId="28" fillId="4" borderId="12" xfId="0" applyFont="1" applyFill="1" applyBorder="1" applyAlignment="1">
      <alignment horizontal="center" vertical="center" shrinkToFit="1"/>
    </xf>
    <xf numFmtId="0" fontId="28" fillId="4" borderId="9" xfId="0" applyFont="1" applyFill="1" applyBorder="1" applyAlignment="1">
      <alignment horizontal="center" vertical="center" shrinkToFit="1"/>
    </xf>
    <xf numFmtId="0" fontId="28" fillId="2" borderId="38" xfId="0" applyFont="1" applyFill="1" applyBorder="1" applyAlignment="1" applyProtection="1">
      <alignment horizontal="center" vertical="center" shrinkToFit="1"/>
      <protection locked="0"/>
    </xf>
    <xf numFmtId="0" fontId="28" fillId="2" borderId="1" xfId="0" applyFont="1" applyFill="1" applyBorder="1" applyAlignment="1" applyProtection="1">
      <alignment horizontal="center" vertical="center" shrinkToFit="1"/>
      <protection locked="0"/>
    </xf>
    <xf numFmtId="0" fontId="28" fillId="2" borderId="304" xfId="0" applyFont="1" applyFill="1" applyBorder="1" applyAlignment="1" applyProtection="1">
      <alignment horizontal="center" vertical="center" shrinkToFit="1"/>
      <protection locked="0"/>
    </xf>
    <xf numFmtId="0" fontId="28" fillId="2" borderId="36" xfId="0" applyFont="1" applyFill="1" applyBorder="1" applyAlignment="1" applyProtection="1">
      <alignment horizontal="center" vertical="center" shrinkToFit="1"/>
      <protection locked="0"/>
    </xf>
    <xf numFmtId="0" fontId="28" fillId="2" borderId="9" xfId="0" applyFont="1" applyFill="1" applyBorder="1" applyAlignment="1" applyProtection="1">
      <alignment horizontal="center" vertical="center" shrinkToFit="1"/>
      <protection locked="0"/>
    </xf>
    <xf numFmtId="0" fontId="28" fillId="2" borderId="298" xfId="0" applyFont="1" applyFill="1" applyBorder="1" applyAlignment="1" applyProtection="1">
      <alignment horizontal="center" vertical="center" shrinkToFit="1"/>
      <protection locked="0"/>
    </xf>
    <xf numFmtId="0" fontId="34" fillId="4" borderId="303" xfId="0" applyFont="1" applyFill="1" applyBorder="1" applyAlignment="1" applyProtection="1">
      <alignment horizontal="center" vertical="center" shrinkToFit="1"/>
      <protection hidden="1"/>
    </xf>
    <xf numFmtId="0" fontId="34" fillId="4" borderId="1" xfId="0" applyFont="1" applyFill="1" applyBorder="1" applyAlignment="1" applyProtection="1">
      <alignment horizontal="center" vertical="center" shrinkToFit="1"/>
      <protection hidden="1"/>
    </xf>
    <xf numFmtId="0" fontId="43" fillId="4" borderId="303" xfId="0" applyFont="1" applyFill="1" applyBorder="1" applyAlignment="1" applyProtection="1">
      <alignment horizontal="center" vertical="center" shrinkToFit="1"/>
      <protection hidden="1"/>
    </xf>
    <xf numFmtId="0" fontId="43" fillId="4" borderId="1" xfId="0" applyFont="1" applyFill="1" applyBorder="1" applyAlignment="1" applyProtection="1">
      <alignment horizontal="center" vertical="center" shrinkToFit="1"/>
      <protection hidden="1"/>
    </xf>
    <xf numFmtId="0" fontId="43" fillId="4" borderId="2" xfId="0" applyFont="1" applyFill="1" applyBorder="1" applyAlignment="1" applyProtection="1">
      <alignment horizontal="center" vertical="center" shrinkToFit="1"/>
      <protection hidden="1"/>
    </xf>
    <xf numFmtId="0" fontId="43" fillId="4" borderId="305" xfId="0" applyFont="1" applyFill="1" applyBorder="1" applyAlignment="1" applyProtection="1">
      <alignment horizontal="center" vertical="center" shrinkToFit="1"/>
      <protection hidden="1"/>
    </xf>
    <xf numFmtId="0" fontId="43" fillId="4" borderId="0" xfId="0" applyFont="1" applyFill="1" applyAlignment="1" applyProtection="1">
      <alignment horizontal="center" vertical="center" shrinkToFit="1"/>
      <protection hidden="1"/>
    </xf>
    <xf numFmtId="0" fontId="43" fillId="4" borderId="3" xfId="0" applyFont="1" applyFill="1" applyBorder="1" applyAlignment="1" applyProtection="1">
      <alignment horizontal="center" vertical="center" shrinkToFit="1"/>
      <protection hidden="1"/>
    </xf>
    <xf numFmtId="0" fontId="43" fillId="4" borderId="297" xfId="0" applyFont="1" applyFill="1" applyBorder="1" applyAlignment="1" applyProtection="1">
      <alignment horizontal="center" vertical="center" shrinkToFit="1"/>
      <protection hidden="1"/>
    </xf>
    <xf numFmtId="0" fontId="43" fillId="4" borderId="9" xfId="0" applyFont="1" applyFill="1" applyBorder="1" applyAlignment="1" applyProtection="1">
      <alignment horizontal="center" vertical="center" shrinkToFit="1"/>
      <protection hidden="1"/>
    </xf>
    <xf numFmtId="0" fontId="43" fillId="4" borderId="10" xfId="0" applyFont="1" applyFill="1" applyBorder="1" applyAlignment="1" applyProtection="1">
      <alignment horizontal="center" vertical="center" shrinkToFit="1"/>
      <protection hidden="1"/>
    </xf>
    <xf numFmtId="0" fontId="35" fillId="4" borderId="299" xfId="0" applyFont="1" applyFill="1" applyBorder="1" applyAlignment="1" applyProtection="1">
      <alignment horizontal="center" vertical="center" shrinkToFit="1"/>
      <protection hidden="1"/>
    </xf>
    <xf numFmtId="0" fontId="35" fillId="4" borderId="26" xfId="0" applyFont="1" applyFill="1" applyBorder="1" applyAlignment="1" applyProtection="1">
      <alignment horizontal="center" vertical="center" shrinkToFit="1"/>
      <protection hidden="1"/>
    </xf>
    <xf numFmtId="0" fontId="35" fillId="4" borderId="27" xfId="0" applyFont="1" applyFill="1" applyBorder="1" applyAlignment="1" applyProtection="1">
      <alignment horizontal="center" vertical="center" shrinkToFit="1"/>
      <protection hidden="1"/>
    </xf>
    <xf numFmtId="0" fontId="75" fillId="2" borderId="28" xfId="0" applyFont="1" applyFill="1" applyBorder="1" applyAlignment="1" applyProtection="1">
      <alignment vertical="center" shrinkToFit="1"/>
      <protection locked="0"/>
    </xf>
    <xf numFmtId="0" fontId="75" fillId="2" borderId="26" xfId="0" applyFont="1" applyFill="1" applyBorder="1" applyAlignment="1" applyProtection="1">
      <alignment vertical="center" shrinkToFit="1"/>
      <protection locked="0"/>
    </xf>
    <xf numFmtId="0" fontId="75" fillId="2" borderId="300" xfId="0" applyFont="1" applyFill="1" applyBorder="1" applyAlignment="1" applyProtection="1">
      <alignment vertical="center" shrinkToFit="1"/>
      <protection locked="0"/>
    </xf>
    <xf numFmtId="0" fontId="20" fillId="4" borderId="314" xfId="0" applyFont="1" applyFill="1" applyBorder="1" applyAlignment="1" applyProtection="1">
      <alignment horizontal="center" vertical="center" shrinkToFit="1"/>
      <protection hidden="1"/>
    </xf>
    <xf numFmtId="0" fontId="20" fillId="4" borderId="14" xfId="0" applyFont="1" applyFill="1" applyBorder="1" applyAlignment="1" applyProtection="1">
      <alignment horizontal="center" vertical="center" shrinkToFit="1"/>
      <protection hidden="1"/>
    </xf>
    <xf numFmtId="0" fontId="20" fillId="4" borderId="15" xfId="0" applyFont="1" applyFill="1" applyBorder="1" applyAlignment="1" applyProtection="1">
      <alignment horizontal="center" vertical="center" shrinkToFit="1"/>
      <protection hidden="1"/>
    </xf>
    <xf numFmtId="0" fontId="106" fillId="23" borderId="281" xfId="0" applyFont="1" applyFill="1" applyBorder="1" applyAlignment="1" applyProtection="1">
      <alignment horizontal="center" vertical="center" shrinkToFit="1"/>
      <protection locked="0" hidden="1"/>
    </xf>
    <xf numFmtId="0" fontId="106" fillId="23" borderId="287" xfId="0" applyFont="1" applyFill="1" applyBorder="1" applyAlignment="1" applyProtection="1">
      <alignment horizontal="center" vertical="center" shrinkToFit="1"/>
      <protection locked="0" hidden="1"/>
    </xf>
    <xf numFmtId="0" fontId="106" fillId="23" borderId="9" xfId="0" applyFont="1" applyFill="1" applyBorder="1" applyAlignment="1" applyProtection="1">
      <alignment horizontal="center" vertical="center" shrinkToFit="1"/>
      <protection locked="0" hidden="1"/>
    </xf>
    <xf numFmtId="0" fontId="106" fillId="23" borderId="298" xfId="0" applyFont="1" applyFill="1" applyBorder="1" applyAlignment="1" applyProtection="1">
      <alignment horizontal="center" vertical="center" shrinkToFit="1"/>
      <protection locked="0" hidden="1"/>
    </xf>
    <xf numFmtId="0" fontId="53" fillId="18" borderId="0" xfId="8" applyFont="1" applyFill="1" applyAlignment="1" applyProtection="1">
      <alignment horizontal="left" vertical="center"/>
      <protection hidden="1"/>
    </xf>
    <xf numFmtId="0" fontId="134" fillId="8" borderId="0" xfId="8" applyFont="1" applyFill="1" applyProtection="1">
      <alignment vertical="center"/>
      <protection hidden="1"/>
    </xf>
    <xf numFmtId="0" fontId="127" fillId="8" borderId="0" xfId="0" applyFont="1" applyFill="1" applyAlignment="1" applyProtection="1">
      <alignment horizontal="center" vertical="center" wrapText="1"/>
      <protection hidden="1"/>
    </xf>
    <xf numFmtId="0" fontId="29" fillId="4" borderId="19"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5" xfId="0" applyFont="1" applyFill="1" applyBorder="1" applyAlignment="1" applyProtection="1">
      <alignment horizontal="center" vertical="center"/>
      <protection hidden="1"/>
    </xf>
    <xf numFmtId="0" fontId="29" fillId="4" borderId="11" xfId="0" applyFont="1" applyFill="1" applyBorder="1" applyAlignment="1" applyProtection="1">
      <alignment horizontal="center" vertical="center"/>
      <protection hidden="1"/>
    </xf>
    <xf numFmtId="0" fontId="29" fillId="4" borderId="0" xfId="0" applyFont="1" applyFill="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8" fillId="8" borderId="22" xfId="0" applyFont="1" applyFill="1" applyBorder="1" applyAlignment="1" applyProtection="1">
      <alignment horizontal="right" vertical="center"/>
      <protection hidden="1"/>
    </xf>
    <xf numFmtId="0" fontId="28" fillId="8" borderId="4" xfId="0" applyFont="1" applyFill="1" applyBorder="1" applyAlignment="1" applyProtection="1">
      <alignment horizontal="right" vertical="center"/>
      <protection hidden="1"/>
    </xf>
    <xf numFmtId="0" fontId="28" fillId="8" borderId="16" xfId="0" applyFont="1" applyFill="1" applyBorder="1" applyAlignment="1" applyProtection="1">
      <alignment horizontal="right" vertical="center"/>
      <protection hidden="1"/>
    </xf>
    <xf numFmtId="0" fontId="28" fillId="8" borderId="0" xfId="0" applyFont="1" applyFill="1" applyAlignment="1" applyProtection="1">
      <alignment horizontal="right" vertical="center"/>
      <protection hidden="1"/>
    </xf>
    <xf numFmtId="182" fontId="0" fillId="2" borderId="4" xfId="0" applyNumberFormat="1" applyFill="1" applyBorder="1" applyAlignment="1" applyProtection="1">
      <alignment horizontal="left" vertical="center"/>
      <protection locked="0"/>
    </xf>
    <xf numFmtId="182" fontId="0" fillId="2" borderId="14" xfId="0" applyNumberFormat="1" applyFill="1" applyBorder="1" applyAlignment="1" applyProtection="1">
      <alignment horizontal="left" vertical="center"/>
      <protection locked="0"/>
    </xf>
    <xf numFmtId="0" fontId="0" fillId="8" borderId="4" xfId="0" applyFill="1" applyBorder="1" applyAlignment="1" applyProtection="1">
      <alignment horizontal="center" vertical="center"/>
      <protection hidden="1"/>
    </xf>
    <xf numFmtId="0" fontId="0" fillId="8" borderId="0" xfId="0" applyFill="1" applyAlignment="1" applyProtection="1">
      <alignment horizontal="center" vertical="center"/>
      <protection hidden="1"/>
    </xf>
    <xf numFmtId="184" fontId="28" fillId="23" borderId="149" xfId="0" applyNumberFormat="1" applyFont="1" applyFill="1" applyBorder="1" applyAlignment="1" applyProtection="1">
      <alignment vertical="center" shrinkToFit="1"/>
      <protection locked="0"/>
    </xf>
    <xf numFmtId="184" fontId="28" fillId="23" borderId="157" xfId="0" applyNumberFormat="1" applyFont="1" applyFill="1" applyBorder="1" applyAlignment="1" applyProtection="1">
      <alignment vertical="center" shrinkToFit="1"/>
      <protection locked="0"/>
    </xf>
    <xf numFmtId="184" fontId="28" fillId="23" borderId="158" xfId="0" applyNumberFormat="1" applyFont="1" applyFill="1" applyBorder="1" applyAlignment="1" applyProtection="1">
      <alignment vertical="center" shrinkToFit="1"/>
      <protection locked="0"/>
    </xf>
    <xf numFmtId="184" fontId="28" fillId="23" borderId="166" xfId="0" applyNumberFormat="1" applyFont="1" applyFill="1" applyBorder="1" applyAlignment="1" applyProtection="1">
      <alignment vertical="center" shrinkToFit="1"/>
      <protection locked="0"/>
    </xf>
    <xf numFmtId="184" fontId="28" fillId="23" borderId="167" xfId="0" applyNumberFormat="1" applyFont="1" applyFill="1" applyBorder="1" applyAlignment="1" applyProtection="1">
      <alignment vertical="center" shrinkToFit="1"/>
      <protection locked="0"/>
    </xf>
    <xf numFmtId="184" fontId="28" fillId="23" borderId="168" xfId="0" applyNumberFormat="1" applyFont="1" applyFill="1" applyBorder="1" applyAlignment="1" applyProtection="1">
      <alignment vertical="center" shrinkToFit="1"/>
      <protection locked="0"/>
    </xf>
    <xf numFmtId="0" fontId="20" fillId="4" borderId="17" xfId="0" applyFont="1" applyFill="1" applyBorder="1" applyAlignment="1" applyProtection="1">
      <alignment horizontal="center" vertical="center" shrinkToFit="1"/>
      <protection hidden="1"/>
    </xf>
    <xf numFmtId="0" fontId="20" fillId="4" borderId="18" xfId="0" applyFont="1" applyFill="1" applyBorder="1" applyAlignment="1" applyProtection="1">
      <alignment horizontal="center" vertical="center" shrinkToFit="1"/>
      <protection hidden="1"/>
    </xf>
    <xf numFmtId="0" fontId="18" fillId="23" borderId="149" xfId="1" applyNumberFormat="1" applyFill="1" applyBorder="1" applyAlignment="1" applyProtection="1">
      <alignment vertical="center" shrinkToFit="1"/>
      <protection locked="0"/>
    </xf>
    <xf numFmtId="0" fontId="18" fillId="23" borderId="157" xfId="1" applyNumberFormat="1" applyFill="1" applyBorder="1" applyAlignment="1" applyProtection="1">
      <alignment vertical="center" shrinkToFit="1"/>
      <protection locked="0"/>
    </xf>
    <xf numFmtId="0" fontId="18" fillId="23" borderId="323" xfId="1" applyNumberFormat="1" applyFill="1" applyBorder="1" applyAlignment="1" applyProtection="1">
      <alignment vertical="center" shrinkToFit="1"/>
      <protection locked="0"/>
    </xf>
    <xf numFmtId="0" fontId="18" fillId="23" borderId="166" xfId="1" applyNumberFormat="1" applyFill="1" applyBorder="1" applyAlignment="1" applyProtection="1">
      <alignment vertical="center" shrinkToFit="1"/>
      <protection locked="0"/>
    </xf>
    <xf numFmtId="0" fontId="18" fillId="23" borderId="167" xfId="1" applyNumberFormat="1" applyFill="1" applyBorder="1" applyAlignment="1" applyProtection="1">
      <alignment vertical="center" shrinkToFit="1"/>
      <protection locked="0"/>
    </xf>
    <xf numFmtId="0" fontId="18" fillId="23" borderId="324" xfId="1" applyNumberFormat="1" applyFill="1" applyBorder="1" applyAlignment="1" applyProtection="1">
      <alignment vertical="center" shrinkToFit="1"/>
      <protection locked="0"/>
    </xf>
    <xf numFmtId="0" fontId="75" fillId="4" borderId="301" xfId="0" applyFont="1" applyFill="1" applyBorder="1" applyAlignment="1" applyProtection="1">
      <alignment horizontal="center" vertical="center" shrinkToFit="1"/>
      <protection hidden="1"/>
    </xf>
    <xf numFmtId="0" fontId="83" fillId="4" borderId="6" xfId="0" applyFont="1" applyFill="1" applyBorder="1" applyAlignment="1" applyProtection="1">
      <alignment horizontal="center" vertical="center" shrinkToFit="1"/>
      <protection hidden="1"/>
    </xf>
    <xf numFmtId="0" fontId="83" fillId="4" borderId="7" xfId="0" applyFont="1" applyFill="1" applyBorder="1" applyAlignment="1" applyProtection="1">
      <alignment horizontal="center" vertical="center" shrinkToFit="1"/>
      <protection hidden="1"/>
    </xf>
    <xf numFmtId="0" fontId="83" fillId="4" borderId="297" xfId="0" applyFont="1" applyFill="1" applyBorder="1" applyAlignment="1" applyProtection="1">
      <alignment horizontal="center" vertical="center" shrinkToFit="1"/>
      <protection hidden="1"/>
    </xf>
    <xf numFmtId="0" fontId="83" fillId="4" borderId="9" xfId="0" applyFont="1" applyFill="1" applyBorder="1" applyAlignment="1" applyProtection="1">
      <alignment horizontal="center" vertical="center" shrinkToFit="1"/>
      <protection hidden="1"/>
    </xf>
    <xf numFmtId="0" fontId="83" fillId="4" borderId="10" xfId="0" applyFont="1" applyFill="1" applyBorder="1" applyAlignment="1" applyProtection="1">
      <alignment horizontal="center" vertical="center" shrinkToFit="1"/>
      <protection hidden="1"/>
    </xf>
    <xf numFmtId="0" fontId="0" fillId="23" borderId="261" xfId="0" applyFill="1" applyBorder="1" applyAlignment="1" applyProtection="1">
      <alignment horizontal="center" vertical="center" shrinkToFit="1"/>
      <protection locked="0"/>
    </xf>
    <xf numFmtId="0" fontId="0" fillId="23" borderId="262" xfId="0" applyFill="1" applyBorder="1" applyAlignment="1" applyProtection="1">
      <alignment horizontal="center" vertical="center" shrinkToFit="1"/>
      <protection locked="0"/>
    </xf>
    <xf numFmtId="0" fontId="0" fillId="23" borderId="263" xfId="0" applyFill="1" applyBorder="1" applyAlignment="1" applyProtection="1">
      <alignment horizontal="center" vertical="center" shrinkToFit="1"/>
      <protection locked="0"/>
    </xf>
    <xf numFmtId="0" fontId="0" fillId="23" borderId="173" xfId="0" applyFill="1" applyBorder="1" applyAlignment="1" applyProtection="1">
      <alignment horizontal="center" vertical="center" shrinkToFit="1"/>
      <protection locked="0"/>
    </xf>
    <xf numFmtId="0" fontId="0" fillId="23" borderId="262" xfId="0" applyFill="1" applyBorder="1" applyAlignment="1" applyProtection="1">
      <alignment vertical="center" shrinkToFit="1"/>
      <protection locked="0"/>
    </xf>
    <xf numFmtId="0" fontId="0" fillId="23" borderId="173" xfId="0" applyFill="1" applyBorder="1" applyAlignment="1" applyProtection="1">
      <alignment vertical="center" shrinkToFit="1"/>
      <protection locked="0"/>
    </xf>
    <xf numFmtId="0" fontId="0" fillId="23" borderId="34" xfId="0" applyFill="1" applyBorder="1" applyAlignment="1" applyProtection="1">
      <alignment horizontal="center" vertical="center" shrinkToFit="1"/>
      <protection locked="0"/>
    </xf>
    <xf numFmtId="0" fontId="0" fillId="23" borderId="6" xfId="0" applyFill="1" applyBorder="1" applyAlignment="1" applyProtection="1">
      <alignment horizontal="center" vertical="center" shrinkToFit="1"/>
      <protection locked="0"/>
    </xf>
    <xf numFmtId="0" fontId="0" fillId="23" borderId="302" xfId="0" applyFill="1" applyBorder="1" applyAlignment="1" applyProtection="1">
      <alignment horizontal="center" vertical="center" shrinkToFit="1"/>
      <protection locked="0"/>
    </xf>
    <xf numFmtId="0" fontId="0" fillId="23" borderId="36" xfId="0" applyFill="1" applyBorder="1" applyAlignment="1" applyProtection="1">
      <alignment horizontal="center" vertical="center" shrinkToFit="1"/>
      <protection locked="0"/>
    </xf>
    <xf numFmtId="0" fontId="0" fillId="23" borderId="9" xfId="0" applyFill="1" applyBorder="1" applyAlignment="1" applyProtection="1">
      <alignment horizontal="center" vertical="center" shrinkToFit="1"/>
      <protection locked="0"/>
    </xf>
    <xf numFmtId="0" fontId="0" fillId="23" borderId="298" xfId="0" applyFill="1" applyBorder="1" applyAlignment="1" applyProtection="1">
      <alignment horizontal="center" vertical="center" shrinkToFit="1"/>
      <protection locked="0"/>
    </xf>
    <xf numFmtId="49" fontId="23" fillId="2" borderId="38" xfId="0" applyNumberFormat="1" applyFont="1" applyFill="1" applyBorder="1" applyAlignment="1" applyProtection="1">
      <alignment vertical="center" shrinkToFit="1"/>
      <protection locked="0"/>
    </xf>
    <xf numFmtId="49" fontId="23" fillId="2" borderId="1" xfId="0" applyNumberFormat="1" applyFont="1" applyFill="1" applyBorder="1" applyAlignment="1" applyProtection="1">
      <alignment vertical="center" shrinkToFit="1"/>
      <protection locked="0"/>
    </xf>
    <xf numFmtId="49" fontId="23" fillId="2" borderId="304" xfId="0" applyNumberFormat="1" applyFont="1" applyFill="1" applyBorder="1" applyAlignment="1" applyProtection="1">
      <alignment vertical="center" shrinkToFit="1"/>
      <protection locked="0"/>
    </xf>
    <xf numFmtId="49" fontId="23" fillId="2" borderId="36" xfId="0" applyNumberFormat="1" applyFont="1" applyFill="1" applyBorder="1" applyAlignment="1" applyProtection="1">
      <alignment vertical="center" shrinkToFit="1"/>
      <protection locked="0"/>
    </xf>
    <xf numFmtId="49" fontId="23" fillId="2" borderId="9" xfId="0" applyNumberFormat="1" applyFont="1" applyFill="1" applyBorder="1" applyAlignment="1" applyProtection="1">
      <alignment vertical="center" shrinkToFit="1"/>
      <protection locked="0"/>
    </xf>
    <xf numFmtId="49" fontId="23" fillId="2" borderId="298" xfId="0" applyNumberFormat="1" applyFont="1" applyFill="1" applyBorder="1" applyAlignment="1" applyProtection="1">
      <alignment vertical="center" shrinkToFit="1"/>
      <protection locked="0"/>
    </xf>
    <xf numFmtId="0" fontId="106" fillId="4" borderId="280" xfId="0" applyFont="1" applyFill="1" applyBorder="1" applyProtection="1">
      <alignment vertical="center"/>
      <protection hidden="1"/>
    </xf>
    <xf numFmtId="0" fontId="106" fillId="4" borderId="281" xfId="0" applyFont="1" applyFill="1" applyBorder="1" applyProtection="1">
      <alignment vertical="center"/>
      <protection hidden="1"/>
    </xf>
    <xf numFmtId="0" fontId="106" fillId="4" borderId="282" xfId="0" applyFont="1" applyFill="1" applyBorder="1" applyProtection="1">
      <alignment vertical="center"/>
      <protection hidden="1"/>
    </xf>
    <xf numFmtId="0" fontId="106" fillId="4" borderId="297" xfId="0" applyFont="1" applyFill="1" applyBorder="1" applyProtection="1">
      <alignment vertical="center"/>
      <protection hidden="1"/>
    </xf>
    <xf numFmtId="0" fontId="106" fillId="4" borderId="9" xfId="0" applyFont="1" applyFill="1" applyBorder="1" applyProtection="1">
      <alignment vertical="center"/>
      <protection hidden="1"/>
    </xf>
    <xf numFmtId="0" fontId="106" fillId="4" borderId="10" xfId="0" applyFont="1" applyFill="1" applyBorder="1" applyProtection="1">
      <alignment vertical="center"/>
      <protection hidden="1"/>
    </xf>
    <xf numFmtId="0" fontId="20" fillId="4" borderId="286" xfId="0" applyFont="1" applyFill="1" applyBorder="1" applyAlignment="1" applyProtection="1">
      <alignment horizontal="center" vertical="center"/>
      <protection hidden="1"/>
    </xf>
    <xf numFmtId="0" fontId="20" fillId="4" borderId="281" xfId="0" applyFont="1" applyFill="1" applyBorder="1" applyAlignment="1" applyProtection="1">
      <alignment horizontal="center" vertical="center"/>
      <protection hidden="1"/>
    </xf>
    <xf numFmtId="0" fontId="20" fillId="4" borderId="296" xfId="0" applyFont="1" applyFill="1" applyBorder="1" applyAlignment="1" applyProtection="1">
      <alignment horizontal="center" vertical="center"/>
      <protection hidden="1"/>
    </xf>
    <xf numFmtId="0" fontId="20" fillId="4" borderId="12" xfId="0" applyFont="1" applyFill="1" applyBorder="1" applyAlignment="1" applyProtection="1">
      <alignment horizontal="center" vertical="center"/>
      <protection hidden="1"/>
    </xf>
    <xf numFmtId="0" fontId="20" fillId="4" borderId="9" xfId="0" applyFont="1" applyFill="1" applyBorder="1" applyAlignment="1" applyProtection="1">
      <alignment horizontal="center" vertical="center"/>
      <protection hidden="1"/>
    </xf>
    <xf numFmtId="0" fontId="20" fillId="4" borderId="33" xfId="0" applyFont="1" applyFill="1" applyBorder="1" applyAlignment="1" applyProtection="1">
      <alignment horizontal="center" vertical="center"/>
      <protection hidden="1"/>
    </xf>
    <xf numFmtId="38" fontId="23" fillId="23" borderId="281" xfId="2" applyFont="1" applyFill="1" applyBorder="1" applyAlignment="1" applyProtection="1">
      <alignment horizontal="center" vertical="center" shrinkToFit="1"/>
      <protection locked="0"/>
    </xf>
    <xf numFmtId="38" fontId="23" fillId="23" borderId="287" xfId="2" applyFont="1" applyFill="1" applyBorder="1" applyAlignment="1" applyProtection="1">
      <alignment horizontal="center" vertical="center" shrinkToFit="1"/>
      <protection locked="0"/>
    </xf>
    <xf numFmtId="38" fontId="23" fillId="23" borderId="9" xfId="2" applyFont="1" applyFill="1" applyBorder="1" applyAlignment="1" applyProtection="1">
      <alignment horizontal="center" vertical="center" shrinkToFit="1"/>
      <protection locked="0"/>
    </xf>
    <xf numFmtId="38" fontId="23" fillId="23" borderId="298" xfId="2" applyFont="1" applyFill="1" applyBorder="1" applyAlignment="1" applyProtection="1">
      <alignment horizontal="center" vertical="center" shrinkToFit="1"/>
      <protection locked="0"/>
    </xf>
    <xf numFmtId="0" fontId="28" fillId="23" borderId="149" xfId="0" applyFont="1" applyFill="1" applyBorder="1" applyAlignment="1" applyProtection="1">
      <alignment vertical="center" shrinkToFit="1"/>
      <protection locked="0"/>
    </xf>
    <xf numFmtId="0" fontId="28" fillId="23" borderId="157" xfId="0" applyFont="1" applyFill="1" applyBorder="1" applyAlignment="1" applyProtection="1">
      <alignment vertical="center" shrinkToFit="1"/>
      <protection locked="0"/>
    </xf>
    <xf numFmtId="0" fontId="28" fillId="23" borderId="158" xfId="0" applyFont="1" applyFill="1" applyBorder="1" applyAlignment="1" applyProtection="1">
      <alignment vertical="center" shrinkToFit="1"/>
      <protection locked="0"/>
    </xf>
    <xf numFmtId="0" fontId="20" fillId="4" borderId="12" xfId="0" applyFont="1" applyFill="1" applyBorder="1" applyAlignment="1" applyProtection="1">
      <alignment horizontal="center" vertical="center" shrinkToFit="1"/>
      <protection hidden="1"/>
    </xf>
    <xf numFmtId="0" fontId="28" fillId="23" borderId="234" xfId="0" applyFont="1" applyFill="1" applyBorder="1" applyAlignment="1" applyProtection="1">
      <alignment vertical="center" shrinkToFit="1"/>
      <protection locked="0"/>
    </xf>
    <xf numFmtId="0" fontId="28" fillId="23" borderId="235" xfId="0" applyFont="1" applyFill="1" applyBorder="1" applyAlignment="1" applyProtection="1">
      <alignment vertical="center" shrinkToFit="1"/>
      <protection locked="0"/>
    </xf>
    <xf numFmtId="0" fontId="28" fillId="23" borderId="322" xfId="0" applyFont="1" applyFill="1" applyBorder="1" applyAlignment="1" applyProtection="1">
      <alignment vertical="center" shrinkToFit="1"/>
      <protection locked="0"/>
    </xf>
    <xf numFmtId="0" fontId="37" fillId="4" borderId="305" xfId="0" applyFont="1" applyFill="1" applyBorder="1" applyAlignment="1" applyProtection="1">
      <alignment horizontal="center" vertical="center" shrinkToFit="1"/>
      <protection hidden="1"/>
    </xf>
    <xf numFmtId="0" fontId="37" fillId="4" borderId="0" xfId="0" applyFont="1" applyFill="1" applyAlignment="1" applyProtection="1">
      <alignment horizontal="center" vertical="center" shrinkToFit="1"/>
      <protection hidden="1"/>
    </xf>
    <xf numFmtId="0" fontId="37" fillId="4" borderId="3" xfId="0" applyFont="1" applyFill="1" applyBorder="1" applyAlignment="1" applyProtection="1">
      <alignment horizontal="center" vertical="center" shrinkToFit="1"/>
      <protection hidden="1"/>
    </xf>
    <xf numFmtId="0" fontId="20" fillId="4" borderId="326" xfId="0" applyFont="1" applyFill="1" applyBorder="1" applyAlignment="1" applyProtection="1">
      <alignment horizontal="center" vertical="center" shrinkToFit="1"/>
      <protection hidden="1"/>
    </xf>
    <xf numFmtId="0" fontId="20" fillId="4" borderId="157" xfId="0" applyFont="1" applyFill="1" applyBorder="1" applyAlignment="1" applyProtection="1">
      <alignment horizontal="center" vertical="center" shrinkToFit="1"/>
      <protection hidden="1"/>
    </xf>
    <xf numFmtId="0" fontId="20" fillId="4" borderId="158" xfId="0" applyFont="1" applyFill="1" applyBorder="1" applyAlignment="1" applyProtection="1">
      <alignment horizontal="center" vertical="center" shrinkToFit="1"/>
      <protection hidden="1"/>
    </xf>
    <xf numFmtId="0" fontId="28" fillId="23" borderId="17" xfId="0" applyFont="1" applyFill="1" applyBorder="1" applyAlignment="1" applyProtection="1">
      <alignment vertical="center" shrinkToFit="1"/>
      <protection locked="0"/>
    </xf>
    <xf numFmtId="0" fontId="28" fillId="23" borderId="1" xfId="0" applyFont="1" applyFill="1" applyBorder="1" applyAlignment="1" applyProtection="1">
      <alignment vertical="center" shrinkToFit="1"/>
      <protection locked="0"/>
    </xf>
    <xf numFmtId="0" fontId="28" fillId="23" borderId="304" xfId="0" applyFont="1" applyFill="1" applyBorder="1" applyAlignment="1" applyProtection="1">
      <alignment vertical="center" shrinkToFit="1"/>
      <protection locked="0"/>
    </xf>
    <xf numFmtId="0" fontId="28" fillId="23" borderId="12" xfId="0" applyFont="1" applyFill="1" applyBorder="1" applyAlignment="1" applyProtection="1">
      <alignment vertical="center" shrinkToFit="1"/>
      <protection locked="0"/>
    </xf>
    <xf numFmtId="0" fontId="28" fillId="23" borderId="9" xfId="0" applyFont="1" applyFill="1" applyBorder="1" applyAlignment="1" applyProtection="1">
      <alignment vertical="center" shrinkToFit="1"/>
      <protection locked="0"/>
    </xf>
    <xf numFmtId="0" fontId="28" fillId="23" borderId="298" xfId="0" applyFont="1" applyFill="1" applyBorder="1" applyAlignment="1" applyProtection="1">
      <alignment vertical="center" shrinkToFit="1"/>
      <protection locked="0"/>
    </xf>
    <xf numFmtId="0" fontId="75" fillId="4" borderId="17" xfId="0" applyFont="1" applyFill="1" applyBorder="1" applyAlignment="1" applyProtection="1">
      <alignment horizontal="center" vertical="center" shrinkToFit="1"/>
      <protection hidden="1"/>
    </xf>
    <xf numFmtId="0" fontId="75" fillId="4" borderId="1" xfId="0" applyFont="1" applyFill="1" applyBorder="1" applyAlignment="1" applyProtection="1">
      <alignment horizontal="center" vertical="center" shrinkToFit="1"/>
      <protection hidden="1"/>
    </xf>
    <xf numFmtId="0" fontId="75" fillId="4" borderId="37" xfId="0" applyFont="1" applyFill="1" applyBorder="1" applyAlignment="1" applyProtection="1">
      <alignment horizontal="center" vertical="center" shrinkToFit="1"/>
      <protection hidden="1"/>
    </xf>
    <xf numFmtId="0" fontId="75" fillId="4" borderId="12" xfId="0" applyFont="1" applyFill="1" applyBorder="1" applyAlignment="1" applyProtection="1">
      <alignment horizontal="center" vertical="center" shrinkToFit="1"/>
      <protection hidden="1"/>
    </xf>
    <xf numFmtId="0" fontId="75" fillId="4" borderId="9" xfId="0" applyFont="1" applyFill="1" applyBorder="1" applyAlignment="1" applyProtection="1">
      <alignment horizontal="center" vertical="center" shrinkToFit="1"/>
      <protection hidden="1"/>
    </xf>
    <xf numFmtId="0" fontId="75" fillId="4" borderId="33" xfId="0" applyFont="1" applyFill="1" applyBorder="1" applyAlignment="1" applyProtection="1">
      <alignment horizontal="center" vertical="center" shrinkToFit="1"/>
      <protection hidden="1"/>
    </xf>
    <xf numFmtId="0" fontId="106" fillId="4" borderId="316" xfId="0" applyFont="1" applyFill="1" applyBorder="1" applyAlignment="1" applyProtection="1">
      <alignment vertical="center" shrinkToFit="1"/>
      <protection hidden="1"/>
    </xf>
    <xf numFmtId="0" fontId="106" fillId="4" borderId="4" xfId="0" applyFont="1" applyFill="1" applyBorder="1" applyAlignment="1" applyProtection="1">
      <alignment vertical="center" shrinkToFit="1"/>
      <protection hidden="1"/>
    </xf>
    <xf numFmtId="0" fontId="78" fillId="4" borderId="22" xfId="0" applyFont="1" applyFill="1" applyBorder="1" applyAlignment="1" applyProtection="1">
      <alignment horizontal="center" vertical="center" shrinkToFit="1"/>
      <protection hidden="1"/>
    </xf>
    <xf numFmtId="0" fontId="78" fillId="4" borderId="4" xfId="0" applyFont="1" applyFill="1" applyBorder="1" applyAlignment="1" applyProtection="1">
      <alignment horizontal="center" vertical="center" shrinkToFit="1"/>
      <protection hidden="1"/>
    </xf>
    <xf numFmtId="0" fontId="78" fillId="4" borderId="231" xfId="0" applyFont="1" applyFill="1" applyBorder="1" applyAlignment="1" applyProtection="1">
      <alignment horizontal="center" vertical="center" shrinkToFit="1"/>
      <protection hidden="1"/>
    </xf>
    <xf numFmtId="0" fontId="106" fillId="23" borderId="4" xfId="0" applyFont="1" applyFill="1" applyBorder="1" applyAlignment="1" applyProtection="1">
      <alignment horizontal="center" vertical="center" shrinkToFit="1"/>
      <protection locked="0" hidden="1"/>
    </xf>
    <xf numFmtId="0" fontId="106" fillId="23" borderId="325" xfId="0" applyFont="1" applyFill="1" applyBorder="1" applyAlignment="1" applyProtection="1">
      <alignment horizontal="center" vertical="center" shrinkToFit="1"/>
      <protection locked="0" hidden="1"/>
    </xf>
    <xf numFmtId="49" fontId="22" fillId="4" borderId="778" xfId="0" applyNumberFormat="1" applyFont="1" applyFill="1" applyBorder="1" applyAlignment="1" applyProtection="1">
      <alignment horizontal="left" wrapText="1"/>
      <protection hidden="1"/>
    </xf>
    <xf numFmtId="49" fontId="22" fillId="4" borderId="281" xfId="0" applyNumberFormat="1" applyFont="1" applyFill="1" applyBorder="1" applyAlignment="1" applyProtection="1">
      <alignment horizontal="left" wrapText="1"/>
      <protection hidden="1"/>
    </xf>
    <xf numFmtId="49" fontId="22" fillId="4" borderId="510" xfId="0" applyNumberFormat="1" applyFont="1" applyFill="1" applyBorder="1" applyAlignment="1" applyProtection="1">
      <alignment horizontal="left" wrapText="1"/>
      <protection hidden="1"/>
    </xf>
    <xf numFmtId="49" fontId="22" fillId="4" borderId="0" xfId="0" applyNumberFormat="1" applyFont="1" applyFill="1" applyAlignment="1" applyProtection="1">
      <alignment horizontal="left" wrapText="1"/>
      <protection hidden="1"/>
    </xf>
    <xf numFmtId="0" fontId="20" fillId="4" borderId="288" xfId="0" applyFont="1" applyFill="1" applyBorder="1" applyAlignment="1" applyProtection="1">
      <alignment horizontal="center" vertical="center" shrinkToFit="1"/>
      <protection hidden="1"/>
    </xf>
    <xf numFmtId="0" fontId="20" fillId="4" borderId="289" xfId="0" applyFont="1" applyFill="1" applyBorder="1" applyAlignment="1" applyProtection="1">
      <alignment horizontal="center" vertical="center" shrinkToFit="1"/>
      <protection hidden="1"/>
    </xf>
    <xf numFmtId="0" fontId="20" fillId="4" borderId="290" xfId="0" applyFont="1" applyFill="1" applyBorder="1" applyAlignment="1" applyProtection="1">
      <alignment horizontal="center" vertical="center" shrinkToFit="1"/>
      <protection hidden="1"/>
    </xf>
    <xf numFmtId="184" fontId="28" fillId="23" borderId="17" xfId="0" applyNumberFormat="1" applyFont="1" applyFill="1" applyBorder="1" applyAlignment="1" applyProtection="1">
      <alignment vertical="center" shrinkToFit="1"/>
      <protection locked="0"/>
    </xf>
    <xf numFmtId="184" fontId="28" fillId="23" borderId="1" xfId="0" applyNumberFormat="1" applyFont="1" applyFill="1" applyBorder="1" applyAlignment="1" applyProtection="1">
      <alignment vertical="center" shrinkToFit="1"/>
      <protection locked="0"/>
    </xf>
    <xf numFmtId="184" fontId="28" fillId="23" borderId="2" xfId="0" applyNumberFormat="1" applyFont="1" applyFill="1" applyBorder="1" applyAlignment="1" applyProtection="1">
      <alignment vertical="center" shrinkToFit="1"/>
      <protection locked="0"/>
    </xf>
    <xf numFmtId="184" fontId="28" fillId="23" borderId="294" xfId="0" applyNumberFormat="1" applyFont="1" applyFill="1" applyBorder="1" applyAlignment="1" applyProtection="1">
      <alignment vertical="center" shrinkToFit="1"/>
      <protection locked="0"/>
    </xf>
    <xf numFmtId="184" fontId="28" fillId="23" borderId="289" xfId="0" applyNumberFormat="1" applyFont="1" applyFill="1" applyBorder="1" applyAlignment="1" applyProtection="1">
      <alignment vertical="center" shrinkToFit="1"/>
      <protection locked="0"/>
    </xf>
    <xf numFmtId="184" fontId="28" fillId="23" borderId="290" xfId="0" applyNumberFormat="1" applyFont="1" applyFill="1" applyBorder="1" applyAlignment="1" applyProtection="1">
      <alignment vertical="center" shrinkToFit="1"/>
      <protection locked="0"/>
    </xf>
    <xf numFmtId="0" fontId="20" fillId="4" borderId="294" xfId="0" applyFont="1" applyFill="1" applyBorder="1" applyAlignment="1" applyProtection="1">
      <alignment horizontal="center" vertical="center" shrinkToFit="1"/>
      <protection hidden="1"/>
    </xf>
    <xf numFmtId="0" fontId="18" fillId="23" borderId="17" xfId="1" applyNumberFormat="1" applyFill="1" applyBorder="1" applyAlignment="1" applyProtection="1">
      <alignment vertical="center" shrinkToFit="1"/>
      <protection locked="0"/>
    </xf>
    <xf numFmtId="0" fontId="18" fillId="23" borderId="1" xfId="1" applyNumberFormat="1" applyFill="1" applyBorder="1" applyAlignment="1" applyProtection="1">
      <alignment vertical="center" shrinkToFit="1"/>
      <protection locked="0"/>
    </xf>
    <xf numFmtId="0" fontId="18" fillId="23" borderId="304" xfId="1" applyNumberFormat="1" applyFill="1" applyBorder="1" applyAlignment="1" applyProtection="1">
      <alignment vertical="center" shrinkToFit="1"/>
      <protection locked="0"/>
    </xf>
    <xf numFmtId="0" fontId="18" fillId="23" borderId="294" xfId="1" applyNumberFormat="1" applyFill="1" applyBorder="1" applyAlignment="1" applyProtection="1">
      <alignment vertical="center" shrinkToFit="1"/>
      <protection locked="0"/>
    </xf>
    <xf numFmtId="0" fontId="18" fillId="23" borderId="289" xfId="1" applyNumberFormat="1" applyFill="1" applyBorder="1" applyAlignment="1" applyProtection="1">
      <alignment vertical="center" shrinkToFit="1"/>
      <protection locked="0"/>
    </xf>
    <xf numFmtId="0" fontId="18" fillId="23" borderId="295" xfId="1" applyNumberFormat="1" applyFill="1" applyBorder="1" applyAlignment="1" applyProtection="1">
      <alignment vertical="center" shrinkToFit="1"/>
      <protection locked="0"/>
    </xf>
    <xf numFmtId="0" fontId="20" fillId="4" borderId="149" xfId="0" applyFont="1" applyFill="1" applyBorder="1" applyAlignment="1" applyProtection="1">
      <alignment horizontal="center" vertical="center" shrinkToFit="1"/>
      <protection hidden="1"/>
    </xf>
    <xf numFmtId="0" fontId="168" fillId="11" borderId="280" xfId="0" applyFont="1" applyFill="1" applyBorder="1" applyAlignment="1" applyProtection="1">
      <alignment horizontal="center" vertical="center" wrapText="1"/>
      <protection hidden="1"/>
    </xf>
    <xf numFmtId="0" fontId="168" fillId="11" borderId="281" xfId="0" applyFont="1" applyFill="1" applyBorder="1" applyAlignment="1" applyProtection="1">
      <alignment horizontal="center" vertical="center" wrapText="1"/>
      <protection hidden="1"/>
    </xf>
    <xf numFmtId="0" fontId="168" fillId="11" borderId="779" xfId="0" applyFont="1" applyFill="1" applyBorder="1" applyAlignment="1" applyProtection="1">
      <alignment horizontal="center" vertical="center" wrapText="1"/>
      <protection hidden="1"/>
    </xf>
    <xf numFmtId="0" fontId="168" fillId="11" borderId="305" xfId="0" applyFont="1" applyFill="1" applyBorder="1" applyAlignment="1" applyProtection="1">
      <alignment horizontal="center" vertical="center" wrapText="1"/>
      <protection hidden="1"/>
    </xf>
    <xf numFmtId="0" fontId="168" fillId="11" borderId="0" xfId="0" applyFont="1" applyFill="1" applyAlignment="1" applyProtection="1">
      <alignment horizontal="center" vertical="center" wrapText="1"/>
      <protection hidden="1"/>
    </xf>
    <xf numFmtId="0" fontId="168" fillId="11" borderId="503" xfId="0" applyFont="1" applyFill="1" applyBorder="1" applyAlignment="1" applyProtection="1">
      <alignment horizontal="center" vertical="center" wrapText="1"/>
      <protection hidden="1"/>
    </xf>
    <xf numFmtId="0" fontId="168" fillId="11" borderId="288" xfId="0" applyFont="1" applyFill="1" applyBorder="1" applyAlignment="1" applyProtection="1">
      <alignment horizontal="center" vertical="center" wrapText="1"/>
      <protection hidden="1"/>
    </xf>
    <xf numFmtId="0" fontId="168" fillId="11" borderId="289" xfId="0" applyFont="1" applyFill="1" applyBorder="1" applyAlignment="1" applyProtection="1">
      <alignment horizontal="center" vertical="center" wrapText="1"/>
      <protection hidden="1"/>
    </xf>
    <xf numFmtId="0" fontId="168" fillId="11" borderId="780" xfId="0" applyFont="1" applyFill="1" applyBorder="1" applyAlignment="1" applyProtection="1">
      <alignment horizontal="center" vertical="center" wrapText="1"/>
      <protection hidden="1"/>
    </xf>
    <xf numFmtId="0" fontId="60" fillId="4" borderId="303" xfId="0" applyFont="1" applyFill="1" applyBorder="1" applyAlignment="1" applyProtection="1">
      <alignment horizontal="center" vertical="center" shrinkToFit="1"/>
      <protection hidden="1"/>
    </xf>
    <xf numFmtId="0" fontId="133" fillId="4" borderId="1" xfId="0" applyFont="1" applyFill="1" applyBorder="1" applyAlignment="1" applyProtection="1">
      <alignment horizontal="center" vertical="center" shrinkToFit="1"/>
      <protection hidden="1"/>
    </xf>
    <xf numFmtId="0" fontId="133" fillId="4" borderId="2" xfId="0" applyFont="1" applyFill="1" applyBorder="1" applyAlignment="1" applyProtection="1">
      <alignment horizontal="center" vertical="center" shrinkToFit="1"/>
      <protection hidden="1"/>
    </xf>
    <xf numFmtId="0" fontId="133" fillId="4" borderId="305" xfId="0" applyFont="1" applyFill="1" applyBorder="1" applyAlignment="1" applyProtection="1">
      <alignment horizontal="center" vertical="center" shrinkToFit="1"/>
      <protection hidden="1"/>
    </xf>
    <xf numFmtId="0" fontId="133" fillId="4" borderId="0" xfId="0" applyFont="1" applyFill="1" applyAlignment="1" applyProtection="1">
      <alignment horizontal="center" vertical="center" shrinkToFit="1"/>
      <protection hidden="1"/>
    </xf>
    <xf numFmtId="0" fontId="133" fillId="4" borderId="3" xfId="0" applyFont="1" applyFill="1" applyBorder="1" applyAlignment="1" applyProtection="1">
      <alignment horizontal="center" vertical="center" shrinkToFit="1"/>
      <protection hidden="1"/>
    </xf>
    <xf numFmtId="0" fontId="133" fillId="4" borderId="297" xfId="0" applyFont="1" applyFill="1" applyBorder="1" applyAlignment="1" applyProtection="1">
      <alignment horizontal="center" vertical="center" shrinkToFit="1"/>
      <protection hidden="1"/>
    </xf>
    <xf numFmtId="0" fontId="133" fillId="4" borderId="9" xfId="0" applyFont="1" applyFill="1" applyBorder="1" applyAlignment="1" applyProtection="1">
      <alignment horizontal="center" vertical="center" shrinkToFit="1"/>
      <protection hidden="1"/>
    </xf>
    <xf numFmtId="0" fontId="133" fillId="4" borderId="10" xfId="0" applyFont="1" applyFill="1" applyBorder="1" applyAlignment="1" applyProtection="1">
      <alignment horizontal="center" vertical="center" shrinkToFit="1"/>
      <protection hidden="1"/>
    </xf>
    <xf numFmtId="0" fontId="0" fillId="23" borderId="17" xfId="0" applyFill="1" applyBorder="1" applyAlignment="1" applyProtection="1">
      <alignment vertical="center" shrinkToFit="1"/>
      <protection locked="0"/>
    </xf>
    <xf numFmtId="0" fontId="0" fillId="23" borderId="1" xfId="0" applyFill="1" applyBorder="1" applyAlignment="1" applyProtection="1">
      <alignment vertical="center" shrinkToFit="1"/>
      <protection locked="0"/>
    </xf>
    <xf numFmtId="0" fontId="0" fillId="23" borderId="2" xfId="0" applyFill="1" applyBorder="1" applyAlignment="1" applyProtection="1">
      <alignment vertical="center" shrinkToFit="1"/>
      <protection locked="0"/>
    </xf>
    <xf numFmtId="0" fontId="0" fillId="23" borderId="16" xfId="0" applyFill="1" applyBorder="1" applyAlignment="1" applyProtection="1">
      <alignment vertical="center" shrinkToFit="1"/>
      <protection locked="0"/>
    </xf>
    <xf numFmtId="0" fontId="0" fillId="23" borderId="0" xfId="0" applyFill="1" applyAlignment="1" applyProtection="1">
      <alignment vertical="center" shrinkToFit="1"/>
      <protection locked="0"/>
    </xf>
    <xf numFmtId="0" fontId="0" fillId="23" borderId="3" xfId="0" applyFill="1" applyBorder="1" applyAlignment="1" applyProtection="1">
      <alignment vertical="center" shrinkToFit="1"/>
      <protection locked="0"/>
    </xf>
    <xf numFmtId="0" fontId="0" fillId="23" borderId="12" xfId="0" applyFill="1" applyBorder="1" applyAlignment="1" applyProtection="1">
      <alignment vertical="center" shrinkToFit="1"/>
      <protection locked="0"/>
    </xf>
    <xf numFmtId="0" fontId="0" fillId="23" borderId="9" xfId="0" applyFill="1" applyBorder="1" applyAlignment="1" applyProtection="1">
      <alignment vertical="center" shrinkToFit="1"/>
      <protection locked="0"/>
    </xf>
    <xf numFmtId="0" fontId="0" fillId="23" borderId="10" xfId="0" applyFill="1" applyBorder="1" applyAlignment="1" applyProtection="1">
      <alignment vertical="center" shrinkToFit="1"/>
      <protection locked="0"/>
    </xf>
    <xf numFmtId="0" fontId="75" fillId="4" borderId="26" xfId="0" applyFont="1" applyFill="1" applyBorder="1" applyAlignment="1" applyProtection="1">
      <alignment horizontal="center" vertical="center" shrinkToFit="1"/>
      <protection hidden="1"/>
    </xf>
    <xf numFmtId="0" fontId="75" fillId="4" borderId="27" xfId="0" applyFont="1" applyFill="1" applyBorder="1" applyAlignment="1" applyProtection="1">
      <alignment horizontal="center" vertical="center" shrinkToFit="1"/>
      <protection hidden="1"/>
    </xf>
    <xf numFmtId="0" fontId="75" fillId="2" borderId="151" xfId="0" applyFont="1" applyFill="1" applyBorder="1" applyAlignment="1" applyProtection="1">
      <alignment vertical="center" shrinkToFit="1"/>
      <protection locked="0"/>
    </xf>
    <xf numFmtId="0" fontId="75" fillId="2" borderId="152" xfId="0" applyFont="1" applyFill="1" applyBorder="1" applyAlignment="1" applyProtection="1">
      <alignment vertical="center" shrinkToFit="1"/>
      <protection locked="0"/>
    </xf>
    <xf numFmtId="0" fontId="133" fillId="4" borderId="288" xfId="0" applyFont="1" applyFill="1" applyBorder="1" applyAlignment="1" applyProtection="1">
      <alignment horizontal="center" vertical="center" shrinkToFit="1"/>
      <protection hidden="1"/>
    </xf>
    <xf numFmtId="0" fontId="133" fillId="4" borderId="289" xfId="0" applyFont="1" applyFill="1" applyBorder="1" applyAlignment="1" applyProtection="1">
      <alignment horizontal="center" vertical="center" shrinkToFit="1"/>
      <protection hidden="1"/>
    </xf>
    <xf numFmtId="0" fontId="133" fillId="4" borderId="290" xfId="0" applyFont="1" applyFill="1" applyBorder="1" applyAlignment="1" applyProtection="1">
      <alignment horizontal="center" vertical="center" shrinkToFit="1"/>
      <protection hidden="1"/>
    </xf>
    <xf numFmtId="184" fontId="0" fillId="23" borderId="17" xfId="0" applyNumberFormat="1" applyFill="1" applyBorder="1" applyAlignment="1" applyProtection="1">
      <alignment vertical="center" shrinkToFit="1"/>
      <protection locked="0"/>
    </xf>
    <xf numFmtId="184" fontId="0" fillId="23" borderId="1" xfId="0" applyNumberFormat="1" applyFill="1" applyBorder="1" applyAlignment="1" applyProtection="1">
      <alignment vertical="center" shrinkToFit="1"/>
      <protection locked="0"/>
    </xf>
    <xf numFmtId="184" fontId="0" fillId="23" borderId="2" xfId="0" applyNumberFormat="1" applyFill="1" applyBorder="1" applyAlignment="1" applyProtection="1">
      <alignment vertical="center" shrinkToFit="1"/>
      <protection locked="0"/>
    </xf>
    <xf numFmtId="184" fontId="0" fillId="23" borderId="294" xfId="0" applyNumberFormat="1" applyFill="1" applyBorder="1" applyAlignment="1" applyProtection="1">
      <alignment vertical="center" shrinkToFit="1"/>
      <protection locked="0"/>
    </xf>
    <xf numFmtId="184" fontId="0" fillId="23" borderId="289" xfId="0" applyNumberFormat="1" applyFill="1" applyBorder="1" applyAlignment="1" applyProtection="1">
      <alignment vertical="center" shrinkToFit="1"/>
      <protection locked="0"/>
    </xf>
    <xf numFmtId="184" fontId="0" fillId="23" borderId="290" xfId="0" applyNumberFormat="1" applyFill="1" applyBorder="1" applyAlignment="1" applyProtection="1">
      <alignment vertical="center" shrinkToFit="1"/>
      <protection locked="0"/>
    </xf>
    <xf numFmtId="0" fontId="133" fillId="4" borderId="294" xfId="0" applyFont="1" applyFill="1" applyBorder="1" applyAlignment="1" applyProtection="1">
      <alignment horizontal="center" vertical="center" shrinkToFit="1"/>
      <protection hidden="1"/>
    </xf>
    <xf numFmtId="0" fontId="18" fillId="23" borderId="17" xfId="1" applyFill="1" applyBorder="1" applyAlignment="1" applyProtection="1">
      <alignment vertical="center" shrinkToFit="1"/>
      <protection locked="0"/>
    </xf>
    <xf numFmtId="0" fontId="18" fillId="23" borderId="1" xfId="1" applyFill="1" applyBorder="1" applyAlignment="1" applyProtection="1">
      <alignment vertical="center" shrinkToFit="1"/>
      <protection locked="0"/>
    </xf>
    <xf numFmtId="0" fontId="18" fillId="23" borderId="304" xfId="1" applyFill="1" applyBorder="1" applyAlignment="1" applyProtection="1">
      <alignment vertical="center" shrinkToFit="1"/>
      <protection locked="0"/>
    </xf>
    <xf numFmtId="0" fontId="18" fillId="23" borderId="294" xfId="1" applyFill="1" applyBorder="1" applyAlignment="1" applyProtection="1">
      <alignment vertical="center" shrinkToFit="1"/>
      <protection locked="0"/>
    </xf>
    <xf numFmtId="0" fontId="18" fillId="23" borderId="289" xfId="1" applyFill="1" applyBorder="1" applyAlignment="1" applyProtection="1">
      <alignment vertical="center" shrinkToFit="1"/>
      <protection locked="0"/>
    </xf>
    <xf numFmtId="0" fontId="18" fillId="23" borderId="295" xfId="1" applyFill="1" applyBorder="1" applyAlignment="1" applyProtection="1">
      <alignment vertical="center" shrinkToFit="1"/>
      <protection locked="0"/>
    </xf>
    <xf numFmtId="0" fontId="75" fillId="2" borderId="153" xfId="0" applyFont="1" applyFill="1" applyBorder="1" applyAlignment="1" applyProtection="1">
      <alignment vertical="center" shrinkToFit="1"/>
      <protection locked="0"/>
    </xf>
    <xf numFmtId="0" fontId="75" fillId="2" borderId="306" xfId="0" applyFont="1" applyFill="1" applyBorder="1" applyAlignment="1" applyProtection="1">
      <alignment vertical="center" shrinkToFit="1"/>
      <protection locked="0"/>
    </xf>
    <xf numFmtId="0" fontId="60" fillId="4" borderId="31" xfId="0" applyFont="1" applyFill="1" applyBorder="1" applyAlignment="1" applyProtection="1">
      <alignment horizontal="center" vertical="center" shrinkToFit="1"/>
      <protection hidden="1"/>
    </xf>
    <xf numFmtId="0" fontId="133" fillId="4" borderId="6" xfId="0" applyFont="1" applyFill="1" applyBorder="1" applyAlignment="1" applyProtection="1">
      <alignment horizontal="center" vertical="center" shrinkToFit="1"/>
      <protection hidden="1"/>
    </xf>
    <xf numFmtId="0" fontId="133" fillId="4" borderId="7" xfId="0" applyFont="1" applyFill="1" applyBorder="1" applyAlignment="1" applyProtection="1">
      <alignment horizontal="center" vertical="center" shrinkToFit="1"/>
      <protection hidden="1"/>
    </xf>
    <xf numFmtId="0" fontId="133" fillId="4" borderId="12" xfId="0" applyFont="1" applyFill="1" applyBorder="1" applyAlignment="1" applyProtection="1">
      <alignment horizontal="center" vertical="center" shrinkToFit="1"/>
      <protection hidden="1"/>
    </xf>
    <xf numFmtId="0" fontId="0" fillId="23" borderId="154" xfId="0" applyFill="1" applyBorder="1" applyAlignment="1" applyProtection="1">
      <alignment vertical="center" shrinkToFit="1"/>
      <protection locked="0"/>
    </xf>
    <xf numFmtId="0" fontId="0" fillId="23" borderId="155" xfId="0" applyFill="1" applyBorder="1" applyAlignment="1" applyProtection="1">
      <alignment vertical="center" shrinkToFit="1"/>
      <protection locked="0"/>
    </xf>
    <xf numFmtId="0" fontId="0" fillId="23" borderId="307" xfId="0" applyFill="1" applyBorder="1" applyAlignment="1" applyProtection="1">
      <alignment vertical="center" shrinkToFit="1"/>
      <protection locked="0"/>
    </xf>
    <xf numFmtId="0" fontId="0" fillId="23" borderId="156" xfId="0" applyFill="1" applyBorder="1" applyAlignment="1" applyProtection="1">
      <alignment vertical="center" shrinkToFit="1"/>
      <protection locked="0"/>
    </xf>
    <xf numFmtId="0" fontId="0" fillId="23" borderId="298" xfId="0" applyFill="1" applyBorder="1" applyAlignment="1" applyProtection="1">
      <alignment vertical="center" shrinkToFit="1"/>
      <protection locked="0"/>
    </xf>
    <xf numFmtId="0" fontId="170" fillId="4" borderId="510" xfId="1" applyFont="1" applyFill="1" applyBorder="1" applyAlignment="1" applyProtection="1">
      <alignment horizontal="center" vertical="center" wrapText="1"/>
      <protection locked="0"/>
    </xf>
    <xf numFmtId="0" fontId="170" fillId="4" borderId="0" xfId="1" applyFont="1" applyFill="1" applyBorder="1" applyAlignment="1" applyProtection="1">
      <alignment horizontal="center" vertical="center" wrapText="1"/>
      <protection locked="0"/>
    </xf>
    <xf numFmtId="0" fontId="170" fillId="4" borderId="781" xfId="1" applyFont="1" applyFill="1" applyBorder="1" applyAlignment="1" applyProtection="1">
      <alignment horizontal="center" vertical="center" wrapText="1"/>
      <protection locked="0"/>
    </xf>
    <xf numFmtId="0" fontId="170" fillId="4" borderId="289" xfId="1" applyFont="1" applyFill="1" applyBorder="1" applyAlignment="1" applyProtection="1">
      <alignment horizontal="center" vertical="center" wrapText="1"/>
      <protection locked="0"/>
    </xf>
    <xf numFmtId="0" fontId="169" fillId="4" borderId="0" xfId="1" applyFont="1" applyFill="1" applyBorder="1" applyAlignment="1" applyProtection="1">
      <alignment horizontal="left" vertical="center" wrapText="1"/>
      <protection hidden="1"/>
    </xf>
    <xf numFmtId="0" fontId="169" fillId="4" borderId="308" xfId="1" applyFont="1" applyFill="1" applyBorder="1" applyAlignment="1" applyProtection="1">
      <alignment horizontal="left" vertical="center" wrapText="1"/>
      <protection hidden="1"/>
    </xf>
    <xf numFmtId="0" fontId="169" fillId="4" borderId="289" xfId="1" applyFont="1" applyFill="1" applyBorder="1" applyAlignment="1" applyProtection="1">
      <alignment horizontal="left" vertical="center" wrapText="1"/>
      <protection hidden="1"/>
    </xf>
    <xf numFmtId="0" fontId="169" fillId="4" borderId="295" xfId="1" applyFont="1" applyFill="1" applyBorder="1" applyAlignment="1" applyProtection="1">
      <alignment horizontal="left" vertical="center" wrapText="1"/>
      <protection hidden="1"/>
    </xf>
    <xf numFmtId="0" fontId="60" fillId="4" borderId="286" xfId="0" applyFont="1" applyFill="1" applyBorder="1" applyAlignment="1" applyProtection="1">
      <alignment horizontal="center" vertical="center" wrapText="1"/>
      <protection hidden="1"/>
    </xf>
    <xf numFmtId="0" fontId="60" fillId="4" borderId="281" xfId="0" applyFont="1" applyFill="1" applyBorder="1" applyAlignment="1" applyProtection="1">
      <alignment horizontal="center" vertical="center" wrapText="1"/>
      <protection hidden="1"/>
    </xf>
    <xf numFmtId="0" fontId="60" fillId="4" borderId="287" xfId="0" applyFont="1" applyFill="1" applyBorder="1" applyAlignment="1" applyProtection="1">
      <alignment horizontal="center" vertical="center" wrapText="1"/>
      <protection hidden="1"/>
    </xf>
    <xf numFmtId="0" fontId="60" fillId="4" borderId="12" xfId="0" applyFont="1" applyFill="1" applyBorder="1" applyAlignment="1" applyProtection="1">
      <alignment horizontal="center" vertical="center" wrapText="1"/>
      <protection hidden="1"/>
    </xf>
    <xf numFmtId="0" fontId="60" fillId="4" borderId="9" xfId="0" applyFont="1" applyFill="1" applyBorder="1" applyAlignment="1" applyProtection="1">
      <alignment horizontal="center" vertical="center" wrapText="1"/>
      <protection hidden="1"/>
    </xf>
    <xf numFmtId="0" fontId="60" fillId="4" borderId="298" xfId="0" applyFont="1" applyFill="1" applyBorder="1" applyAlignment="1" applyProtection="1">
      <alignment horizontal="center" vertical="center" wrapText="1"/>
      <protection hidden="1"/>
    </xf>
    <xf numFmtId="0" fontId="29" fillId="20" borderId="309" xfId="0" applyFont="1" applyFill="1" applyBorder="1" applyAlignment="1" applyProtection="1">
      <alignment horizontal="center" vertical="center"/>
      <protection hidden="1"/>
    </xf>
    <xf numFmtId="0" fontId="29" fillId="20" borderId="310" xfId="0" applyFont="1" applyFill="1" applyBorder="1" applyAlignment="1" applyProtection="1">
      <alignment horizontal="center" vertical="center"/>
      <protection hidden="1"/>
    </xf>
    <xf numFmtId="0" fontId="29" fillId="20" borderId="311" xfId="0" applyFont="1" applyFill="1" applyBorder="1" applyAlignment="1" applyProtection="1">
      <alignment horizontal="center" vertical="center"/>
      <protection hidden="1"/>
    </xf>
    <xf numFmtId="0" fontId="29" fillId="20" borderId="313" xfId="0" applyFont="1" applyFill="1" applyBorder="1" applyAlignment="1" applyProtection="1">
      <alignment horizontal="center" vertical="center"/>
      <protection hidden="1"/>
    </xf>
    <xf numFmtId="0" fontId="29" fillId="20" borderId="124" xfId="0" applyFont="1" applyFill="1" applyBorder="1" applyAlignment="1" applyProtection="1">
      <alignment horizontal="center" vertical="center"/>
      <protection hidden="1"/>
    </xf>
    <xf numFmtId="0" fontId="29" fillId="20" borderId="238" xfId="0" applyFont="1" applyFill="1" applyBorder="1" applyAlignment="1" applyProtection="1">
      <alignment horizontal="center" vertical="center"/>
      <protection hidden="1"/>
    </xf>
    <xf numFmtId="49" fontId="29" fillId="4" borderId="312" xfId="0" applyNumberFormat="1" applyFont="1" applyFill="1" applyBorder="1" applyAlignment="1" applyProtection="1">
      <alignment horizontal="center" vertical="center" wrapText="1" shrinkToFit="1"/>
      <protection hidden="1"/>
    </xf>
    <xf numFmtId="49" fontId="29" fillId="4" borderId="281" xfId="0" applyNumberFormat="1" applyFont="1" applyFill="1" applyBorder="1" applyAlignment="1" applyProtection="1">
      <alignment horizontal="center" vertical="center" shrinkToFit="1"/>
      <protection hidden="1"/>
    </xf>
    <xf numFmtId="49" fontId="29" fillId="4" borderId="287" xfId="0" applyNumberFormat="1" applyFont="1" applyFill="1" applyBorder="1" applyAlignment="1" applyProtection="1">
      <alignment horizontal="center" vertical="center" shrinkToFit="1"/>
      <protection hidden="1"/>
    </xf>
    <xf numFmtId="49" fontId="29" fillId="4" borderId="11" xfId="0" applyNumberFormat="1" applyFont="1" applyFill="1" applyBorder="1" applyAlignment="1" applyProtection="1">
      <alignment horizontal="center" vertical="center" shrinkToFit="1"/>
      <protection hidden="1"/>
    </xf>
    <xf numFmtId="49" fontId="29" fillId="4" borderId="0" xfId="0" applyNumberFormat="1" applyFont="1" applyFill="1" applyAlignment="1" applyProtection="1">
      <alignment horizontal="center" vertical="center" shrinkToFit="1"/>
      <protection hidden="1"/>
    </xf>
    <xf numFmtId="49" fontId="29" fillId="4" borderId="308" xfId="0" applyNumberFormat="1" applyFont="1" applyFill="1" applyBorder="1" applyAlignment="1" applyProtection="1">
      <alignment horizontal="center" vertical="center" shrinkToFit="1"/>
      <protection hidden="1"/>
    </xf>
    <xf numFmtId="49" fontId="29" fillId="4" borderId="8" xfId="0" applyNumberFormat="1" applyFont="1" applyFill="1" applyBorder="1" applyAlignment="1" applyProtection="1">
      <alignment horizontal="center" vertical="center" shrinkToFit="1"/>
      <protection hidden="1"/>
    </xf>
    <xf numFmtId="49" fontId="29" fillId="4" borderId="9" xfId="0" applyNumberFormat="1" applyFont="1" applyFill="1" applyBorder="1" applyAlignment="1" applyProtection="1">
      <alignment horizontal="center" vertical="center" shrinkToFit="1"/>
      <protection hidden="1"/>
    </xf>
    <xf numFmtId="49" fontId="29" fillId="4" borderId="298" xfId="0" applyNumberFormat="1" applyFont="1" applyFill="1" applyBorder="1" applyAlignment="1" applyProtection="1">
      <alignment horizontal="center" vertical="center" shrinkToFit="1"/>
      <protection hidden="1"/>
    </xf>
    <xf numFmtId="0" fontId="35" fillId="4" borderId="299" xfId="0" applyFont="1" applyFill="1" applyBorder="1" applyAlignment="1" applyProtection="1">
      <alignment horizontal="center" vertical="center"/>
      <protection hidden="1"/>
    </xf>
    <xf numFmtId="0" fontId="35" fillId="4" borderId="26" xfId="0" applyFont="1" applyFill="1" applyBorder="1" applyAlignment="1" applyProtection="1">
      <alignment horizontal="center" vertical="center"/>
      <protection hidden="1"/>
    </xf>
    <xf numFmtId="0" fontId="35" fillId="4" borderId="27" xfId="0" applyFont="1" applyFill="1" applyBorder="1" applyAlignment="1" applyProtection="1">
      <alignment horizontal="center" vertical="center"/>
      <protection hidden="1"/>
    </xf>
    <xf numFmtId="0" fontId="75" fillId="4" borderId="301" xfId="0" applyFont="1" applyFill="1" applyBorder="1" applyAlignment="1" applyProtection="1">
      <alignment horizontal="center" vertical="center"/>
      <protection hidden="1"/>
    </xf>
    <xf numFmtId="0" fontId="83" fillId="4" borderId="6" xfId="0" applyFont="1" applyFill="1" applyBorder="1" applyAlignment="1" applyProtection="1">
      <alignment horizontal="center" vertical="center"/>
      <protection hidden="1"/>
    </xf>
    <xf numFmtId="0" fontId="83" fillId="4" borderId="7" xfId="0" applyFont="1" applyFill="1" applyBorder="1" applyAlignment="1" applyProtection="1">
      <alignment horizontal="center" vertical="center"/>
      <protection hidden="1"/>
    </xf>
    <xf numFmtId="0" fontId="83" fillId="4" borderId="297" xfId="0" applyFont="1" applyFill="1" applyBorder="1" applyAlignment="1" applyProtection="1">
      <alignment horizontal="center" vertical="center"/>
      <protection hidden="1"/>
    </xf>
    <xf numFmtId="0" fontId="83" fillId="4" borderId="9" xfId="0" applyFont="1" applyFill="1" applyBorder="1" applyAlignment="1" applyProtection="1">
      <alignment horizontal="center" vertical="center"/>
      <protection hidden="1"/>
    </xf>
    <xf numFmtId="0" fontId="83" fillId="4" borderId="10" xfId="0" applyFont="1" applyFill="1" applyBorder="1" applyAlignment="1" applyProtection="1">
      <alignment horizontal="center" vertical="center"/>
      <protection hidden="1"/>
    </xf>
    <xf numFmtId="0" fontId="0" fillId="23" borderId="31" xfId="0" applyFill="1" applyBorder="1" applyAlignment="1" applyProtection="1">
      <alignment horizontal="center" vertical="center" shrinkToFit="1"/>
      <protection locked="0"/>
    </xf>
    <xf numFmtId="0" fontId="0" fillId="23" borderId="7" xfId="0" applyFill="1" applyBorder="1" applyAlignment="1" applyProtection="1">
      <alignment horizontal="center" vertical="center" shrinkToFit="1"/>
      <protection locked="0"/>
    </xf>
    <xf numFmtId="0" fontId="0" fillId="23" borderId="12" xfId="0" applyFill="1" applyBorder="1" applyAlignment="1" applyProtection="1">
      <alignment horizontal="center" vertical="center" shrinkToFit="1"/>
      <protection locked="0"/>
    </xf>
    <xf numFmtId="0" fontId="0" fillId="23" borderId="10" xfId="0" applyFill="1" applyBorder="1" applyAlignment="1" applyProtection="1">
      <alignment horizontal="center" vertical="center" shrinkToFit="1"/>
      <protection locked="0"/>
    </xf>
    <xf numFmtId="0" fontId="75" fillId="4" borderId="6" xfId="0" applyFont="1" applyFill="1" applyBorder="1" applyAlignment="1">
      <alignment horizontal="center" vertical="center" wrapText="1" shrinkToFit="1"/>
    </xf>
    <xf numFmtId="0" fontId="75" fillId="4" borderId="172" xfId="0" applyFont="1" applyFill="1" applyBorder="1" applyAlignment="1">
      <alignment horizontal="center" vertical="center" wrapText="1" shrinkToFit="1"/>
    </xf>
    <xf numFmtId="0" fontId="75" fillId="4" borderId="9" xfId="0" applyFont="1" applyFill="1" applyBorder="1" applyAlignment="1">
      <alignment horizontal="center" vertical="center" wrapText="1" shrinkToFit="1"/>
    </xf>
    <xf numFmtId="0" fontId="75" fillId="4" borderId="33" xfId="0" applyFont="1" applyFill="1" applyBorder="1" applyAlignment="1">
      <alignment horizontal="center" vertical="center" wrapText="1" shrinkToFit="1"/>
    </xf>
    <xf numFmtId="0" fontId="0" fillId="2" borderId="6" xfId="0" applyFill="1" applyBorder="1" applyAlignment="1" applyProtection="1">
      <alignment horizontal="center" vertical="center" shrinkToFit="1"/>
      <protection locked="0"/>
    </xf>
    <xf numFmtId="0" fontId="0" fillId="2" borderId="302" xfId="0"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0" fontId="0" fillId="2" borderId="298" xfId="0" applyFill="1" applyBorder="1" applyAlignment="1" applyProtection="1">
      <alignment horizontal="center" vertical="center" shrinkToFit="1"/>
      <protection locked="0"/>
    </xf>
    <xf numFmtId="49" fontId="29" fillId="0" borderId="313" xfId="0" applyNumberFormat="1" applyFont="1" applyBorder="1" applyAlignment="1" applyProtection="1">
      <alignment horizontal="center" vertical="center" shrinkToFit="1"/>
      <protection locked="0"/>
    </xf>
    <xf numFmtId="49" fontId="29" fillId="0" borderId="124" xfId="0" applyNumberFormat="1" applyFont="1" applyBorder="1" applyAlignment="1" applyProtection="1">
      <alignment horizontal="center" vertical="center" shrinkToFit="1"/>
      <protection locked="0"/>
    </xf>
    <xf numFmtId="49" fontId="29" fillId="0" borderId="348" xfId="0" applyNumberFormat="1" applyFont="1" applyBorder="1" applyAlignment="1" applyProtection="1">
      <alignment horizontal="center" vertical="center" shrinkToFit="1"/>
      <protection locked="0"/>
    </xf>
    <xf numFmtId="49" fontId="29" fillId="0" borderId="239" xfId="0" applyNumberFormat="1" applyFont="1" applyBorder="1" applyAlignment="1" applyProtection="1">
      <alignment horizontal="center" vertical="center" shrinkToFit="1"/>
      <protection locked="0"/>
    </xf>
    <xf numFmtId="49" fontId="29" fillId="0" borderId="238" xfId="0" applyNumberFormat="1" applyFont="1" applyBorder="1" applyAlignment="1" applyProtection="1">
      <alignment horizontal="center" vertical="center" shrinkToFit="1"/>
      <protection locked="0"/>
    </xf>
    <xf numFmtId="49" fontId="29" fillId="0" borderId="240" xfId="0" applyNumberFormat="1" applyFont="1" applyBorder="1" applyAlignment="1" applyProtection="1">
      <alignment horizontal="center" vertical="center" shrinkToFit="1"/>
      <protection locked="0"/>
    </xf>
    <xf numFmtId="0" fontId="43" fillId="4" borderId="303" xfId="0" applyFont="1" applyFill="1" applyBorder="1" applyAlignment="1" applyProtection="1">
      <alignment horizontal="center" vertical="center"/>
      <protection hidden="1"/>
    </xf>
    <xf numFmtId="0" fontId="43" fillId="4" borderId="1" xfId="0" applyFont="1" applyFill="1" applyBorder="1" applyAlignment="1" applyProtection="1">
      <alignment horizontal="center" vertical="center"/>
      <protection hidden="1"/>
    </xf>
    <xf numFmtId="0" fontId="43" fillId="4" borderId="2" xfId="0" applyFont="1" applyFill="1" applyBorder="1" applyAlignment="1" applyProtection="1">
      <alignment horizontal="center" vertical="center"/>
      <protection hidden="1"/>
    </xf>
    <xf numFmtId="0" fontId="43" fillId="4" borderId="305" xfId="0" applyFont="1" applyFill="1" applyBorder="1" applyAlignment="1" applyProtection="1">
      <alignment horizontal="center" vertical="center"/>
      <protection hidden="1"/>
    </xf>
    <xf numFmtId="0" fontId="43" fillId="4" borderId="0" xfId="0" applyFont="1" applyFill="1" applyAlignment="1" applyProtection="1">
      <alignment horizontal="center" vertical="center"/>
      <protection hidden="1"/>
    </xf>
    <xf numFmtId="0" fontId="43" fillId="4" borderId="3" xfId="0" applyFont="1" applyFill="1" applyBorder="1" applyAlignment="1" applyProtection="1">
      <alignment horizontal="center" vertical="center"/>
      <protection hidden="1"/>
    </xf>
    <xf numFmtId="0" fontId="43" fillId="4" borderId="297" xfId="0" applyFont="1" applyFill="1" applyBorder="1" applyAlignment="1" applyProtection="1">
      <alignment horizontal="center" vertical="center"/>
      <protection hidden="1"/>
    </xf>
    <xf numFmtId="0" fontId="43" fillId="4" borderId="9" xfId="0" applyFont="1" applyFill="1" applyBorder="1" applyAlignment="1" applyProtection="1">
      <alignment horizontal="center" vertical="center"/>
      <protection hidden="1"/>
    </xf>
    <xf numFmtId="0" fontId="43" fillId="4" borderId="10" xfId="0" applyFont="1" applyFill="1" applyBorder="1" applyAlignment="1" applyProtection="1">
      <alignment horizontal="center" vertical="center"/>
      <protection hidden="1"/>
    </xf>
    <xf numFmtId="0" fontId="29" fillId="20" borderId="316" xfId="0" applyFont="1" applyFill="1" applyBorder="1" applyAlignment="1" applyProtection="1">
      <alignment horizontal="center" vertical="center"/>
      <protection hidden="1"/>
    </xf>
    <xf numFmtId="0" fontId="29" fillId="20" borderId="4" xfId="0" applyFont="1" applyFill="1" applyBorder="1" applyAlignment="1" applyProtection="1">
      <alignment horizontal="center" vertical="center"/>
      <protection hidden="1"/>
    </xf>
    <xf numFmtId="0" fontId="29" fillId="20" borderId="20" xfId="0" applyFont="1" applyFill="1" applyBorder="1" applyAlignment="1" applyProtection="1">
      <alignment horizontal="center" vertical="center"/>
      <protection hidden="1"/>
    </xf>
    <xf numFmtId="0" fontId="29" fillId="20" borderId="305" xfId="0" applyFont="1" applyFill="1" applyBorder="1" applyAlignment="1" applyProtection="1">
      <alignment horizontal="center" vertical="center"/>
      <protection hidden="1"/>
    </xf>
    <xf numFmtId="0" fontId="29" fillId="20" borderId="0" xfId="0" applyFont="1" applyFill="1" applyAlignment="1" applyProtection="1">
      <alignment horizontal="center" vertical="center"/>
      <protection hidden="1"/>
    </xf>
    <xf numFmtId="0" fontId="29" fillId="20" borderId="21" xfId="0" applyFont="1" applyFill="1" applyBorder="1" applyAlignment="1" applyProtection="1">
      <alignment horizontal="center" vertical="center"/>
      <protection hidden="1"/>
    </xf>
    <xf numFmtId="49" fontId="29" fillId="8" borderId="11" xfId="0" applyNumberFormat="1" applyFont="1" applyFill="1" applyBorder="1" applyAlignment="1" applyProtection="1">
      <alignment horizontal="center" vertical="center" shrinkToFit="1"/>
      <protection locked="0"/>
    </xf>
    <xf numFmtId="49" fontId="29" fillId="8" borderId="0" xfId="0" applyNumberFormat="1" applyFont="1" applyFill="1" applyAlignment="1" applyProtection="1">
      <alignment horizontal="center" vertical="center" shrinkToFit="1"/>
      <protection locked="0"/>
    </xf>
    <xf numFmtId="49" fontId="29" fillId="8" borderId="308" xfId="0" applyNumberFormat="1" applyFont="1" applyFill="1" applyBorder="1" applyAlignment="1" applyProtection="1">
      <alignment horizontal="center" vertical="center" shrinkToFit="1"/>
      <protection locked="0"/>
    </xf>
    <xf numFmtId="49" fontId="29" fillId="8" borderId="321" xfId="0" applyNumberFormat="1" applyFont="1" applyFill="1" applyBorder="1" applyAlignment="1" applyProtection="1">
      <alignment horizontal="center" vertical="center" shrinkToFit="1"/>
      <protection locked="0"/>
    </xf>
    <xf numFmtId="49" fontId="29" fillId="8" borderId="289" xfId="0" applyNumberFormat="1" applyFont="1" applyFill="1" applyBorder="1" applyAlignment="1" applyProtection="1">
      <alignment horizontal="center" vertical="center" shrinkToFit="1"/>
      <protection locked="0"/>
    </xf>
    <xf numFmtId="49" fontId="29" fillId="8" borderId="295" xfId="0" applyNumberFormat="1" applyFont="1" applyFill="1" applyBorder="1" applyAlignment="1" applyProtection="1">
      <alignment horizontal="center" vertical="center" shrinkToFit="1"/>
      <protection locked="0"/>
    </xf>
    <xf numFmtId="0" fontId="60" fillId="4" borderId="303" xfId="0" applyFont="1" applyFill="1" applyBorder="1" applyAlignment="1" applyProtection="1">
      <alignment horizontal="center" vertical="center"/>
      <protection hidden="1"/>
    </xf>
    <xf numFmtId="0" fontId="133" fillId="4" borderId="1" xfId="0" applyFont="1" applyFill="1" applyBorder="1" applyAlignment="1" applyProtection="1">
      <alignment horizontal="center" vertical="center"/>
      <protection hidden="1"/>
    </xf>
    <xf numFmtId="0" fontId="133" fillId="4" borderId="2" xfId="0" applyFont="1" applyFill="1" applyBorder="1" applyAlignment="1" applyProtection="1">
      <alignment horizontal="center" vertical="center"/>
      <protection hidden="1"/>
    </xf>
    <xf numFmtId="0" fontId="133" fillId="4" borderId="305" xfId="0" applyFont="1" applyFill="1" applyBorder="1" applyAlignment="1" applyProtection="1">
      <alignment horizontal="center" vertical="center"/>
      <protection hidden="1"/>
    </xf>
    <xf numFmtId="0" fontId="133" fillId="4" borderId="0" xfId="0" applyFont="1" applyFill="1" applyAlignment="1" applyProtection="1">
      <alignment horizontal="center" vertical="center"/>
      <protection hidden="1"/>
    </xf>
    <xf numFmtId="0" fontId="133" fillId="4" borderId="3" xfId="0" applyFont="1" applyFill="1" applyBorder="1" applyAlignment="1" applyProtection="1">
      <alignment horizontal="center" vertical="center"/>
      <protection hidden="1"/>
    </xf>
    <xf numFmtId="0" fontId="133" fillId="4" borderId="297" xfId="0" applyFont="1" applyFill="1" applyBorder="1" applyAlignment="1" applyProtection="1">
      <alignment horizontal="center" vertical="center"/>
      <protection hidden="1"/>
    </xf>
    <xf numFmtId="0" fontId="133" fillId="4" borderId="9" xfId="0" applyFont="1" applyFill="1" applyBorder="1" applyAlignment="1" applyProtection="1">
      <alignment horizontal="center" vertical="center"/>
      <protection hidden="1"/>
    </xf>
    <xf numFmtId="0" fontId="133" fillId="4" borderId="10" xfId="0" applyFont="1" applyFill="1" applyBorder="1" applyAlignment="1" applyProtection="1">
      <alignment horizontal="center" vertical="center"/>
      <protection hidden="1"/>
    </xf>
    <xf numFmtId="0" fontId="133" fillId="4" borderId="288" xfId="0" applyFont="1" applyFill="1" applyBorder="1" applyAlignment="1" applyProtection="1">
      <alignment horizontal="center" vertical="center"/>
      <protection hidden="1"/>
    </xf>
    <xf numFmtId="0" fontId="133" fillId="4" borderId="289" xfId="0" applyFont="1" applyFill="1" applyBorder="1" applyAlignment="1" applyProtection="1">
      <alignment horizontal="center" vertical="center"/>
      <protection hidden="1"/>
    </xf>
    <xf numFmtId="0" fontId="133" fillId="4" borderId="290" xfId="0" applyFont="1" applyFill="1" applyBorder="1" applyAlignment="1" applyProtection="1">
      <alignment horizontal="center" vertical="center"/>
      <protection hidden="1"/>
    </xf>
    <xf numFmtId="0" fontId="75" fillId="11" borderId="280" xfId="0" applyFont="1" applyFill="1" applyBorder="1" applyAlignment="1" applyProtection="1">
      <alignment horizontal="center" vertical="center"/>
      <protection hidden="1"/>
    </xf>
    <xf numFmtId="0" fontId="75" fillId="11" borderId="281" xfId="0" applyFont="1" applyFill="1" applyBorder="1" applyAlignment="1" applyProtection="1">
      <alignment horizontal="center" vertical="center"/>
      <protection hidden="1"/>
    </xf>
    <xf numFmtId="0" fontId="75" fillId="11" borderId="282" xfId="0" applyFont="1" applyFill="1" applyBorder="1" applyAlignment="1" applyProtection="1">
      <alignment horizontal="center" vertical="center"/>
      <protection hidden="1"/>
    </xf>
    <xf numFmtId="0" fontId="75" fillId="11" borderId="305" xfId="0" applyFont="1" applyFill="1" applyBorder="1" applyAlignment="1" applyProtection="1">
      <alignment horizontal="center" vertical="center"/>
      <protection hidden="1"/>
    </xf>
    <xf numFmtId="0" fontId="75" fillId="11" borderId="0" xfId="0" applyFont="1" applyFill="1" applyAlignment="1" applyProtection="1">
      <alignment horizontal="center" vertical="center"/>
      <protection hidden="1"/>
    </xf>
    <xf numFmtId="0" fontId="75" fillId="11" borderId="3" xfId="0" applyFont="1" applyFill="1" applyBorder="1" applyAlignment="1" applyProtection="1">
      <alignment horizontal="center" vertical="center"/>
      <protection hidden="1"/>
    </xf>
    <xf numFmtId="0" fontId="75" fillId="11" borderId="288" xfId="0" applyFont="1" applyFill="1" applyBorder="1" applyAlignment="1" applyProtection="1">
      <alignment horizontal="center" vertical="center"/>
      <protection hidden="1"/>
    </xf>
    <xf numFmtId="0" fontId="75" fillId="11" borderId="289" xfId="0" applyFont="1" applyFill="1" applyBorder="1" applyAlignment="1" applyProtection="1">
      <alignment horizontal="center" vertical="center"/>
      <protection hidden="1"/>
    </xf>
    <xf numFmtId="0" fontId="75" fillId="11" borderId="290" xfId="0" applyFont="1" applyFill="1" applyBorder="1" applyAlignment="1" applyProtection="1">
      <alignment horizontal="center" vertical="center"/>
      <protection hidden="1"/>
    </xf>
    <xf numFmtId="0" fontId="102" fillId="4" borderId="286" xfId="0" applyFont="1" applyFill="1" applyBorder="1" applyAlignment="1" applyProtection="1">
      <alignment vertical="center" wrapText="1"/>
      <protection hidden="1"/>
    </xf>
    <xf numFmtId="0" fontId="102" fillId="4" borderId="281" xfId="0" applyFont="1" applyFill="1" applyBorder="1" applyProtection="1">
      <alignment vertical="center"/>
      <protection hidden="1"/>
    </xf>
    <xf numFmtId="0" fontId="102" fillId="4" borderId="282" xfId="0" applyFont="1" applyFill="1" applyBorder="1" applyProtection="1">
      <alignment vertical="center"/>
      <protection hidden="1"/>
    </xf>
    <xf numFmtId="0" fontId="102" fillId="4" borderId="16" xfId="0" applyFont="1" applyFill="1" applyBorder="1" applyProtection="1">
      <alignment vertical="center"/>
      <protection hidden="1"/>
    </xf>
    <xf numFmtId="0" fontId="102" fillId="4" borderId="0" xfId="0" applyFont="1" applyFill="1" applyProtection="1">
      <alignment vertical="center"/>
      <protection hidden="1"/>
    </xf>
    <xf numFmtId="0" fontId="102" fillId="4" borderId="3" xfId="0" applyFont="1" applyFill="1" applyBorder="1" applyProtection="1">
      <alignment vertical="center"/>
      <protection hidden="1"/>
    </xf>
    <xf numFmtId="0" fontId="102" fillId="4" borderId="294" xfId="0" applyFont="1" applyFill="1" applyBorder="1" applyProtection="1">
      <alignment vertical="center"/>
      <protection hidden="1"/>
    </xf>
    <xf numFmtId="0" fontId="102" fillId="4" borderId="289" xfId="0" applyFont="1" applyFill="1" applyBorder="1" applyProtection="1">
      <alignment vertical="center"/>
      <protection hidden="1"/>
    </xf>
    <xf numFmtId="0" fontId="102" fillId="4" borderId="290" xfId="0" applyFont="1" applyFill="1" applyBorder="1" applyProtection="1">
      <alignment vertical="center"/>
      <protection hidden="1"/>
    </xf>
    <xf numFmtId="0" fontId="22" fillId="0" borderId="286" xfId="0" applyFont="1" applyBorder="1" applyAlignment="1" applyProtection="1">
      <alignment horizontal="center" vertical="center"/>
      <protection locked="0" hidden="1"/>
    </xf>
    <xf numFmtId="0" fontId="22" fillId="0" borderId="281" xfId="0" applyFont="1" applyBorder="1" applyAlignment="1" applyProtection="1">
      <alignment horizontal="center" vertical="center"/>
      <protection locked="0" hidden="1"/>
    </xf>
    <xf numFmtId="0" fontId="22" fillId="0" borderId="287" xfId="0" applyFont="1" applyBorder="1" applyAlignment="1" applyProtection="1">
      <alignment horizontal="center" vertical="center"/>
      <protection locked="0" hidden="1"/>
    </xf>
    <xf numFmtId="0" fontId="22" fillId="0" borderId="16" xfId="0" applyFont="1" applyBorder="1" applyAlignment="1" applyProtection="1">
      <alignment horizontal="center" vertical="center"/>
      <protection locked="0" hidden="1"/>
    </xf>
    <xf numFmtId="0" fontId="22" fillId="0" borderId="0" xfId="0" applyFont="1" applyAlignment="1" applyProtection="1">
      <alignment horizontal="center" vertical="center"/>
      <protection locked="0" hidden="1"/>
    </xf>
    <xf numFmtId="0" fontId="22" fillId="0" borderId="308" xfId="0" applyFont="1" applyBorder="1" applyAlignment="1" applyProtection="1">
      <alignment horizontal="center" vertical="center"/>
      <protection locked="0" hidden="1"/>
    </xf>
    <xf numFmtId="0" fontId="22" fillId="0" borderId="294" xfId="0" applyFont="1" applyBorder="1" applyAlignment="1" applyProtection="1">
      <alignment horizontal="center" vertical="center"/>
      <protection locked="0" hidden="1"/>
    </xf>
    <xf numFmtId="0" fontId="22" fillId="0" borderId="289" xfId="0" applyFont="1" applyBorder="1" applyAlignment="1" applyProtection="1">
      <alignment horizontal="center" vertical="center"/>
      <protection locked="0" hidden="1"/>
    </xf>
    <xf numFmtId="0" fontId="22" fillId="0" borderId="295" xfId="0" applyFont="1" applyBorder="1" applyAlignment="1" applyProtection="1">
      <alignment horizontal="center" vertical="center"/>
      <protection locked="0" hidden="1"/>
    </xf>
    <xf numFmtId="49" fontId="29" fillId="0" borderId="303" xfId="0" applyNumberFormat="1" applyFont="1" applyBorder="1" applyAlignment="1" applyProtection="1">
      <alignment horizontal="center" vertical="center" shrinkToFit="1"/>
      <protection locked="0"/>
    </xf>
    <xf numFmtId="49" fontId="29" fillId="0" borderId="1" xfId="0" applyNumberFormat="1" applyFont="1" applyBorder="1" applyAlignment="1" applyProtection="1">
      <alignment horizontal="center" vertical="center" shrinkToFit="1"/>
      <protection locked="0"/>
    </xf>
    <xf numFmtId="49" fontId="29" fillId="0" borderId="37" xfId="0" applyNumberFormat="1" applyFont="1" applyBorder="1" applyAlignment="1" applyProtection="1">
      <alignment horizontal="center" vertical="center" shrinkToFit="1"/>
      <protection locked="0"/>
    </xf>
    <xf numFmtId="49" fontId="29" fillId="0" borderId="288" xfId="0" applyNumberFormat="1" applyFont="1" applyBorder="1" applyAlignment="1" applyProtection="1">
      <alignment horizontal="center" vertical="center" shrinkToFit="1"/>
      <protection locked="0"/>
    </xf>
    <xf numFmtId="49" fontId="29" fillId="0" borderId="289" xfId="0" applyNumberFormat="1" applyFont="1" applyBorder="1" applyAlignment="1" applyProtection="1">
      <alignment horizontal="center" vertical="center" shrinkToFit="1"/>
      <protection locked="0"/>
    </xf>
    <xf numFmtId="49" fontId="29" fillId="0" borderId="349" xfId="0" applyNumberFormat="1" applyFont="1" applyBorder="1" applyAlignment="1" applyProtection="1">
      <alignment horizontal="center" vertical="center" shrinkToFit="1"/>
      <protection locked="0"/>
    </xf>
    <xf numFmtId="0" fontId="48" fillId="0" borderId="0" xfId="0" applyFont="1" applyProtection="1">
      <alignment vertical="center"/>
      <protection hidden="1"/>
    </xf>
    <xf numFmtId="49" fontId="29" fillId="23" borderId="317" xfId="0" applyNumberFormat="1" applyFont="1" applyFill="1" applyBorder="1" applyAlignment="1" applyProtection="1">
      <alignment horizontal="center" vertical="center" shrinkToFit="1"/>
      <protection locked="0"/>
    </xf>
    <xf numFmtId="49" fontId="29" fillId="23" borderId="235" xfId="0" applyNumberFormat="1" applyFont="1" applyFill="1" applyBorder="1" applyAlignment="1" applyProtection="1">
      <alignment horizontal="center" vertical="center" shrinkToFit="1"/>
      <protection locked="0"/>
    </xf>
    <xf numFmtId="0" fontId="29" fillId="23" borderId="38" xfId="0" applyFont="1" applyFill="1" applyBorder="1" applyAlignment="1" applyProtection="1">
      <alignment horizontal="center" vertical="center" shrinkToFit="1"/>
      <protection locked="0"/>
    </xf>
    <xf numFmtId="0" fontId="29" fillId="23" borderId="1" xfId="0" applyFont="1" applyFill="1" applyBorder="1" applyAlignment="1" applyProtection="1">
      <alignment horizontal="center" vertical="center" shrinkToFit="1"/>
      <protection locked="0"/>
    </xf>
    <xf numFmtId="0" fontId="29" fillId="23" borderId="25" xfId="0" applyFont="1" applyFill="1" applyBorder="1" applyAlignment="1" applyProtection="1">
      <alignment horizontal="center" vertical="center" shrinkToFit="1"/>
      <protection locked="0"/>
    </xf>
    <xf numFmtId="0" fontId="29" fillId="23" borderId="36" xfId="0" applyFont="1" applyFill="1" applyBorder="1" applyAlignment="1" applyProtection="1">
      <alignment horizontal="center" vertical="center" shrinkToFit="1"/>
      <protection locked="0"/>
    </xf>
    <xf numFmtId="0" fontId="29" fillId="23" borderId="9" xfId="0" applyFont="1" applyFill="1" applyBorder="1" applyAlignment="1" applyProtection="1">
      <alignment horizontal="center" vertical="center" shrinkToFit="1"/>
      <protection locked="0"/>
    </xf>
    <xf numFmtId="0" fontId="29" fillId="23" borderId="29" xfId="0" applyFont="1" applyFill="1" applyBorder="1" applyAlignment="1" applyProtection="1">
      <alignment horizontal="center" vertical="center" shrinkToFit="1"/>
      <protection locked="0"/>
    </xf>
    <xf numFmtId="0" fontId="29" fillId="0" borderId="235" xfId="0" applyFont="1" applyBorder="1" applyAlignment="1" applyProtection="1">
      <alignment horizontal="center" vertical="center" shrinkToFit="1"/>
      <protection locked="0"/>
    </xf>
    <xf numFmtId="0" fontId="29" fillId="0" borderId="236" xfId="0" applyFont="1" applyBorder="1" applyAlignment="1" applyProtection="1">
      <alignment horizontal="center" vertical="center" shrinkToFit="1"/>
      <protection locked="0"/>
    </xf>
    <xf numFmtId="0" fontId="0" fillId="23" borderId="248" xfId="0" applyFill="1" applyBorder="1" applyAlignment="1" applyProtection="1">
      <alignment vertical="center" shrinkToFit="1"/>
      <protection locked="0"/>
    </xf>
    <xf numFmtId="0" fontId="0" fillId="23" borderId="249" xfId="0" applyFill="1" applyBorder="1" applyAlignment="1" applyProtection="1">
      <alignment vertical="center" shrinkToFit="1"/>
      <protection locked="0"/>
    </xf>
    <xf numFmtId="0" fontId="0" fillId="23" borderId="250" xfId="0" applyFill="1" applyBorder="1" applyAlignment="1" applyProtection="1">
      <alignment vertical="center" shrinkToFit="1"/>
      <protection locked="0"/>
    </xf>
    <xf numFmtId="49" fontId="29" fillId="0" borderId="297" xfId="0" applyNumberFormat="1" applyFont="1" applyBorder="1" applyAlignment="1" applyProtection="1">
      <alignment horizontal="center" vertical="center" shrinkToFit="1"/>
      <protection locked="0"/>
    </xf>
    <xf numFmtId="49" fontId="29" fillId="0" borderId="9" xfId="0" applyNumberFormat="1" applyFont="1" applyBorder="1" applyAlignment="1" applyProtection="1">
      <alignment horizontal="center" vertical="center" shrinkToFit="1"/>
      <protection locked="0"/>
    </xf>
    <xf numFmtId="49" fontId="29" fillId="0" borderId="33" xfId="0" applyNumberFormat="1" applyFont="1" applyBorder="1" applyAlignment="1" applyProtection="1">
      <alignment horizontal="center" vertical="center" shrinkToFit="1"/>
      <protection locked="0"/>
    </xf>
    <xf numFmtId="0" fontId="18" fillId="0" borderId="235" xfId="1" applyNumberFormat="1" applyBorder="1" applyAlignment="1" applyProtection="1">
      <alignment horizontal="center" vertical="center" shrinkToFit="1"/>
      <protection locked="0"/>
    </xf>
    <xf numFmtId="0" fontId="75" fillId="4" borderId="28" xfId="0" applyFont="1" applyFill="1" applyBorder="1" applyAlignment="1" applyProtection="1">
      <alignment horizontal="center" vertical="center" shrinkToFit="1"/>
      <protection hidden="1"/>
    </xf>
    <xf numFmtId="0" fontId="75" fillId="2" borderId="251" xfId="0" applyFont="1" applyFill="1" applyBorder="1" applyAlignment="1" applyProtection="1">
      <alignment vertical="center" shrinkToFit="1"/>
      <protection locked="0"/>
    </xf>
    <xf numFmtId="184" fontId="0" fillId="23" borderId="16" xfId="0" applyNumberFormat="1" applyFill="1" applyBorder="1" applyAlignment="1" applyProtection="1">
      <alignment vertical="center" shrinkToFit="1"/>
      <protection locked="0"/>
    </xf>
    <xf numFmtId="184" fontId="0" fillId="23" borderId="0" xfId="0" applyNumberFormat="1" applyFill="1" applyAlignment="1" applyProtection="1">
      <alignment vertical="center" shrinkToFit="1"/>
      <protection locked="0"/>
    </xf>
    <xf numFmtId="184" fontId="0" fillId="23" borderId="3" xfId="0" applyNumberFormat="1" applyFill="1" applyBorder="1" applyAlignment="1" applyProtection="1">
      <alignment vertical="center" shrinkToFit="1"/>
      <protection locked="0"/>
    </xf>
    <xf numFmtId="0" fontId="133" fillId="4" borderId="16" xfId="0" applyFont="1" applyFill="1" applyBorder="1" applyAlignment="1" applyProtection="1">
      <alignment horizontal="center" vertical="center" shrinkToFit="1"/>
      <protection hidden="1"/>
    </xf>
    <xf numFmtId="0" fontId="18" fillId="23" borderId="16" xfId="1" applyFill="1" applyBorder="1" applyAlignment="1" applyProtection="1">
      <alignment vertical="center" shrinkToFit="1"/>
      <protection locked="0"/>
    </xf>
    <xf numFmtId="0" fontId="18" fillId="23" borderId="0" xfId="1" applyFill="1" applyBorder="1" applyAlignment="1" applyProtection="1">
      <alignment vertical="center" shrinkToFit="1"/>
      <protection locked="0"/>
    </xf>
    <xf numFmtId="0" fontId="18" fillId="23" borderId="308" xfId="1" applyFill="1" applyBorder="1" applyAlignment="1" applyProtection="1">
      <alignment vertical="center" shrinkToFit="1"/>
      <protection locked="0"/>
    </xf>
    <xf numFmtId="0" fontId="31" fillId="11" borderId="360" xfId="8" applyFont="1" applyFill="1" applyBorder="1" applyAlignment="1" applyProtection="1">
      <alignment horizontal="center" vertical="center" wrapText="1" shrinkToFit="1"/>
      <protection hidden="1"/>
    </xf>
    <xf numFmtId="0" fontId="31" fillId="11" borderId="361" xfId="8" applyFont="1" applyFill="1" applyBorder="1" applyAlignment="1" applyProtection="1">
      <alignment horizontal="center" vertical="center" wrapText="1" shrinkToFit="1"/>
      <protection hidden="1"/>
    </xf>
    <xf numFmtId="0" fontId="31" fillId="11" borderId="362" xfId="8" applyFont="1" applyFill="1" applyBorder="1" applyAlignment="1" applyProtection="1">
      <alignment horizontal="center" vertical="center" wrapText="1" shrinkToFit="1"/>
      <protection hidden="1"/>
    </xf>
    <xf numFmtId="0" fontId="31" fillId="11" borderId="364" xfId="8" applyFont="1" applyFill="1" applyBorder="1" applyAlignment="1" applyProtection="1">
      <alignment horizontal="center" vertical="center" wrapText="1" shrinkToFit="1"/>
      <protection hidden="1"/>
    </xf>
    <xf numFmtId="0" fontId="31" fillId="11" borderId="188" xfId="8" applyFont="1" applyFill="1" applyBorder="1" applyAlignment="1" applyProtection="1">
      <alignment horizontal="center" vertical="center" wrapText="1" shrinkToFit="1"/>
      <protection hidden="1"/>
    </xf>
    <xf numFmtId="0" fontId="31" fillId="11" borderId="105" xfId="8" applyFont="1" applyFill="1" applyBorder="1" applyAlignment="1" applyProtection="1">
      <alignment horizontal="center" vertical="center" wrapText="1" shrinkToFit="1"/>
      <protection hidden="1"/>
    </xf>
    <xf numFmtId="0" fontId="31" fillId="11" borderId="365" xfId="8" applyFont="1" applyFill="1" applyBorder="1" applyAlignment="1" applyProtection="1">
      <alignment horizontal="center" vertical="center" wrapText="1" shrinkToFit="1"/>
      <protection hidden="1"/>
    </xf>
    <xf numFmtId="0" fontId="31" fillId="11" borderId="366" xfId="8" applyFont="1" applyFill="1" applyBorder="1" applyAlignment="1" applyProtection="1">
      <alignment horizontal="center" vertical="center" wrapText="1" shrinkToFit="1"/>
      <protection hidden="1"/>
    </xf>
    <xf numFmtId="0" fontId="31" fillId="11" borderId="367" xfId="8" applyFont="1" applyFill="1" applyBorder="1" applyAlignment="1" applyProtection="1">
      <alignment horizontal="center" vertical="center" wrapText="1" shrinkToFit="1"/>
      <protection hidden="1"/>
    </xf>
    <xf numFmtId="0" fontId="18" fillId="2" borderId="363" xfId="1" applyFill="1" applyBorder="1" applyAlignment="1" applyProtection="1">
      <alignment horizontal="center" vertical="center" wrapText="1" shrinkToFit="1"/>
      <protection locked="0"/>
    </xf>
    <xf numFmtId="0" fontId="18" fillId="2" borderId="351" xfId="1" applyFill="1" applyBorder="1" applyAlignment="1" applyProtection="1">
      <alignment horizontal="center" vertical="center" wrapText="1" shrinkToFit="1"/>
      <protection locked="0"/>
    </xf>
    <xf numFmtId="0" fontId="18" fillId="2" borderId="353" xfId="1" applyFill="1" applyBorder="1" applyAlignment="1" applyProtection="1">
      <alignment horizontal="center" vertical="center" wrapText="1" shrinkToFit="1"/>
      <protection locked="0"/>
    </xf>
    <xf numFmtId="0" fontId="18" fillId="2" borderId="104" xfId="1" applyFill="1" applyBorder="1" applyAlignment="1" applyProtection="1">
      <alignment horizontal="center" vertical="center" wrapText="1" shrinkToFit="1"/>
      <protection locked="0"/>
    </xf>
    <xf numFmtId="0" fontId="18" fillId="2" borderId="48" xfId="1" applyFill="1" applyBorder="1" applyAlignment="1" applyProtection="1">
      <alignment horizontal="center" vertical="center" wrapText="1" shrinkToFit="1"/>
      <protection locked="0"/>
    </xf>
    <xf numFmtId="0" fontId="18" fillId="2" borderId="355" xfId="1" applyFill="1" applyBorder="1" applyAlignment="1" applyProtection="1">
      <alignment horizontal="center" vertical="center" wrapText="1" shrinkToFit="1"/>
      <protection locked="0"/>
    </xf>
    <xf numFmtId="0" fontId="18" fillId="2" borderId="368" xfId="1" applyFill="1" applyBorder="1" applyAlignment="1" applyProtection="1">
      <alignment horizontal="center" vertical="center" wrapText="1" shrinkToFit="1"/>
      <protection locked="0"/>
    </xf>
    <xf numFmtId="0" fontId="18" fillId="2" borderId="356" xfId="1" applyFill="1" applyBorder="1" applyAlignment="1" applyProtection="1">
      <alignment horizontal="center" vertical="center" wrapText="1" shrinkToFit="1"/>
      <protection locked="0"/>
    </xf>
    <xf numFmtId="0" fontId="18" fillId="2" borderId="357" xfId="1" applyFill="1" applyBorder="1" applyAlignment="1" applyProtection="1">
      <alignment horizontal="center" vertical="center" wrapText="1" shrinkToFit="1"/>
      <protection locked="0"/>
    </xf>
    <xf numFmtId="0" fontId="44" fillId="20" borderId="404" xfId="8" applyFont="1" applyFill="1" applyBorder="1" applyAlignment="1" applyProtection="1">
      <alignment vertical="center" wrapText="1"/>
      <protection hidden="1"/>
    </xf>
    <xf numFmtId="0" fontId="69" fillId="20" borderId="96" xfId="8" applyFont="1" applyFill="1" applyBorder="1" applyAlignment="1" applyProtection="1">
      <alignment vertical="center" wrapText="1"/>
      <protection hidden="1"/>
    </xf>
    <xf numFmtId="0" fontId="69" fillId="20" borderId="405" xfId="8" applyFont="1" applyFill="1" applyBorder="1" applyAlignment="1" applyProtection="1">
      <alignment vertical="center" wrapText="1"/>
      <protection hidden="1"/>
    </xf>
    <xf numFmtId="0" fontId="69" fillId="20" borderId="305" xfId="8" applyFont="1" applyFill="1" applyBorder="1" applyAlignment="1" applyProtection="1">
      <alignment vertical="center" wrapText="1"/>
      <protection hidden="1"/>
    </xf>
    <xf numFmtId="0" fontId="69" fillId="20" borderId="0" xfId="8" applyFont="1" applyFill="1" applyAlignment="1" applyProtection="1">
      <alignment vertical="center" wrapText="1"/>
      <protection hidden="1"/>
    </xf>
    <xf numFmtId="0" fontId="69" fillId="20" borderId="39" xfId="8" applyFont="1" applyFill="1" applyBorder="1" applyAlignment="1" applyProtection="1">
      <alignment vertical="center" wrapText="1"/>
      <protection hidden="1"/>
    </xf>
    <xf numFmtId="0" fontId="69" fillId="20" borderId="406" xfId="8" applyFont="1" applyFill="1" applyBorder="1" applyAlignment="1" applyProtection="1">
      <alignment vertical="center" wrapText="1"/>
      <protection hidden="1"/>
    </xf>
    <xf numFmtId="0" fontId="69" fillId="20" borderId="53" xfId="8" applyFont="1" applyFill="1" applyBorder="1" applyAlignment="1" applyProtection="1">
      <alignment vertical="center" wrapText="1"/>
      <protection hidden="1"/>
    </xf>
    <xf numFmtId="0" fontId="69" fillId="20" borderId="54" xfId="8" applyFont="1" applyFill="1" applyBorder="1" applyAlignment="1" applyProtection="1">
      <alignment vertical="center" wrapText="1"/>
      <protection hidden="1"/>
    </xf>
    <xf numFmtId="0" fontId="31" fillId="11" borderId="350" xfId="8" applyFont="1" applyFill="1" applyBorder="1" applyAlignment="1" applyProtection="1">
      <alignment horizontal="center" vertical="center" wrapText="1" shrinkToFit="1"/>
      <protection hidden="1"/>
    </xf>
    <xf numFmtId="0" fontId="31" fillId="11" borderId="351" xfId="8" applyFont="1" applyFill="1" applyBorder="1" applyAlignment="1" applyProtection="1">
      <alignment horizontal="center" vertical="center" wrapText="1" shrinkToFit="1"/>
      <protection hidden="1"/>
    </xf>
    <xf numFmtId="0" fontId="31" fillId="11" borderId="352" xfId="8" applyFont="1" applyFill="1" applyBorder="1" applyAlignment="1" applyProtection="1">
      <alignment horizontal="center" vertical="center" wrapText="1" shrinkToFit="1"/>
      <protection hidden="1"/>
    </xf>
    <xf numFmtId="0" fontId="31" fillId="11" borderId="354" xfId="8" applyFont="1" applyFill="1" applyBorder="1" applyAlignment="1" applyProtection="1">
      <alignment horizontal="center" vertical="center" wrapText="1" shrinkToFit="1"/>
      <protection hidden="1"/>
    </xf>
    <xf numFmtId="0" fontId="31" fillId="11" borderId="48" xfId="8" applyFont="1" applyFill="1" applyBorder="1" applyAlignment="1" applyProtection="1">
      <alignment horizontal="center" vertical="center" wrapText="1" shrinkToFit="1"/>
      <protection hidden="1"/>
    </xf>
    <xf numFmtId="0" fontId="31" fillId="11" borderId="139" xfId="8" applyFont="1" applyFill="1" applyBorder="1" applyAlignment="1" applyProtection="1">
      <alignment horizontal="center" vertical="center" wrapText="1" shrinkToFit="1"/>
      <protection hidden="1"/>
    </xf>
    <xf numFmtId="0" fontId="31" fillId="11" borderId="776" xfId="8" applyFont="1" applyFill="1" applyBorder="1" applyAlignment="1" applyProtection="1">
      <alignment horizontal="center" vertical="center" wrapText="1" shrinkToFit="1"/>
      <protection hidden="1"/>
    </xf>
    <xf numFmtId="0" fontId="31" fillId="11" borderId="356" xfId="8" applyFont="1" applyFill="1" applyBorder="1" applyAlignment="1" applyProtection="1">
      <alignment horizontal="center" vertical="center" wrapText="1" shrinkToFit="1"/>
      <protection hidden="1"/>
    </xf>
    <xf numFmtId="0" fontId="31" fillId="11" borderId="777" xfId="8" applyFont="1" applyFill="1" applyBorder="1" applyAlignment="1" applyProtection="1">
      <alignment horizontal="center" vertical="center" wrapText="1" shrinkToFit="1"/>
      <protection hidden="1"/>
    </xf>
    <xf numFmtId="0" fontId="99" fillId="2" borderId="363" xfId="1" applyFont="1" applyFill="1" applyBorder="1" applyAlignment="1" applyProtection="1">
      <alignment horizontal="center" vertical="center" shrinkToFit="1"/>
      <protection locked="0"/>
    </xf>
    <xf numFmtId="0" fontId="99" fillId="2" borderId="351" xfId="1" applyFont="1" applyFill="1" applyBorder="1" applyAlignment="1" applyProtection="1">
      <alignment horizontal="center" vertical="center" shrinkToFit="1"/>
      <protection locked="0"/>
    </xf>
    <xf numFmtId="0" fontId="99" fillId="2" borderId="353" xfId="1" applyFont="1" applyFill="1" applyBorder="1" applyAlignment="1" applyProtection="1">
      <alignment horizontal="center" vertical="center" shrinkToFit="1"/>
      <protection locked="0"/>
    </xf>
    <xf numFmtId="0" fontId="99" fillId="2" borderId="104" xfId="1" applyFont="1" applyFill="1" applyBorder="1" applyAlignment="1" applyProtection="1">
      <alignment horizontal="center" vertical="center" shrinkToFit="1"/>
      <protection locked="0"/>
    </xf>
    <xf numFmtId="0" fontId="99" fillId="2" borderId="48" xfId="1" applyFont="1" applyFill="1" applyBorder="1" applyAlignment="1" applyProtection="1">
      <alignment horizontal="center" vertical="center" shrinkToFit="1"/>
      <protection locked="0"/>
    </xf>
    <xf numFmtId="0" fontId="99" fillId="2" borderId="355" xfId="1" applyFont="1" applyFill="1" applyBorder="1" applyAlignment="1" applyProtection="1">
      <alignment horizontal="center" vertical="center" shrinkToFit="1"/>
      <protection locked="0"/>
    </xf>
    <xf numFmtId="0" fontId="99" fillId="2" borderId="368" xfId="1" applyFont="1" applyFill="1" applyBorder="1" applyAlignment="1" applyProtection="1">
      <alignment horizontal="center" vertical="center" shrinkToFit="1"/>
      <protection locked="0"/>
    </xf>
    <xf numFmtId="0" fontId="99" fillId="2" borderId="356" xfId="1" applyFont="1" applyFill="1" applyBorder="1" applyAlignment="1" applyProtection="1">
      <alignment horizontal="center" vertical="center" shrinkToFit="1"/>
      <protection locked="0"/>
    </xf>
    <xf numFmtId="0" fontId="99" fillId="2" borderId="357" xfId="1" applyFont="1" applyFill="1" applyBorder="1" applyAlignment="1" applyProtection="1">
      <alignment horizontal="center" vertical="center" shrinkToFit="1"/>
      <protection locked="0"/>
    </xf>
    <xf numFmtId="0" fontId="18" fillId="20" borderId="406" xfId="1" applyFill="1" applyBorder="1" applyAlignment="1" applyProtection="1">
      <alignment vertical="center" wrapText="1" shrinkToFit="1"/>
    </xf>
    <xf numFmtId="0" fontId="100" fillId="20" borderId="53" xfId="1" applyFont="1" applyFill="1" applyBorder="1" applyAlignment="1" applyProtection="1">
      <alignment vertical="center" wrapText="1" shrinkToFit="1"/>
    </xf>
    <xf numFmtId="0" fontId="100" fillId="20" borderId="48" xfId="1" applyFont="1" applyFill="1" applyBorder="1" applyAlignment="1" applyProtection="1">
      <alignment vertical="center" wrapText="1" shrinkToFit="1"/>
    </xf>
    <xf numFmtId="0" fontId="100" fillId="20" borderId="148" xfId="1" applyFont="1" applyFill="1" applyBorder="1" applyAlignment="1" applyProtection="1">
      <alignment vertical="center" wrapText="1" shrinkToFit="1"/>
    </xf>
    <xf numFmtId="0" fontId="100" fillId="20" borderId="354" xfId="1" applyFont="1" applyFill="1" applyBorder="1" applyAlignment="1" applyProtection="1">
      <alignment vertical="center" wrapText="1" shrinkToFit="1"/>
    </xf>
    <xf numFmtId="0" fontId="100" fillId="20" borderId="575" xfId="1" applyFont="1" applyFill="1" applyBorder="1" applyAlignment="1" applyProtection="1">
      <alignment vertical="center" wrapText="1" shrinkToFit="1"/>
    </xf>
    <xf numFmtId="0" fontId="100" fillId="20" borderId="576" xfId="1" applyFont="1" applyFill="1" applyBorder="1" applyAlignment="1" applyProtection="1">
      <alignment vertical="center" wrapText="1" shrinkToFit="1"/>
    </xf>
    <xf numFmtId="0" fontId="100" fillId="20" borderId="577" xfId="1" applyFont="1" applyFill="1" applyBorder="1" applyAlignment="1" applyProtection="1">
      <alignment vertical="center" wrapText="1" shrinkToFit="1"/>
    </xf>
    <xf numFmtId="0" fontId="29" fillId="0" borderId="319" xfId="0" applyFont="1" applyBorder="1" applyAlignment="1" applyProtection="1">
      <alignment horizontal="center" vertical="center" shrinkToFit="1"/>
      <protection locked="0"/>
    </xf>
    <xf numFmtId="0" fontId="29" fillId="0" borderId="320" xfId="0" applyFont="1" applyBorder="1" applyAlignment="1" applyProtection="1">
      <alignment horizontal="center" vertical="center" shrinkToFit="1"/>
      <protection locked="0"/>
    </xf>
    <xf numFmtId="0" fontId="97" fillId="8" borderId="0" xfId="8" applyFont="1" applyFill="1" applyAlignment="1" applyProtection="1">
      <alignment horizontal="left" vertical="center"/>
      <protection hidden="1"/>
    </xf>
    <xf numFmtId="0" fontId="98" fillId="8" borderId="0" xfId="8" applyFont="1" applyFill="1" applyAlignment="1" applyProtection="1">
      <alignment wrapText="1"/>
      <protection hidden="1"/>
    </xf>
    <xf numFmtId="0" fontId="40" fillId="9" borderId="70" xfId="8" applyFont="1" applyFill="1" applyBorder="1" applyAlignment="1" applyProtection="1">
      <alignment horizontal="left" vertical="center" shrinkToFit="1"/>
      <protection hidden="1"/>
    </xf>
    <xf numFmtId="0" fontId="40" fillId="9" borderId="51" xfId="8" applyFont="1" applyFill="1" applyBorder="1" applyAlignment="1" applyProtection="1">
      <alignment horizontal="left" vertical="center" shrinkToFit="1"/>
      <protection hidden="1"/>
    </xf>
    <xf numFmtId="0" fontId="40" fillId="9" borderId="52" xfId="8" applyFont="1" applyFill="1" applyBorder="1" applyAlignment="1" applyProtection="1">
      <alignment horizontal="left" vertical="center" shrinkToFit="1"/>
      <protection hidden="1"/>
    </xf>
    <xf numFmtId="0" fontId="40" fillId="9" borderId="47" xfId="8" applyFont="1" applyFill="1" applyBorder="1" applyAlignment="1" applyProtection="1">
      <alignment horizontal="left" vertical="center" shrinkToFit="1"/>
      <protection hidden="1"/>
    </xf>
    <xf numFmtId="0" fontId="40" fillId="9" borderId="0" xfId="8" applyFont="1" applyFill="1" applyAlignment="1" applyProtection="1">
      <alignment horizontal="left" vertical="center" shrinkToFit="1"/>
      <protection hidden="1"/>
    </xf>
    <xf numFmtId="0" fontId="40" fillId="9" borderId="50" xfId="8" applyFont="1" applyFill="1" applyBorder="1" applyAlignment="1" applyProtection="1">
      <alignment horizontal="left" vertical="center" shrinkToFit="1"/>
      <protection hidden="1"/>
    </xf>
    <xf numFmtId="0" fontId="40" fillId="9" borderId="58" xfId="8" applyFont="1" applyFill="1" applyBorder="1" applyAlignment="1" applyProtection="1">
      <alignment horizontal="left" vertical="center" shrinkToFit="1"/>
      <protection hidden="1"/>
    </xf>
    <xf numFmtId="0" fontId="31" fillId="11" borderId="358" xfId="8" applyFont="1" applyFill="1" applyBorder="1" applyAlignment="1" applyProtection="1">
      <alignment horizontal="center" vertical="center" wrapText="1" shrinkToFit="1"/>
      <protection hidden="1"/>
    </xf>
    <xf numFmtId="0" fontId="31" fillId="11" borderId="46" xfId="8" applyFont="1" applyFill="1" applyBorder="1" applyAlignment="1" applyProtection="1">
      <alignment horizontal="center" vertical="center" wrapText="1" shrinkToFit="1"/>
      <protection hidden="1"/>
    </xf>
    <xf numFmtId="0" fontId="31" fillId="11" borderId="193" xfId="8" applyFont="1" applyFill="1" applyBorder="1" applyAlignment="1" applyProtection="1">
      <alignment horizontal="center" vertical="center" wrapText="1" shrinkToFit="1"/>
      <protection hidden="1"/>
    </xf>
    <xf numFmtId="0" fontId="42" fillId="2" borderId="351" xfId="8" applyFont="1" applyFill="1" applyBorder="1" applyAlignment="1" applyProtection="1">
      <alignment horizontal="center" vertical="center" wrapText="1"/>
      <protection locked="0" hidden="1"/>
    </xf>
    <xf numFmtId="0" fontId="42" fillId="2" borderId="353" xfId="8" applyFont="1" applyFill="1" applyBorder="1" applyAlignment="1" applyProtection="1">
      <alignment horizontal="center" vertical="center" wrapText="1"/>
      <protection locked="0" hidden="1"/>
    </xf>
    <xf numFmtId="0" fontId="42" fillId="2" borderId="48" xfId="8" applyFont="1" applyFill="1" applyBorder="1" applyAlignment="1" applyProtection="1">
      <alignment horizontal="center" vertical="center" wrapText="1"/>
      <protection locked="0" hidden="1"/>
    </xf>
    <xf numFmtId="0" fontId="42" fillId="2" borderId="355" xfId="8" applyFont="1" applyFill="1" applyBorder="1" applyAlignment="1" applyProtection="1">
      <alignment horizontal="center" vertical="center" wrapText="1"/>
      <protection locked="0" hidden="1"/>
    </xf>
    <xf numFmtId="0" fontId="42" fillId="2" borderId="46" xfId="8" applyFont="1" applyFill="1" applyBorder="1" applyAlignment="1" applyProtection="1">
      <alignment horizontal="center" vertical="center" wrapText="1"/>
      <protection locked="0" hidden="1"/>
    </xf>
    <xf numFmtId="0" fontId="42" fillId="2" borderId="359" xfId="8" applyFont="1" applyFill="1" applyBorder="1" applyAlignment="1" applyProtection="1">
      <alignment horizontal="center" vertical="center" wrapText="1"/>
      <protection locked="0" hidden="1"/>
    </xf>
    <xf numFmtId="0" fontId="72" fillId="20" borderId="403" xfId="8" applyFont="1" applyFill="1" applyBorder="1" applyAlignment="1" applyProtection="1">
      <alignment vertical="center" wrapText="1"/>
      <protection hidden="1"/>
    </xf>
    <xf numFmtId="0" fontId="72" fillId="20" borderId="51" xfId="8" applyFont="1" applyFill="1" applyBorder="1" applyAlignment="1" applyProtection="1">
      <alignment vertical="center" wrapText="1"/>
      <protection hidden="1"/>
    </xf>
    <xf numFmtId="0" fontId="72" fillId="20" borderId="52" xfId="8" applyFont="1" applyFill="1" applyBorder="1" applyAlignment="1" applyProtection="1">
      <alignment vertical="center" wrapText="1"/>
      <protection hidden="1"/>
    </xf>
    <xf numFmtId="0" fontId="72" fillId="20" borderId="305" xfId="8" applyFont="1" applyFill="1" applyBorder="1" applyAlignment="1" applyProtection="1">
      <alignment vertical="center" wrapText="1"/>
      <protection hidden="1"/>
    </xf>
    <xf numFmtId="0" fontId="72" fillId="20" borderId="0" xfId="8" applyFont="1" applyFill="1" applyAlignment="1" applyProtection="1">
      <alignment vertical="center" wrapText="1"/>
      <protection hidden="1"/>
    </xf>
    <xf numFmtId="0" fontId="72" fillId="20" borderId="39" xfId="8" applyFont="1" applyFill="1" applyBorder="1" applyAlignment="1" applyProtection="1">
      <alignment vertical="center" wrapText="1"/>
      <protection hidden="1"/>
    </xf>
    <xf numFmtId="0" fontId="40" fillId="56" borderId="70" xfId="8" applyFont="1" applyFill="1" applyBorder="1" applyAlignment="1" applyProtection="1">
      <alignment horizontal="left" vertical="center" shrinkToFit="1"/>
      <protection hidden="1"/>
    </xf>
    <xf numFmtId="0" fontId="40" fillId="56" borderId="51" xfId="8" applyFont="1" applyFill="1" applyBorder="1" applyAlignment="1" applyProtection="1">
      <alignment horizontal="left" vertical="center" shrinkToFit="1"/>
      <protection hidden="1"/>
    </xf>
    <xf numFmtId="0" fontId="40" fillId="56" borderId="52" xfId="8" applyFont="1" applyFill="1" applyBorder="1" applyAlignment="1" applyProtection="1">
      <alignment horizontal="left" vertical="center" shrinkToFit="1"/>
      <protection hidden="1"/>
    </xf>
    <xf numFmtId="0" fontId="40" fillId="56" borderId="47" xfId="8" applyFont="1" applyFill="1" applyBorder="1" applyAlignment="1" applyProtection="1">
      <alignment horizontal="left" vertical="center" shrinkToFit="1"/>
      <protection hidden="1"/>
    </xf>
    <xf numFmtId="0" fontId="40" fillId="56" borderId="0" xfId="8" applyFont="1" applyFill="1" applyAlignment="1" applyProtection="1">
      <alignment horizontal="left" vertical="center" shrinkToFit="1"/>
      <protection hidden="1"/>
    </xf>
    <xf numFmtId="0" fontId="40" fillId="56" borderId="39" xfId="8" applyFont="1" applyFill="1" applyBorder="1" applyAlignment="1" applyProtection="1">
      <alignment horizontal="left" vertical="center" shrinkToFit="1"/>
      <protection hidden="1"/>
    </xf>
    <xf numFmtId="0" fontId="31" fillId="11" borderId="369" xfId="8" applyFont="1" applyFill="1" applyBorder="1" applyAlignment="1" applyProtection="1">
      <alignment horizontal="center" vertical="center" wrapText="1" shrinkToFit="1"/>
      <protection hidden="1"/>
    </xf>
    <xf numFmtId="0" fontId="31" fillId="11" borderId="370" xfId="8" applyFont="1" applyFill="1" applyBorder="1" applyAlignment="1" applyProtection="1">
      <alignment horizontal="center" vertical="center" wrapText="1" shrinkToFit="1"/>
      <protection hidden="1"/>
    </xf>
    <xf numFmtId="0" fontId="31" fillId="11" borderId="373" xfId="8" applyFont="1" applyFill="1" applyBorder="1" applyAlignment="1" applyProtection="1">
      <alignment horizontal="center" vertical="center" wrapText="1" shrinkToFit="1"/>
      <protection hidden="1"/>
    </xf>
    <xf numFmtId="0" fontId="31" fillId="11" borderId="103" xfId="8" applyFont="1" applyFill="1" applyBorder="1" applyAlignment="1" applyProtection="1">
      <alignment horizontal="center" vertical="center" wrapText="1" shrinkToFit="1"/>
      <protection hidden="1"/>
    </xf>
    <xf numFmtId="0" fontId="28" fillId="2" borderId="363" xfId="8" applyFont="1" applyFill="1" applyBorder="1" applyAlignment="1" applyProtection="1">
      <alignment horizontal="center" vertical="center" shrinkToFit="1"/>
      <protection locked="0"/>
    </xf>
    <xf numFmtId="0" fontId="28" fillId="2" borderId="351" xfId="8" applyFont="1" applyFill="1" applyBorder="1" applyAlignment="1" applyProtection="1">
      <alignment horizontal="center" vertical="center" shrinkToFit="1"/>
      <protection locked="0"/>
    </xf>
    <xf numFmtId="0" fontId="28" fillId="2" borderId="352" xfId="8" applyFont="1" applyFill="1" applyBorder="1" applyAlignment="1" applyProtection="1">
      <alignment horizontal="center" vertical="center" shrinkToFit="1"/>
      <protection locked="0"/>
    </xf>
    <xf numFmtId="0" fontId="28" fillId="2" borderId="104" xfId="8" applyFont="1" applyFill="1" applyBorder="1" applyAlignment="1" applyProtection="1">
      <alignment horizontal="center" vertical="center" shrinkToFit="1"/>
      <protection locked="0"/>
    </xf>
    <xf numFmtId="0" fontId="28" fillId="2" borderId="48" xfId="8" applyFont="1" applyFill="1" applyBorder="1" applyAlignment="1" applyProtection="1">
      <alignment horizontal="center" vertical="center" shrinkToFit="1"/>
      <protection locked="0"/>
    </xf>
    <xf numFmtId="0" fontId="28" fillId="2" borderId="139" xfId="8" applyFont="1" applyFill="1" applyBorder="1" applyAlignment="1" applyProtection="1">
      <alignment horizontal="center" vertical="center" shrinkToFit="1"/>
      <protection locked="0"/>
    </xf>
    <xf numFmtId="0" fontId="31" fillId="11" borderId="372" xfId="8" applyFont="1" applyFill="1" applyBorder="1" applyAlignment="1" applyProtection="1">
      <alignment horizontal="center" vertical="center" wrapText="1" shrinkToFit="1"/>
      <protection hidden="1"/>
    </xf>
    <xf numFmtId="0" fontId="31" fillId="11" borderId="189" xfId="8" applyFont="1" applyFill="1" applyBorder="1" applyAlignment="1" applyProtection="1">
      <alignment horizontal="center" vertical="center" wrapText="1" shrinkToFit="1"/>
      <protection hidden="1"/>
    </xf>
    <xf numFmtId="38" fontId="28" fillId="2" borderId="363" xfId="9" applyFont="1" applyFill="1" applyBorder="1" applyAlignment="1" applyProtection="1">
      <alignment horizontal="center" vertical="center" shrinkToFit="1"/>
      <protection locked="0"/>
    </xf>
    <xf numFmtId="38" fontId="28" fillId="2" borderId="351" xfId="9" applyFont="1" applyFill="1" applyBorder="1" applyAlignment="1" applyProtection="1">
      <alignment horizontal="center" vertical="center" shrinkToFit="1"/>
      <protection locked="0"/>
    </xf>
    <xf numFmtId="38" fontId="28" fillId="2" borderId="380" xfId="9" applyFont="1" applyFill="1" applyBorder="1" applyAlignment="1" applyProtection="1">
      <alignment horizontal="center" vertical="center" shrinkToFit="1"/>
      <protection locked="0"/>
    </xf>
    <xf numFmtId="38" fontId="28" fillId="2" borderId="104" xfId="9" applyFont="1" applyFill="1" applyBorder="1" applyAlignment="1" applyProtection="1">
      <alignment horizontal="center" vertical="center" shrinkToFit="1"/>
      <protection locked="0"/>
    </xf>
    <xf numFmtId="38" fontId="28" fillId="2" borderId="48" xfId="9" applyFont="1" applyFill="1" applyBorder="1" applyAlignment="1" applyProtection="1">
      <alignment horizontal="center" vertical="center" shrinkToFit="1"/>
      <protection locked="0"/>
    </xf>
    <xf numFmtId="38" fontId="28" fillId="2" borderId="196" xfId="9" applyFont="1" applyFill="1" applyBorder="1" applyAlignment="1" applyProtection="1">
      <alignment horizontal="center" vertical="center" shrinkToFit="1"/>
      <protection locked="0"/>
    </xf>
    <xf numFmtId="38" fontId="28" fillId="2" borderId="650" xfId="9" applyFont="1" applyFill="1" applyBorder="1" applyAlignment="1" applyProtection="1">
      <alignment horizontal="center" vertical="center" shrinkToFit="1"/>
      <protection locked="0"/>
    </xf>
    <xf numFmtId="38" fontId="28" fillId="2" borderId="534" xfId="9" applyFont="1" applyFill="1" applyBorder="1" applyAlignment="1" applyProtection="1">
      <alignment horizontal="center" vertical="center" shrinkToFit="1"/>
      <protection locked="0"/>
    </xf>
    <xf numFmtId="38" fontId="28" fillId="2" borderId="46" xfId="9" applyFont="1" applyFill="1" applyBorder="1" applyAlignment="1" applyProtection="1">
      <alignment horizontal="center" vertical="center" shrinkToFit="1"/>
      <protection locked="0"/>
    </xf>
    <xf numFmtId="38" fontId="28" fillId="2" borderId="62" xfId="9" applyFont="1" applyFill="1" applyBorder="1" applyAlignment="1" applyProtection="1">
      <alignment horizontal="center" vertical="center" shrinkToFit="1"/>
      <protection locked="0"/>
    </xf>
    <xf numFmtId="0" fontId="31" fillId="20" borderId="453" xfId="8" applyFont="1" applyFill="1" applyBorder="1" applyAlignment="1" applyProtection="1">
      <alignment horizontal="center" vertical="center" wrapText="1" shrinkToFit="1"/>
      <protection hidden="1"/>
    </xf>
    <xf numFmtId="0" fontId="31" fillId="20" borderId="96" xfId="8" applyFont="1" applyFill="1" applyBorder="1" applyAlignment="1" applyProtection="1">
      <alignment horizontal="center" vertical="center" wrapText="1" shrinkToFit="1"/>
      <protection hidden="1"/>
    </xf>
    <xf numFmtId="0" fontId="31" fillId="20" borderId="458" xfId="8" applyFont="1" applyFill="1" applyBorder="1" applyAlignment="1" applyProtection="1">
      <alignment horizontal="center" vertical="center" wrapText="1" shrinkToFit="1"/>
      <protection hidden="1"/>
    </xf>
    <xf numFmtId="0" fontId="31" fillId="20" borderId="99" xfId="8" applyFont="1" applyFill="1" applyBorder="1" applyAlignment="1" applyProtection="1">
      <alignment horizontal="center" vertical="center" wrapText="1" shrinkToFit="1"/>
      <protection hidden="1"/>
    </xf>
    <xf numFmtId="0" fontId="31" fillId="20" borderId="0" xfId="8" applyFont="1" applyFill="1" applyAlignment="1" applyProtection="1">
      <alignment horizontal="center" vertical="center" wrapText="1" shrinkToFit="1"/>
      <protection hidden="1"/>
    </xf>
    <xf numFmtId="0" fontId="31" fillId="20" borderId="97" xfId="8" applyFont="1" applyFill="1" applyBorder="1" applyAlignment="1" applyProtection="1">
      <alignment horizontal="center" vertical="center" wrapText="1" shrinkToFit="1"/>
      <protection hidden="1"/>
    </xf>
    <xf numFmtId="0" fontId="31" fillId="20" borderId="454" xfId="8" applyFont="1" applyFill="1" applyBorder="1" applyAlignment="1" applyProtection="1">
      <alignment horizontal="center" vertical="center" wrapText="1" shrinkToFit="1"/>
      <protection hidden="1"/>
    </xf>
    <xf numFmtId="0" fontId="31" fillId="20" borderId="449" xfId="8" applyFont="1" applyFill="1" applyBorder="1" applyAlignment="1" applyProtection="1">
      <alignment horizontal="center" vertical="center" wrapText="1" shrinkToFit="1"/>
      <protection hidden="1"/>
    </xf>
    <xf numFmtId="0" fontId="31" fillId="20" borderId="478" xfId="8" applyFont="1" applyFill="1" applyBorder="1" applyAlignment="1" applyProtection="1">
      <alignment horizontal="center" vertical="center" wrapText="1" shrinkToFit="1"/>
      <protection hidden="1"/>
    </xf>
    <xf numFmtId="0" fontId="37" fillId="54" borderId="453" xfId="8" applyFont="1" applyFill="1" applyBorder="1" applyAlignment="1" applyProtection="1">
      <alignment horizontal="left" vertical="center" wrapText="1" shrinkToFit="1"/>
      <protection hidden="1"/>
    </xf>
    <xf numFmtId="0" fontId="37" fillId="54" borderId="96" xfId="8" applyFont="1" applyFill="1" applyBorder="1" applyAlignment="1" applyProtection="1">
      <alignment horizontal="left" vertical="center" wrapText="1" shrinkToFit="1"/>
      <protection hidden="1"/>
    </xf>
    <xf numFmtId="0" fontId="37" fillId="54" borderId="582" xfId="8" applyFont="1" applyFill="1" applyBorder="1" applyAlignment="1" applyProtection="1">
      <alignment horizontal="left" vertical="center" wrapText="1" shrinkToFit="1"/>
      <protection hidden="1"/>
    </xf>
    <xf numFmtId="0" fontId="37" fillId="54" borderId="99" xfId="8" applyFont="1" applyFill="1" applyBorder="1" applyAlignment="1" applyProtection="1">
      <alignment horizontal="left" vertical="center" wrapText="1" shrinkToFit="1"/>
      <protection hidden="1"/>
    </xf>
    <xf numFmtId="0" fontId="37" fillId="54" borderId="0" xfId="8" applyFont="1" applyFill="1" applyAlignment="1" applyProtection="1">
      <alignment horizontal="left" vertical="center" wrapText="1" shrinkToFit="1"/>
      <protection hidden="1"/>
    </xf>
    <xf numFmtId="0" fontId="37" fillId="54" borderId="583" xfId="8" applyFont="1" applyFill="1" applyBorder="1" applyAlignment="1" applyProtection="1">
      <alignment horizontal="left" vertical="center" wrapText="1" shrinkToFit="1"/>
      <protection hidden="1"/>
    </xf>
    <xf numFmtId="0" fontId="37" fillId="54" borderId="454" xfId="8" applyFont="1" applyFill="1" applyBorder="1" applyAlignment="1" applyProtection="1">
      <alignment horizontal="left" vertical="center" wrapText="1" shrinkToFit="1"/>
      <protection hidden="1"/>
    </xf>
    <xf numFmtId="0" fontId="37" fillId="54" borderId="449" xfId="8" applyFont="1" applyFill="1" applyBorder="1" applyAlignment="1" applyProtection="1">
      <alignment horizontal="left" vertical="center" wrapText="1" shrinkToFit="1"/>
      <protection hidden="1"/>
    </xf>
    <xf numFmtId="0" fontId="37" fillId="54" borderId="598" xfId="8" applyFont="1" applyFill="1" applyBorder="1" applyAlignment="1" applyProtection="1">
      <alignment horizontal="left" vertical="center" wrapText="1" shrinkToFit="1"/>
      <protection hidden="1"/>
    </xf>
    <xf numFmtId="0" fontId="31" fillId="11" borderId="552" xfId="8" applyFont="1" applyFill="1" applyBorder="1" applyAlignment="1" applyProtection="1">
      <alignment horizontal="center" vertical="center" wrapText="1" shrinkToFit="1"/>
      <protection hidden="1"/>
    </xf>
    <xf numFmtId="0" fontId="31" fillId="11" borderId="534" xfId="8" applyFont="1" applyFill="1" applyBorder="1" applyAlignment="1" applyProtection="1">
      <alignment horizontal="center" vertical="center" wrapText="1" shrinkToFit="1"/>
      <protection hidden="1"/>
    </xf>
    <xf numFmtId="0" fontId="31" fillId="11" borderId="553" xfId="8" applyFont="1" applyFill="1" applyBorder="1" applyAlignment="1" applyProtection="1">
      <alignment horizontal="center" vertical="center" wrapText="1" shrinkToFit="1"/>
      <protection hidden="1"/>
    </xf>
    <xf numFmtId="180" fontId="42" fillId="8" borderId="48" xfId="8" applyNumberFormat="1" applyFont="1" applyFill="1" applyBorder="1" applyAlignment="1" applyProtection="1">
      <alignment horizontal="right" vertical="center" shrinkToFit="1"/>
      <protection hidden="1"/>
    </xf>
    <xf numFmtId="180" fontId="42" fillId="8" borderId="534" xfId="8" applyNumberFormat="1" applyFont="1" applyFill="1" applyBorder="1" applyAlignment="1" applyProtection="1">
      <alignment horizontal="right" vertical="center" shrinkToFit="1"/>
      <protection hidden="1"/>
    </xf>
    <xf numFmtId="182" fontId="42" fillId="2" borderId="48" xfId="8" applyNumberFormat="1" applyFont="1" applyFill="1" applyBorder="1" applyAlignment="1" applyProtection="1">
      <alignment horizontal="left" vertical="center" shrinkToFit="1"/>
      <protection locked="0"/>
    </xf>
    <xf numFmtId="182" fontId="42" fillId="2" borderId="534" xfId="8" applyNumberFormat="1" applyFont="1" applyFill="1" applyBorder="1" applyAlignment="1" applyProtection="1">
      <alignment horizontal="left" vertical="center" shrinkToFit="1"/>
      <protection locked="0"/>
    </xf>
    <xf numFmtId="182" fontId="42" fillId="8" borderId="48" xfId="8" applyNumberFormat="1" applyFont="1" applyFill="1" applyBorder="1" applyAlignment="1" applyProtection="1">
      <alignment horizontal="center" vertical="center" shrinkToFit="1"/>
      <protection hidden="1"/>
    </xf>
    <xf numFmtId="182" fontId="42" fillId="8" borderId="534" xfId="8" applyNumberFormat="1" applyFont="1" applyFill="1" applyBorder="1" applyAlignment="1" applyProtection="1">
      <alignment horizontal="center" vertical="center" shrinkToFit="1"/>
      <protection hidden="1"/>
    </xf>
    <xf numFmtId="182" fontId="42" fillId="2" borderId="48" xfId="8" applyNumberFormat="1" applyFont="1" applyFill="1" applyBorder="1" applyAlignment="1" applyProtection="1">
      <alignment horizontal="center" vertical="center" shrinkToFit="1"/>
      <protection locked="0"/>
    </xf>
    <xf numFmtId="182" fontId="42" fillId="2" borderId="534" xfId="8" applyNumberFormat="1" applyFont="1" applyFill="1" applyBorder="1" applyAlignment="1" applyProtection="1">
      <alignment horizontal="center" vertical="center" shrinkToFit="1"/>
      <protection locked="0"/>
    </xf>
    <xf numFmtId="180" fontId="42" fillId="8" borderId="48" xfId="8" applyNumberFormat="1" applyFont="1" applyFill="1" applyBorder="1" applyAlignment="1" applyProtection="1">
      <alignment horizontal="center" vertical="center" shrinkToFit="1"/>
      <protection hidden="1"/>
    </xf>
    <xf numFmtId="180" fontId="42" fillId="8" borderId="534" xfId="8" applyNumberFormat="1" applyFont="1" applyFill="1" applyBorder="1" applyAlignment="1" applyProtection="1">
      <alignment horizontal="center" vertical="center" shrinkToFit="1"/>
      <protection hidden="1"/>
    </xf>
    <xf numFmtId="0" fontId="42" fillId="8" borderId="48" xfId="8" applyFont="1" applyFill="1" applyBorder="1" applyAlignment="1" applyProtection="1">
      <alignment horizontal="left" vertical="center" shrinkToFit="1"/>
      <protection hidden="1"/>
    </xf>
    <xf numFmtId="0" fontId="42" fillId="8" borderId="196" xfId="8" applyFont="1" applyFill="1" applyBorder="1" applyAlignment="1" applyProtection="1">
      <alignment horizontal="left" vertical="center" shrinkToFit="1"/>
      <protection hidden="1"/>
    </xf>
    <xf numFmtId="0" fontId="42" fillId="8" borderId="534" xfId="8" applyFont="1" applyFill="1" applyBorder="1" applyAlignment="1" applyProtection="1">
      <alignment horizontal="left" vertical="center" shrinkToFit="1"/>
      <protection hidden="1"/>
    </xf>
    <xf numFmtId="0" fontId="42" fillId="8" borderId="535" xfId="8" applyFont="1" applyFill="1" applyBorder="1" applyAlignment="1" applyProtection="1">
      <alignment horizontal="left" vertical="center" shrinkToFit="1"/>
      <protection hidden="1"/>
    </xf>
    <xf numFmtId="0" fontId="39" fillId="20" borderId="55" xfId="8" applyFont="1" applyFill="1" applyBorder="1" applyAlignment="1" applyProtection="1">
      <alignment horizontal="center" vertical="center" wrapText="1" shrinkToFit="1"/>
      <protection hidden="1"/>
    </xf>
    <xf numFmtId="0" fontId="39" fillId="20" borderId="46" xfId="8" applyFont="1" applyFill="1" applyBorder="1" applyAlignment="1" applyProtection="1">
      <alignment horizontal="center" vertical="center" wrapText="1" shrinkToFit="1"/>
      <protection hidden="1"/>
    </xf>
    <xf numFmtId="0" fontId="39" fillId="20" borderId="0" xfId="8" applyFont="1" applyFill="1" applyAlignment="1" applyProtection="1">
      <alignment horizontal="center" vertical="center" wrapText="1" shrinkToFit="1"/>
      <protection hidden="1"/>
    </xf>
    <xf numFmtId="0" fontId="39" fillId="20" borderId="56" xfId="8" applyFont="1" applyFill="1" applyBorder="1" applyAlignment="1" applyProtection="1">
      <alignment horizontal="center" vertical="center" wrapText="1" shrinkToFit="1"/>
      <protection hidden="1"/>
    </xf>
    <xf numFmtId="0" fontId="39" fillId="20" borderId="448" xfId="8" applyFont="1" applyFill="1" applyBorder="1" applyAlignment="1" applyProtection="1">
      <alignment horizontal="center" vertical="center" wrapText="1" shrinkToFit="1"/>
      <protection hidden="1"/>
    </xf>
    <xf numFmtId="0" fontId="39" fillId="20" borderId="449" xfId="8" applyFont="1" applyFill="1" applyBorder="1" applyAlignment="1" applyProtection="1">
      <alignment horizontal="center" vertical="center" wrapText="1" shrinkToFit="1"/>
      <protection hidden="1"/>
    </xf>
    <xf numFmtId="0" fontId="171" fillId="11" borderId="96" xfId="1" applyFont="1" applyFill="1" applyBorder="1" applyAlignment="1">
      <alignment horizontal="left" vertical="center" wrapText="1"/>
    </xf>
    <xf numFmtId="0" fontId="122" fillId="11" borderId="96" xfId="0" applyFont="1" applyFill="1" applyBorder="1" applyAlignment="1">
      <alignment horizontal="left" vertical="center"/>
    </xf>
    <xf numFmtId="0" fontId="122" fillId="11" borderId="0" xfId="0" applyFont="1" applyFill="1" applyAlignment="1">
      <alignment horizontal="left" vertical="center"/>
    </xf>
    <xf numFmtId="0" fontId="122" fillId="11" borderId="449" xfId="0" applyFont="1" applyFill="1" applyBorder="1" applyAlignment="1">
      <alignment horizontal="left" vertical="center"/>
    </xf>
    <xf numFmtId="0" fontId="31" fillId="11" borderId="55" xfId="8" applyFont="1" applyFill="1" applyBorder="1" applyAlignment="1" applyProtection="1">
      <alignment horizontal="center" vertical="center" wrapText="1" shrinkToFit="1"/>
      <protection hidden="1"/>
    </xf>
    <xf numFmtId="0" fontId="42" fillId="2" borderId="371" xfId="8" applyFont="1" applyFill="1" applyBorder="1" applyAlignment="1" applyProtection="1">
      <alignment horizontal="center" vertical="center" shrinkToFit="1"/>
      <protection locked="0"/>
    </xf>
    <xf numFmtId="0" fontId="42" fillId="2" borderId="281" xfId="8" applyFont="1" applyFill="1" applyBorder="1" applyAlignment="1" applyProtection="1">
      <alignment horizontal="center" vertical="center" shrinkToFit="1"/>
      <protection locked="0"/>
    </xf>
    <xf numFmtId="0" fontId="42" fillId="2" borderId="327" xfId="8" applyFont="1" applyFill="1" applyBorder="1" applyAlignment="1" applyProtection="1">
      <alignment horizontal="center" vertical="center" shrinkToFit="1"/>
      <protection locked="0"/>
    </xf>
    <xf numFmtId="0" fontId="42" fillId="2" borderId="63" xfId="8" applyFont="1" applyFill="1" applyBorder="1" applyAlignment="1" applyProtection="1">
      <alignment horizontal="center" vertical="center" shrinkToFit="1"/>
      <protection locked="0"/>
    </xf>
    <xf numFmtId="0" fontId="42" fillId="2" borderId="0" xfId="8" applyFont="1" applyFill="1" applyAlignment="1" applyProtection="1">
      <alignment horizontal="center" vertical="center" shrinkToFit="1"/>
      <protection locked="0"/>
    </xf>
    <xf numFmtId="0" fontId="42" fillId="2" borderId="64" xfId="8" applyFont="1" applyFill="1" applyBorder="1" applyAlignment="1" applyProtection="1">
      <alignment horizontal="center" vertical="center" shrinkToFit="1"/>
      <protection locked="0"/>
    </xf>
    <xf numFmtId="0" fontId="42" fillId="2" borderId="645" xfId="8" applyFont="1" applyFill="1" applyBorder="1" applyAlignment="1" applyProtection="1">
      <alignment horizontal="center" vertical="center" shrinkToFit="1"/>
      <protection locked="0"/>
    </xf>
    <xf numFmtId="0" fontId="42" fillId="2" borderId="449" xfId="8" applyFont="1" applyFill="1" applyBorder="1" applyAlignment="1" applyProtection="1">
      <alignment horizontal="center" vertical="center" shrinkToFit="1"/>
      <protection locked="0"/>
    </xf>
    <xf numFmtId="0" fontId="42" fillId="2" borderId="521" xfId="8" applyFont="1" applyFill="1" applyBorder="1" applyAlignment="1" applyProtection="1">
      <alignment horizontal="center" vertical="center" shrinkToFit="1"/>
      <protection locked="0"/>
    </xf>
    <xf numFmtId="0" fontId="31" fillId="11" borderId="351" xfId="8" applyFont="1" applyFill="1" applyBorder="1" applyAlignment="1" applyProtection="1">
      <alignment horizontal="center" vertical="center" shrinkToFit="1"/>
      <protection hidden="1"/>
    </xf>
    <xf numFmtId="0" fontId="31" fillId="11" borderId="352" xfId="8" applyFont="1" applyFill="1" applyBorder="1" applyAlignment="1" applyProtection="1">
      <alignment horizontal="center" vertical="center" shrinkToFit="1"/>
      <protection hidden="1"/>
    </xf>
    <xf numFmtId="0" fontId="31" fillId="11" borderId="189" xfId="8" applyFont="1" applyFill="1" applyBorder="1" applyAlignment="1" applyProtection="1">
      <alignment horizontal="center" vertical="center" shrinkToFit="1"/>
      <protection hidden="1"/>
    </xf>
    <xf numFmtId="0" fontId="31" fillId="11" borderId="48" xfId="8" applyFont="1" applyFill="1" applyBorder="1" applyAlignment="1" applyProtection="1">
      <alignment horizontal="center" vertical="center" shrinkToFit="1"/>
      <protection hidden="1"/>
    </xf>
    <xf numFmtId="0" fontId="31" fillId="11" borderId="139" xfId="8" applyFont="1" applyFill="1" applyBorder="1" applyAlignment="1" applyProtection="1">
      <alignment horizontal="center" vertical="center" shrinkToFit="1"/>
      <protection hidden="1"/>
    </xf>
    <xf numFmtId="0" fontId="31" fillId="11" borderId="533" xfId="8" applyFont="1" applyFill="1" applyBorder="1" applyAlignment="1" applyProtection="1">
      <alignment horizontal="center" vertical="center" shrinkToFit="1"/>
      <protection hidden="1"/>
    </xf>
    <xf numFmtId="0" fontId="31" fillId="11" borderId="534" xfId="8" applyFont="1" applyFill="1" applyBorder="1" applyAlignment="1" applyProtection="1">
      <alignment horizontal="center" vertical="center" shrinkToFit="1"/>
      <protection hidden="1"/>
    </xf>
    <xf numFmtId="0" fontId="31" fillId="11" borderId="553" xfId="8" applyFont="1" applyFill="1" applyBorder="1" applyAlignment="1" applyProtection="1">
      <alignment horizontal="center" vertical="center" shrinkToFit="1"/>
      <protection hidden="1"/>
    </xf>
    <xf numFmtId="0" fontId="31" fillId="11" borderId="96" xfId="0" applyFont="1" applyFill="1" applyBorder="1" applyAlignment="1" applyProtection="1">
      <alignment horizontal="center" vertical="center" wrapText="1"/>
      <protection locked="0"/>
    </xf>
    <xf numFmtId="0" fontId="31" fillId="11" borderId="458" xfId="0" applyFont="1" applyFill="1" applyBorder="1" applyAlignment="1" applyProtection="1">
      <alignment horizontal="center" vertical="center" wrapText="1"/>
      <protection locked="0"/>
    </xf>
    <xf numFmtId="0" fontId="31" fillId="11" borderId="0" xfId="0" applyFont="1" applyFill="1" applyAlignment="1" applyProtection="1">
      <alignment horizontal="center" vertical="center" wrapText="1"/>
      <protection locked="0"/>
    </xf>
    <xf numFmtId="0" fontId="31" fillId="11" borderId="97" xfId="0" applyFont="1" applyFill="1" applyBorder="1" applyAlignment="1" applyProtection="1">
      <alignment horizontal="center" vertical="center" wrapText="1"/>
      <protection locked="0"/>
    </xf>
    <xf numFmtId="0" fontId="31" fillId="11" borderId="449" xfId="0" applyFont="1" applyFill="1" applyBorder="1" applyAlignment="1" applyProtection="1">
      <alignment horizontal="center" vertical="center" wrapText="1"/>
      <protection locked="0"/>
    </xf>
    <xf numFmtId="0" fontId="31" fillId="11" borderId="478" xfId="0" applyFont="1" applyFill="1" applyBorder="1" applyAlignment="1" applyProtection="1">
      <alignment horizontal="center" vertical="center" wrapText="1"/>
      <protection locked="0"/>
    </xf>
    <xf numFmtId="0" fontId="31" fillId="11" borderId="453" xfId="0" applyFont="1" applyFill="1" applyBorder="1" applyAlignment="1">
      <alignment horizontal="center" vertical="center" wrapText="1"/>
    </xf>
    <xf numFmtId="0" fontId="31" fillId="11" borderId="96" xfId="0" applyFont="1" applyFill="1" applyBorder="1" applyAlignment="1">
      <alignment horizontal="center" vertical="center" wrapText="1"/>
    </xf>
    <xf numFmtId="0" fontId="31" fillId="11" borderId="582" xfId="0" applyFont="1" applyFill="1" applyBorder="1" applyAlignment="1">
      <alignment horizontal="center" vertical="center" wrapText="1"/>
    </xf>
    <xf numFmtId="0" fontId="31" fillId="11" borderId="99" xfId="0" applyFont="1" applyFill="1" applyBorder="1" applyAlignment="1">
      <alignment horizontal="center" vertical="center" wrapText="1"/>
    </xf>
    <xf numFmtId="0" fontId="31" fillId="11" borderId="0" xfId="0" applyFont="1" applyFill="1" applyAlignment="1">
      <alignment horizontal="center" vertical="center" wrapText="1"/>
    </xf>
    <xf numFmtId="0" fontId="31" fillId="11" borderId="583" xfId="0" applyFont="1" applyFill="1" applyBorder="1" applyAlignment="1">
      <alignment horizontal="center" vertical="center" wrapText="1"/>
    </xf>
    <xf numFmtId="0" fontId="31" fillId="11" borderId="454" xfId="0" applyFont="1" applyFill="1" applyBorder="1" applyAlignment="1">
      <alignment horizontal="center" vertical="center" wrapText="1"/>
    </xf>
    <xf numFmtId="0" fontId="31" fillId="11" borderId="449" xfId="0" applyFont="1" applyFill="1" applyBorder="1" applyAlignment="1">
      <alignment horizontal="center" vertical="center" wrapText="1"/>
    </xf>
    <xf numFmtId="0" fontId="31" fillId="11" borderId="598" xfId="0" applyFont="1" applyFill="1" applyBorder="1" applyAlignment="1">
      <alignment horizontal="center" vertical="center" wrapText="1"/>
    </xf>
    <xf numFmtId="0" fontId="28" fillId="2" borderId="371" xfId="9" applyNumberFormat="1" applyFont="1" applyFill="1" applyBorder="1" applyAlignment="1" applyProtection="1">
      <alignment horizontal="center" vertical="center" shrinkToFit="1"/>
      <protection locked="0"/>
    </xf>
    <xf numFmtId="0" fontId="28" fillId="2" borderId="281" xfId="9" applyNumberFormat="1" applyFont="1" applyFill="1" applyBorder="1" applyAlignment="1" applyProtection="1">
      <alignment horizontal="center" vertical="center" shrinkToFit="1"/>
      <protection locked="0"/>
    </xf>
    <xf numFmtId="0" fontId="28" fillId="2" borderId="644" xfId="9" applyNumberFormat="1" applyFont="1" applyFill="1" applyBorder="1" applyAlignment="1" applyProtection="1">
      <alignment horizontal="center" vertical="center" shrinkToFit="1"/>
      <protection locked="0"/>
    </xf>
    <xf numFmtId="0" fontId="28" fillId="2" borderId="63" xfId="9" applyNumberFormat="1" applyFont="1" applyFill="1" applyBorder="1" applyAlignment="1" applyProtection="1">
      <alignment horizontal="center" vertical="center" shrinkToFit="1"/>
      <protection locked="0"/>
    </xf>
    <xf numFmtId="0" fontId="28" fillId="2" borderId="0" xfId="9" applyNumberFormat="1" applyFont="1" applyFill="1" applyBorder="1" applyAlignment="1" applyProtection="1">
      <alignment horizontal="center" vertical="center" shrinkToFit="1"/>
      <protection locked="0"/>
    </xf>
    <xf numFmtId="0" fontId="28" fillId="2" borderId="97" xfId="9" applyNumberFormat="1" applyFont="1" applyFill="1" applyBorder="1" applyAlignment="1" applyProtection="1">
      <alignment horizontal="center" vertical="center" shrinkToFit="1"/>
      <protection locked="0"/>
    </xf>
    <xf numFmtId="0" fontId="28" fillId="2" borderId="645" xfId="9" applyNumberFormat="1" applyFont="1" applyFill="1" applyBorder="1" applyAlignment="1" applyProtection="1">
      <alignment horizontal="center" vertical="center" shrinkToFit="1"/>
      <protection locked="0"/>
    </xf>
    <xf numFmtId="0" fontId="28" fillId="2" borderId="449" xfId="9" applyNumberFormat="1" applyFont="1" applyFill="1" applyBorder="1" applyAlignment="1" applyProtection="1">
      <alignment horizontal="center" vertical="center" shrinkToFit="1"/>
      <protection locked="0"/>
    </xf>
    <xf numFmtId="0" fontId="28" fillId="2" borderId="478" xfId="9" applyNumberFormat="1" applyFont="1" applyFill="1" applyBorder="1" applyAlignment="1" applyProtection="1">
      <alignment horizontal="center" vertical="center" shrinkToFit="1"/>
      <protection locked="0"/>
    </xf>
    <xf numFmtId="0" fontId="31" fillId="11" borderId="421" xfId="8" applyFont="1" applyFill="1" applyBorder="1" applyAlignment="1" applyProtection="1">
      <alignment horizontal="center" vertical="center" wrapText="1" shrinkToFit="1"/>
      <protection hidden="1"/>
    </xf>
    <xf numFmtId="0" fontId="31" fillId="11" borderId="420" xfId="8" applyFont="1" applyFill="1" applyBorder="1" applyAlignment="1" applyProtection="1">
      <alignment horizontal="center" vertical="center" wrapText="1" shrinkToFit="1"/>
      <protection hidden="1"/>
    </xf>
    <xf numFmtId="0" fontId="31" fillId="11" borderId="276" xfId="8" applyFont="1" applyFill="1" applyBorder="1" applyAlignment="1" applyProtection="1">
      <alignment horizontal="center" vertical="center" wrapText="1" shrinkToFit="1"/>
      <protection hidden="1"/>
    </xf>
    <xf numFmtId="0" fontId="28" fillId="2" borderId="353" xfId="8" applyFont="1" applyFill="1" applyBorder="1" applyAlignment="1" applyProtection="1">
      <alignment horizontal="center" vertical="center" shrinkToFit="1"/>
      <protection locked="0"/>
    </xf>
    <xf numFmtId="0" fontId="28" fillId="2" borderId="355" xfId="8" applyFont="1" applyFill="1" applyBorder="1" applyAlignment="1" applyProtection="1">
      <alignment horizontal="center" vertical="center" shrinkToFit="1"/>
      <protection locked="0"/>
    </xf>
    <xf numFmtId="0" fontId="28" fillId="2" borderId="194" xfId="8" applyFont="1" applyFill="1" applyBorder="1" applyAlignment="1" applyProtection="1">
      <alignment horizontal="center" vertical="center" shrinkToFit="1"/>
      <protection locked="0"/>
    </xf>
    <xf numFmtId="0" fontId="28" fillId="2" borderId="46" xfId="8" applyFont="1" applyFill="1" applyBorder="1" applyAlignment="1" applyProtection="1">
      <alignment horizontal="center" vertical="center" shrinkToFit="1"/>
      <protection locked="0"/>
    </xf>
    <xf numFmtId="0" fontId="28" fillId="2" borderId="359" xfId="8" applyFont="1" applyFill="1" applyBorder="1" applyAlignment="1" applyProtection="1">
      <alignment horizontal="center" vertical="center" shrinkToFit="1"/>
      <protection locked="0"/>
    </xf>
    <xf numFmtId="0" fontId="37" fillId="2" borderId="581" xfId="8" applyFont="1" applyFill="1" applyBorder="1" applyAlignment="1" applyProtection="1">
      <alignment horizontal="center" vertical="center" wrapText="1" shrinkToFit="1"/>
      <protection locked="0"/>
    </xf>
    <xf numFmtId="0" fontId="37" fillId="2" borderId="96" xfId="8" applyFont="1" applyFill="1" applyBorder="1" applyAlignment="1" applyProtection="1">
      <alignment horizontal="center" vertical="center" wrapText="1" shrinkToFit="1"/>
      <protection locked="0"/>
    </xf>
    <xf numFmtId="0" fontId="37" fillId="2" borderId="537" xfId="8" applyFont="1" applyFill="1" applyBorder="1" applyAlignment="1" applyProtection="1">
      <alignment horizontal="center" vertical="center" wrapText="1" shrinkToFit="1"/>
      <protection locked="0"/>
    </xf>
    <xf numFmtId="0" fontId="37" fillId="2" borderId="419" xfId="8" applyFont="1" applyFill="1" applyBorder="1" applyAlignment="1" applyProtection="1">
      <alignment horizontal="center" vertical="center" wrapText="1" shrinkToFit="1"/>
      <protection locked="0"/>
    </xf>
    <xf numFmtId="0" fontId="37" fillId="2" borderId="0" xfId="8" applyFont="1" applyFill="1" applyAlignment="1" applyProtection="1">
      <alignment horizontal="center" vertical="center" wrapText="1" shrinkToFit="1"/>
      <protection locked="0"/>
    </xf>
    <xf numFmtId="0" fontId="37" fillId="2" borderId="308" xfId="8" applyFont="1" applyFill="1" applyBorder="1" applyAlignment="1" applyProtection="1">
      <alignment horizontal="center" vertical="center" wrapText="1" shrinkToFit="1"/>
      <protection locked="0"/>
    </xf>
    <xf numFmtId="0" fontId="37" fillId="2" borderId="589" xfId="8" applyFont="1" applyFill="1" applyBorder="1" applyAlignment="1" applyProtection="1">
      <alignment horizontal="center" vertical="center" wrapText="1" shrinkToFit="1"/>
      <protection locked="0"/>
    </xf>
    <xf numFmtId="0" fontId="37" fillId="2" borderId="449" xfId="8" applyFont="1" applyFill="1" applyBorder="1" applyAlignment="1" applyProtection="1">
      <alignment horizontal="center" vertical="center" wrapText="1" shrinkToFit="1"/>
      <protection locked="0"/>
    </xf>
    <xf numFmtId="0" fontId="37" fillId="2" borderId="555" xfId="8" applyFont="1" applyFill="1" applyBorder="1" applyAlignment="1" applyProtection="1">
      <alignment horizontal="center" vertical="center" wrapText="1" shrinkToFit="1"/>
      <protection locked="0"/>
    </xf>
    <xf numFmtId="0" fontId="31" fillId="11" borderId="768" xfId="8" applyFont="1" applyFill="1" applyBorder="1" applyAlignment="1" applyProtection="1">
      <alignment horizontal="center" vertical="center" wrapText="1" shrinkToFit="1"/>
      <protection hidden="1"/>
    </xf>
    <xf numFmtId="0" fontId="31" fillId="11" borderId="56" xfId="8" applyFont="1" applyFill="1" applyBorder="1" applyAlignment="1" applyProtection="1">
      <alignment horizontal="center" vertical="center" wrapText="1" shrinkToFit="1"/>
      <protection hidden="1"/>
    </xf>
    <xf numFmtId="0" fontId="31" fillId="11" borderId="550" xfId="8" applyFont="1" applyFill="1" applyBorder="1" applyAlignment="1" applyProtection="1">
      <alignment horizontal="center" vertical="center" wrapText="1" shrinkToFit="1"/>
      <protection hidden="1"/>
    </xf>
    <xf numFmtId="0" fontId="42" fillId="2" borderId="766" xfId="8" applyFont="1" applyFill="1" applyBorder="1" applyAlignment="1" applyProtection="1">
      <alignment horizontal="center" vertical="center" shrinkToFit="1"/>
      <protection locked="0"/>
    </xf>
    <xf numFmtId="0" fontId="42" fillId="2" borderId="46" xfId="8" applyFont="1" applyFill="1" applyBorder="1" applyAlignment="1" applyProtection="1">
      <alignment horizontal="center" vertical="center" shrinkToFit="1"/>
      <protection locked="0"/>
    </xf>
    <xf numFmtId="0" fontId="42" fillId="2" borderId="462" xfId="8" applyFont="1" applyFill="1" applyBorder="1" applyAlignment="1" applyProtection="1">
      <alignment horizontal="center" vertical="center" shrinkToFit="1"/>
      <protection locked="0"/>
    </xf>
    <xf numFmtId="0" fontId="42" fillId="2" borderId="546" xfId="8" applyFont="1" applyFill="1" applyBorder="1" applyAlignment="1" applyProtection="1">
      <alignment horizontal="center" vertical="center" shrinkToFit="1"/>
      <protection locked="0"/>
    </xf>
    <xf numFmtId="0" fontId="42" fillId="2" borderId="97" xfId="8" applyFont="1" applyFill="1" applyBorder="1" applyAlignment="1" applyProtection="1">
      <alignment horizontal="center" vertical="center" shrinkToFit="1"/>
      <protection locked="0"/>
    </xf>
    <xf numFmtId="0" fontId="31" fillId="11" borderId="453" xfId="8" applyFont="1" applyFill="1" applyBorder="1" applyAlignment="1" applyProtection="1">
      <alignment horizontal="center" vertical="center" wrapText="1" shrinkToFit="1"/>
      <protection hidden="1"/>
    </xf>
    <xf numFmtId="0" fontId="31" fillId="11" borderId="96" xfId="8" applyFont="1" applyFill="1" applyBorder="1" applyAlignment="1" applyProtection="1">
      <alignment horizontal="center" vertical="center" wrapText="1" shrinkToFit="1"/>
      <protection hidden="1"/>
    </xf>
    <xf numFmtId="0" fontId="31" fillId="11" borderId="582" xfId="8" applyFont="1" applyFill="1" applyBorder="1" applyAlignment="1" applyProtection="1">
      <alignment horizontal="center" vertical="center" wrapText="1" shrinkToFit="1"/>
      <protection hidden="1"/>
    </xf>
    <xf numFmtId="0" fontId="31" fillId="11" borderId="99" xfId="8" applyFont="1" applyFill="1" applyBorder="1" applyAlignment="1" applyProtection="1">
      <alignment horizontal="center" vertical="center" wrapText="1" shrinkToFit="1"/>
      <protection hidden="1"/>
    </xf>
    <xf numFmtId="0" fontId="31" fillId="11" borderId="583" xfId="8" applyFont="1" applyFill="1" applyBorder="1" applyAlignment="1" applyProtection="1">
      <alignment horizontal="center" vertical="center" wrapText="1" shrinkToFit="1"/>
      <protection hidden="1"/>
    </xf>
    <xf numFmtId="0" fontId="37" fillId="2" borderId="419" xfId="8" applyFont="1" applyFill="1" applyBorder="1" applyAlignment="1" applyProtection="1">
      <alignment horizontal="center" vertical="center" wrapText="1" shrinkToFit="1"/>
      <protection locked="0" hidden="1"/>
    </xf>
    <xf numFmtId="0" fontId="37" fillId="2" borderId="0" xfId="8" applyFont="1" applyFill="1" applyAlignment="1" applyProtection="1">
      <alignment horizontal="center" vertical="center" wrapText="1" shrinkToFit="1"/>
      <protection locked="0" hidden="1"/>
    </xf>
    <xf numFmtId="0" fontId="37" fillId="2" borderId="97" xfId="8" applyFont="1" applyFill="1" applyBorder="1" applyAlignment="1" applyProtection="1">
      <alignment horizontal="center" vertical="center" wrapText="1" shrinkToFit="1"/>
      <protection locked="0" hidden="1"/>
    </xf>
    <xf numFmtId="0" fontId="44" fillId="4" borderId="773" xfId="0" applyFont="1" applyFill="1" applyBorder="1" applyAlignment="1" applyProtection="1">
      <alignment horizontal="center" vertical="center" wrapText="1"/>
      <protection hidden="1"/>
    </xf>
    <xf numFmtId="0" fontId="44" fillId="4" borderId="699" xfId="0" applyFont="1" applyFill="1" applyBorder="1" applyAlignment="1" applyProtection="1">
      <alignment horizontal="center" vertical="center" wrapText="1"/>
      <protection hidden="1"/>
    </xf>
    <xf numFmtId="0" fontId="44" fillId="4" borderId="99" xfId="0" applyFont="1" applyFill="1" applyBorder="1" applyAlignment="1" applyProtection="1">
      <alignment horizontal="center" vertical="center" wrapText="1"/>
      <protection hidden="1"/>
    </xf>
    <xf numFmtId="0" fontId="44" fillId="4" borderId="0" xfId="0" applyFont="1" applyFill="1" applyAlignment="1" applyProtection="1">
      <alignment horizontal="center" vertical="center" wrapText="1"/>
      <protection hidden="1"/>
    </xf>
    <xf numFmtId="0" fontId="44" fillId="4" borderId="774" xfId="0" applyFont="1" applyFill="1" applyBorder="1" applyAlignment="1" applyProtection="1">
      <alignment horizontal="center" vertical="center" wrapText="1"/>
      <protection hidden="1"/>
    </xf>
    <xf numFmtId="0" fontId="44" fillId="4" borderId="708" xfId="0" applyFont="1" applyFill="1" applyBorder="1" applyAlignment="1" applyProtection="1">
      <alignment horizontal="center" vertical="center" wrapText="1"/>
      <protection hidden="1"/>
    </xf>
    <xf numFmtId="0" fontId="44" fillId="22" borderId="74" xfId="0" applyFont="1" applyFill="1" applyBorder="1" applyAlignment="1" applyProtection="1">
      <alignment horizontal="center" vertical="center" wrapText="1"/>
      <protection hidden="1"/>
    </xf>
    <xf numFmtId="0" fontId="44" fillId="22" borderId="699" xfId="0" applyFont="1" applyFill="1" applyBorder="1" applyAlignment="1" applyProtection="1">
      <alignment horizontal="center" vertical="center" wrapText="1"/>
      <protection hidden="1"/>
    </xf>
    <xf numFmtId="0" fontId="44" fillId="22" borderId="40" xfId="0" applyFont="1" applyFill="1" applyBorder="1" applyAlignment="1" applyProtection="1">
      <alignment horizontal="center" vertical="center" wrapText="1"/>
      <protection hidden="1"/>
    </xf>
    <xf numFmtId="0" fontId="44" fillId="22" borderId="0" xfId="0" applyFont="1" applyFill="1" applyAlignment="1" applyProtection="1">
      <alignment horizontal="center" vertical="center" wrapText="1"/>
      <protection hidden="1"/>
    </xf>
    <xf numFmtId="0" fontId="44" fillId="22" borderId="42" xfId="0" applyFont="1" applyFill="1" applyBorder="1" applyAlignment="1" applyProtection="1">
      <alignment horizontal="center" vertical="center" wrapText="1"/>
      <protection hidden="1"/>
    </xf>
    <xf numFmtId="0" fontId="44" fillId="22" borderId="708" xfId="0" applyFont="1" applyFill="1" applyBorder="1" applyAlignment="1" applyProtection="1">
      <alignment horizontal="center" vertical="center" wrapText="1"/>
      <protection hidden="1"/>
    </xf>
    <xf numFmtId="0" fontId="158" fillId="2" borderId="581" xfId="0" applyFont="1" applyFill="1" applyBorder="1" applyAlignment="1" applyProtection="1">
      <alignment horizontal="center" vertical="center" wrapText="1"/>
      <protection locked="0"/>
    </xf>
    <xf numFmtId="0" fontId="158" fillId="2" borderId="96" xfId="0" applyFont="1" applyFill="1" applyBorder="1" applyAlignment="1" applyProtection="1">
      <alignment horizontal="center" vertical="center" wrapText="1"/>
      <protection locked="0"/>
    </xf>
    <xf numFmtId="0" fontId="158" fillId="2" borderId="458" xfId="0" applyFont="1" applyFill="1" applyBorder="1" applyAlignment="1" applyProtection="1">
      <alignment horizontal="center" vertical="center" wrapText="1"/>
      <protection locked="0"/>
    </xf>
    <xf numFmtId="0" fontId="158" fillId="2" borderId="419" xfId="0" applyFont="1" applyFill="1" applyBorder="1" applyAlignment="1" applyProtection="1">
      <alignment horizontal="center" vertical="center" wrapText="1"/>
      <protection locked="0"/>
    </xf>
    <xf numFmtId="0" fontId="158" fillId="2" borderId="0" xfId="0" applyFont="1" applyFill="1" applyAlignment="1" applyProtection="1">
      <alignment horizontal="center" vertical="center" wrapText="1"/>
      <protection locked="0"/>
    </xf>
    <xf numFmtId="0" fontId="158" fillId="2" borderId="97" xfId="0" applyFont="1" applyFill="1" applyBorder="1" applyAlignment="1" applyProtection="1">
      <alignment horizontal="center" vertical="center" wrapText="1"/>
      <protection locked="0"/>
    </xf>
    <xf numFmtId="0" fontId="158" fillId="2" borderId="589" xfId="0" applyFont="1" applyFill="1" applyBorder="1" applyAlignment="1" applyProtection="1">
      <alignment horizontal="center" vertical="center" wrapText="1"/>
      <protection locked="0"/>
    </xf>
    <xf numFmtId="0" fontId="158" fillId="2" borderId="449" xfId="0" applyFont="1" applyFill="1" applyBorder="1" applyAlignment="1" applyProtection="1">
      <alignment horizontal="center" vertical="center" wrapText="1"/>
      <protection locked="0"/>
    </xf>
    <xf numFmtId="0" fontId="158" fillId="2" borderId="478" xfId="0" applyFont="1" applyFill="1" applyBorder="1" applyAlignment="1" applyProtection="1">
      <alignment horizontal="center" vertical="center" wrapText="1"/>
      <protection locked="0"/>
    </xf>
    <xf numFmtId="0" fontId="48" fillId="18" borderId="96" xfId="8" applyFont="1" applyFill="1" applyBorder="1" applyAlignment="1" applyProtection="1">
      <alignment horizontal="center" vertical="center"/>
      <protection hidden="1"/>
    </xf>
    <xf numFmtId="0" fontId="48" fillId="18" borderId="0" xfId="8" applyFont="1" applyFill="1" applyAlignment="1" applyProtection="1">
      <alignment horizontal="center" vertical="center"/>
      <protection hidden="1"/>
    </xf>
    <xf numFmtId="0" fontId="48" fillId="18" borderId="449" xfId="8" applyFont="1" applyFill="1" applyBorder="1" applyAlignment="1" applyProtection="1">
      <alignment horizontal="center" vertical="center"/>
      <protection hidden="1"/>
    </xf>
    <xf numFmtId="0" fontId="44" fillId="18" borderId="453" xfId="0" applyFont="1" applyFill="1" applyBorder="1" applyAlignment="1">
      <alignment horizontal="center" vertical="center" wrapText="1" shrinkToFit="1"/>
    </xf>
    <xf numFmtId="0" fontId="44" fillId="18" borderId="96" xfId="0" applyFont="1" applyFill="1" applyBorder="1" applyAlignment="1">
      <alignment horizontal="center" vertical="center" wrapText="1" shrinkToFit="1"/>
    </xf>
    <xf numFmtId="0" fontId="44" fillId="18" borderId="743" xfId="0" applyFont="1" applyFill="1" applyBorder="1" applyAlignment="1">
      <alignment horizontal="center" vertical="center" wrapText="1" shrinkToFit="1"/>
    </xf>
    <xf numFmtId="0" fontId="44" fillId="18" borderId="99" xfId="0" applyFont="1" applyFill="1" applyBorder="1" applyAlignment="1">
      <alignment horizontal="center" vertical="center" wrapText="1" shrinkToFit="1"/>
    </xf>
    <xf numFmtId="0" fontId="44" fillId="18" borderId="0" xfId="0" applyFont="1" applyFill="1" applyAlignment="1">
      <alignment horizontal="center" vertical="center" wrapText="1" shrinkToFit="1"/>
    </xf>
    <xf numFmtId="0" fontId="44" fillId="18" borderId="67" xfId="0" applyFont="1" applyFill="1" applyBorder="1" applyAlignment="1">
      <alignment horizontal="center" vertical="center" wrapText="1" shrinkToFit="1"/>
    </xf>
    <xf numFmtId="0" fontId="44" fillId="18" borderId="454" xfId="0" applyFont="1" applyFill="1" applyBorder="1" applyAlignment="1">
      <alignment horizontal="center" vertical="center" wrapText="1" shrinkToFit="1"/>
    </xf>
    <xf numFmtId="0" fontId="44" fillId="18" borderId="449" xfId="0" applyFont="1" applyFill="1" applyBorder="1" applyAlignment="1">
      <alignment horizontal="center" vertical="center" wrapText="1" shrinkToFit="1"/>
    </xf>
    <xf numFmtId="0" fontId="44" fillId="18" borderId="539" xfId="0" applyFont="1" applyFill="1" applyBorder="1" applyAlignment="1">
      <alignment horizontal="center" vertical="center" wrapText="1" shrinkToFit="1"/>
    </xf>
    <xf numFmtId="0" fontId="42" fillId="18" borderId="426" xfId="0" applyFont="1" applyFill="1" applyBorder="1" applyAlignment="1" applyProtection="1">
      <alignment horizontal="center" vertical="center"/>
      <protection hidden="1"/>
    </xf>
    <xf numFmtId="0" fontId="42" fillId="18" borderId="424" xfId="0" applyFont="1" applyFill="1" applyBorder="1" applyAlignment="1" applyProtection="1">
      <alignment horizontal="center" vertical="center"/>
      <protection hidden="1"/>
    </xf>
    <xf numFmtId="0" fontId="44" fillId="18" borderId="424" xfId="0" applyFont="1" applyFill="1" applyBorder="1" applyAlignment="1">
      <alignment horizontal="center" vertical="center" wrapText="1"/>
    </xf>
    <xf numFmtId="0" fontId="44" fillId="18" borderId="431" xfId="0" applyFont="1" applyFill="1" applyBorder="1" applyAlignment="1">
      <alignment horizontal="center" vertical="center" wrapText="1"/>
    </xf>
    <xf numFmtId="0" fontId="42" fillId="18" borderId="769" xfId="0" applyFont="1" applyFill="1" applyBorder="1" applyAlignment="1" applyProtection="1">
      <alignment horizontal="center" vertical="center"/>
      <protection hidden="1"/>
    </xf>
    <xf numFmtId="0" fontId="31" fillId="11" borderId="404" xfId="8" applyFont="1" applyFill="1" applyBorder="1" applyAlignment="1" applyProtection="1">
      <alignment horizontal="center" vertical="center" wrapText="1" shrinkToFit="1"/>
      <protection hidden="1"/>
    </xf>
    <xf numFmtId="0" fontId="31" fillId="11" borderId="305" xfId="8" applyFont="1" applyFill="1" applyBorder="1" applyAlignment="1" applyProtection="1">
      <alignment horizontal="center" vertical="center" wrapText="1" shrinkToFit="1"/>
      <protection hidden="1"/>
    </xf>
    <xf numFmtId="0" fontId="31" fillId="11" borderId="538" xfId="8" applyFont="1" applyFill="1" applyBorder="1" applyAlignment="1" applyProtection="1">
      <alignment horizontal="center" vertical="center" wrapText="1" shrinkToFit="1"/>
      <protection hidden="1"/>
    </xf>
    <xf numFmtId="0" fontId="31" fillId="11" borderId="449" xfId="8" applyFont="1" applyFill="1" applyBorder="1" applyAlignment="1" applyProtection="1">
      <alignment horizontal="center" vertical="center" wrapText="1" shrinkToFit="1"/>
      <protection hidden="1"/>
    </xf>
    <xf numFmtId="38" fontId="29" fillId="11" borderId="423" xfId="9" applyFont="1" applyFill="1" applyBorder="1" applyAlignment="1" applyProtection="1">
      <alignment horizontal="center" vertical="center" shrinkToFit="1"/>
      <protection hidden="1"/>
    </xf>
    <xf numFmtId="38" fontId="29" fillId="11" borderId="761" xfId="9" applyFont="1" applyFill="1" applyBorder="1" applyAlignment="1" applyProtection="1">
      <alignment horizontal="center" vertical="center" shrinkToFit="1"/>
      <protection hidden="1"/>
    </xf>
    <xf numFmtId="38" fontId="29" fillId="11" borderId="96" xfId="9" applyFont="1" applyFill="1" applyBorder="1" applyAlignment="1" applyProtection="1">
      <alignment horizontal="center" vertical="center" shrinkToFit="1"/>
      <protection hidden="1"/>
    </xf>
    <xf numFmtId="38" fontId="29" fillId="11" borderId="458" xfId="9" applyFont="1" applyFill="1" applyBorder="1" applyAlignment="1" applyProtection="1">
      <alignment horizontal="center" vertical="center" shrinkToFit="1"/>
      <protection hidden="1"/>
    </xf>
    <xf numFmtId="0" fontId="44" fillId="18" borderId="99" xfId="0" applyFont="1" applyFill="1" applyBorder="1" applyAlignment="1" applyProtection="1">
      <alignment horizontal="center" vertical="center" wrapText="1"/>
      <protection hidden="1"/>
    </xf>
    <xf numFmtId="0" fontId="44" fillId="18" borderId="0" xfId="0" applyFont="1" applyFill="1" applyAlignment="1" applyProtection="1">
      <alignment horizontal="center" vertical="center" wrapText="1"/>
      <protection hidden="1"/>
    </xf>
    <xf numFmtId="0" fontId="44" fillId="18" borderId="308" xfId="0" applyFont="1" applyFill="1" applyBorder="1" applyAlignment="1" applyProtection="1">
      <alignment horizontal="center" vertical="center" wrapText="1"/>
      <protection hidden="1"/>
    </xf>
    <xf numFmtId="0" fontId="44" fillId="18" borderId="774" xfId="0" applyFont="1" applyFill="1" applyBorder="1" applyAlignment="1" applyProtection="1">
      <alignment horizontal="center" vertical="center" wrapText="1"/>
      <protection hidden="1"/>
    </xf>
    <xf numFmtId="0" fontId="44" fillId="18" borderId="708" xfId="0" applyFont="1" applyFill="1" applyBorder="1" applyAlignment="1" applyProtection="1">
      <alignment horizontal="center" vertical="center" wrapText="1"/>
      <protection hidden="1"/>
    </xf>
    <xf numFmtId="0" fontId="44" fillId="18" borderId="775" xfId="0" applyFont="1" applyFill="1" applyBorder="1" applyAlignment="1" applyProtection="1">
      <alignment horizontal="center" vertical="center" wrapText="1"/>
      <protection hidden="1"/>
    </xf>
    <xf numFmtId="49" fontId="158" fillId="8" borderId="423" xfId="9" applyNumberFormat="1" applyFont="1" applyFill="1" applyBorder="1" applyAlignment="1" applyProtection="1">
      <alignment horizontal="center" vertical="center" shrinkToFit="1"/>
      <protection hidden="1"/>
    </xf>
    <xf numFmtId="49" fontId="158" fillId="8" borderId="761" xfId="9" applyNumberFormat="1" applyFont="1" applyFill="1" applyBorder="1" applyAlignment="1" applyProtection="1">
      <alignment horizontal="center" vertical="center" shrinkToFit="1"/>
      <protection hidden="1"/>
    </xf>
    <xf numFmtId="49" fontId="158" fillId="8" borderId="96" xfId="9" applyNumberFormat="1" applyFont="1" applyFill="1" applyBorder="1" applyAlignment="1" applyProtection="1">
      <alignment horizontal="center" vertical="center" shrinkToFit="1"/>
      <protection hidden="1"/>
    </xf>
    <xf numFmtId="49" fontId="158" fillId="8" borderId="458" xfId="9" applyNumberFormat="1" applyFont="1" applyFill="1" applyBorder="1" applyAlignment="1" applyProtection="1">
      <alignment horizontal="center" vertical="center" shrinkToFit="1"/>
      <protection hidden="1"/>
    </xf>
    <xf numFmtId="38" fontId="38" fillId="2" borderId="96" xfId="9" applyFont="1" applyFill="1" applyBorder="1" applyAlignment="1" applyProtection="1">
      <alignment horizontal="center" vertical="center" shrinkToFit="1"/>
      <protection locked="0"/>
    </xf>
    <xf numFmtId="49" fontId="158" fillId="8" borderId="762" xfId="9" applyNumberFormat="1" applyFont="1" applyFill="1" applyBorder="1" applyAlignment="1" applyProtection="1">
      <alignment horizontal="center" vertical="center" shrinkToFit="1"/>
      <protection hidden="1"/>
    </xf>
    <xf numFmtId="0" fontId="140" fillId="18" borderId="404" xfId="8" applyFont="1" applyFill="1" applyBorder="1" applyAlignment="1">
      <alignment horizontal="center" vertical="center" wrapText="1"/>
    </xf>
    <xf numFmtId="0" fontId="140" fillId="18" borderId="96" xfId="8" applyFont="1" applyFill="1" applyBorder="1" applyAlignment="1">
      <alignment horizontal="center" vertical="center" wrapText="1"/>
    </xf>
    <xf numFmtId="0" fontId="140" fillId="18" borderId="458" xfId="8" applyFont="1" applyFill="1" applyBorder="1" applyAlignment="1">
      <alignment horizontal="center" vertical="center" wrapText="1"/>
    </xf>
    <xf numFmtId="0" fontId="140" fillId="18" borderId="305" xfId="8" applyFont="1" applyFill="1" applyBorder="1" applyAlignment="1">
      <alignment horizontal="center" vertical="center" wrapText="1"/>
    </xf>
    <xf numFmtId="0" fontId="140" fillId="18" borderId="0" xfId="8" applyFont="1" applyFill="1" applyAlignment="1">
      <alignment horizontal="center" vertical="center" wrapText="1"/>
    </xf>
    <xf numFmtId="0" fontId="140" fillId="18" borderId="97" xfId="8" applyFont="1" applyFill="1" applyBorder="1" applyAlignment="1">
      <alignment horizontal="center" vertical="center" wrapText="1"/>
    </xf>
    <xf numFmtId="0" fontId="140" fillId="18" borderId="538" xfId="8" applyFont="1" applyFill="1" applyBorder="1" applyAlignment="1">
      <alignment horizontal="center" vertical="center" wrapText="1"/>
    </xf>
    <xf numFmtId="0" fontId="140" fillId="18" borderId="449" xfId="8" applyFont="1" applyFill="1" applyBorder="1" applyAlignment="1">
      <alignment horizontal="center" vertical="center" wrapText="1"/>
    </xf>
    <xf numFmtId="0" fontId="140" fillId="18" borderId="478" xfId="8" applyFont="1" applyFill="1" applyBorder="1" applyAlignment="1">
      <alignment horizontal="center" vertical="center" wrapText="1"/>
    </xf>
    <xf numFmtId="0" fontId="51" fillId="8" borderId="4" xfId="8" applyFont="1" applyFill="1" applyBorder="1" applyAlignment="1" applyProtection="1">
      <alignment horizontal="right" vertical="center" wrapText="1"/>
      <protection hidden="1"/>
    </xf>
    <xf numFmtId="0" fontId="165" fillId="8" borderId="0" xfId="1" applyFont="1" applyFill="1" applyAlignment="1" applyProtection="1">
      <alignment horizontal="right" vertical="center" wrapText="1"/>
      <protection hidden="1"/>
    </xf>
    <xf numFmtId="38" fontId="42" fillId="2" borderId="699" xfId="2" applyFont="1" applyFill="1" applyBorder="1" applyAlignment="1" applyProtection="1">
      <alignment horizontal="center" vertical="center" shrinkToFit="1"/>
      <protection locked="0" hidden="1"/>
    </xf>
    <xf numFmtId="38" fontId="42" fillId="2" borderId="0" xfId="2" applyFont="1" applyFill="1" applyBorder="1" applyAlignment="1" applyProtection="1">
      <alignment horizontal="center" vertical="center" shrinkToFit="1"/>
      <protection locked="0" hidden="1"/>
    </xf>
    <xf numFmtId="38" fontId="42" fillId="2" borderId="708" xfId="2" applyFont="1" applyFill="1" applyBorder="1" applyAlignment="1" applyProtection="1">
      <alignment horizontal="center" vertical="center" shrinkToFit="1"/>
      <protection locked="0" hidden="1"/>
    </xf>
    <xf numFmtId="0" fontId="44" fillId="11" borderId="404" xfId="0" applyFont="1" applyFill="1" applyBorder="1" applyAlignment="1">
      <alignment horizontal="center" vertical="center" wrapText="1"/>
    </xf>
    <xf numFmtId="0" fontId="44" fillId="11" borderId="96" xfId="0" applyFont="1" applyFill="1" applyBorder="1" applyAlignment="1">
      <alignment horizontal="center" vertical="center" wrapText="1"/>
    </xf>
    <xf numFmtId="0" fontId="44" fillId="11" borderId="0" xfId="0" applyFont="1" applyFill="1" applyAlignment="1">
      <alignment horizontal="center" vertical="center" wrapText="1"/>
    </xf>
    <xf numFmtId="0" fontId="44" fillId="11" borderId="305" xfId="0" applyFont="1" applyFill="1" applyBorder="1" applyAlignment="1">
      <alignment horizontal="center" vertical="center" wrapText="1"/>
    </xf>
    <xf numFmtId="0" fontId="44" fillId="11" borderId="544" xfId="0" applyFont="1" applyFill="1" applyBorder="1" applyAlignment="1">
      <alignment horizontal="center" vertical="center" wrapText="1" shrinkToFit="1"/>
    </xf>
    <xf numFmtId="0" fontId="44" fillId="11" borderId="0" xfId="0" applyFont="1" applyFill="1" applyAlignment="1">
      <alignment horizontal="center" vertical="center" wrapText="1" shrinkToFit="1"/>
    </xf>
    <xf numFmtId="0" fontId="44" fillId="11" borderId="568" xfId="0" applyFont="1" applyFill="1" applyBorder="1" applyAlignment="1">
      <alignment horizontal="center" vertical="center" wrapText="1" shrinkToFit="1"/>
    </xf>
    <xf numFmtId="0" fontId="44" fillId="11" borderId="544" xfId="0" applyFont="1" applyFill="1" applyBorder="1" applyAlignment="1" applyProtection="1">
      <alignment horizontal="left" vertical="center" wrapText="1"/>
      <protection hidden="1"/>
    </xf>
    <xf numFmtId="0" fontId="44" fillId="11" borderId="0" xfId="0" applyFont="1" applyFill="1" applyAlignment="1" applyProtection="1">
      <alignment horizontal="left" vertical="center" wrapText="1"/>
      <protection hidden="1"/>
    </xf>
    <xf numFmtId="0" fontId="44" fillId="11" borderId="308" xfId="0" applyFont="1" applyFill="1" applyBorder="1" applyAlignment="1" applyProtection="1">
      <alignment horizontal="left" vertical="center" wrapText="1"/>
      <protection hidden="1"/>
    </xf>
    <xf numFmtId="0" fontId="44" fillId="11" borderId="770" xfId="0" applyFont="1" applyFill="1" applyBorder="1" applyAlignment="1" applyProtection="1">
      <alignment horizontal="left" vertical="center" wrapText="1"/>
      <protection hidden="1"/>
    </xf>
    <xf numFmtId="0" fontId="44" fillId="11" borderId="449" xfId="0" applyFont="1" applyFill="1" applyBorder="1" applyAlignment="1" applyProtection="1">
      <alignment horizontal="left" vertical="center" wrapText="1"/>
      <protection hidden="1"/>
    </xf>
    <xf numFmtId="0" fontId="44" fillId="11" borderId="555" xfId="0" applyFont="1" applyFill="1" applyBorder="1" applyAlignment="1" applyProtection="1">
      <alignment horizontal="left" vertical="center" wrapText="1"/>
      <protection hidden="1"/>
    </xf>
    <xf numFmtId="0" fontId="44" fillId="11" borderId="428" xfId="0" applyFont="1" applyFill="1" applyBorder="1" applyAlignment="1">
      <alignment horizontal="center" vertical="center" wrapText="1"/>
    </xf>
    <xf numFmtId="0" fontId="44" fillId="11" borderId="429" xfId="0" applyFont="1" applyFill="1" applyBorder="1" applyAlignment="1">
      <alignment horizontal="center" vertical="center" wrapText="1"/>
    </xf>
    <xf numFmtId="0" fontId="42" fillId="2" borderId="429" xfId="0" applyFont="1" applyFill="1" applyBorder="1" applyAlignment="1" applyProtection="1">
      <alignment horizontal="center" vertical="center" shrinkToFit="1"/>
      <protection locked="0" hidden="1"/>
    </xf>
    <xf numFmtId="0" fontId="42" fillId="2" borderId="426" xfId="0" applyFont="1" applyFill="1" applyBorder="1" applyAlignment="1" applyProtection="1">
      <alignment horizontal="center" vertical="center" shrinkToFit="1"/>
      <protection locked="0" hidden="1"/>
    </xf>
    <xf numFmtId="0" fontId="44" fillId="11" borderId="425" xfId="0" applyFont="1" applyFill="1" applyBorder="1" applyAlignment="1">
      <alignment horizontal="center" vertical="center" wrapText="1" shrinkToFit="1"/>
    </xf>
    <xf numFmtId="0" fontId="44" fillId="11" borderId="423" xfId="0" applyFont="1" applyFill="1" applyBorder="1" applyAlignment="1">
      <alignment horizontal="center" vertical="center" wrapText="1" shrinkToFit="1"/>
    </xf>
    <xf numFmtId="0" fontId="44" fillId="11" borderId="432" xfId="0" applyFont="1" applyFill="1" applyBorder="1" applyAlignment="1">
      <alignment horizontal="center" vertical="center" wrapText="1" shrinkToFit="1"/>
    </xf>
    <xf numFmtId="38" fontId="42" fillId="2" borderId="427" xfId="2" applyFont="1" applyFill="1" applyBorder="1" applyAlignment="1" applyProtection="1">
      <alignment horizontal="center" vertical="center" shrinkToFit="1"/>
      <protection locked="0" hidden="1"/>
    </xf>
    <xf numFmtId="38" fontId="42" fillId="2" borderId="423" xfId="2" applyFont="1" applyFill="1" applyBorder="1" applyAlignment="1" applyProtection="1">
      <alignment horizontal="center" vertical="center" shrinkToFit="1"/>
      <protection locked="0" hidden="1"/>
    </xf>
    <xf numFmtId="0" fontId="69" fillId="11" borderId="773" xfId="0" applyFont="1" applyFill="1" applyBorder="1" applyAlignment="1" applyProtection="1">
      <alignment horizontal="center" vertical="center" wrapText="1"/>
      <protection hidden="1"/>
    </xf>
    <xf numFmtId="0" fontId="69" fillId="11" borderId="699" xfId="0" applyFont="1" applyFill="1" applyBorder="1" applyAlignment="1" applyProtection="1">
      <alignment horizontal="center" vertical="center" wrapText="1"/>
      <protection hidden="1"/>
    </xf>
    <xf numFmtId="0" fontId="69" fillId="11" borderId="99" xfId="0" applyFont="1" applyFill="1" applyBorder="1" applyAlignment="1" applyProtection="1">
      <alignment horizontal="center" vertical="center" wrapText="1"/>
      <protection hidden="1"/>
    </xf>
    <xf numFmtId="0" fontId="69" fillId="11" borderId="0" xfId="0" applyFont="1" applyFill="1" applyAlignment="1" applyProtection="1">
      <alignment horizontal="center" vertical="center" wrapText="1"/>
      <protection hidden="1"/>
    </xf>
    <xf numFmtId="0" fontId="69" fillId="11" borderId="774" xfId="0" applyFont="1" applyFill="1" applyBorder="1" applyAlignment="1" applyProtection="1">
      <alignment horizontal="center" vertical="center" wrapText="1"/>
      <protection hidden="1"/>
    </xf>
    <xf numFmtId="0" fontId="69" fillId="11" borderId="708" xfId="0" applyFont="1" applyFill="1" applyBorder="1" applyAlignment="1" applyProtection="1">
      <alignment horizontal="center" vertical="center" wrapText="1"/>
      <protection hidden="1"/>
    </xf>
    <xf numFmtId="38" fontId="42" fillId="52" borderId="699" xfId="0" applyNumberFormat="1" applyFont="1" applyFill="1" applyBorder="1" applyAlignment="1" applyProtection="1">
      <alignment horizontal="center" vertical="center" shrinkToFit="1"/>
      <protection hidden="1"/>
    </xf>
    <xf numFmtId="0" fontId="42" fillId="52" borderId="699" xfId="0" applyFont="1" applyFill="1" applyBorder="1" applyAlignment="1" applyProtection="1">
      <alignment horizontal="center" vertical="center" shrinkToFit="1"/>
      <protection hidden="1"/>
    </xf>
    <xf numFmtId="0" fontId="42" fillId="52" borderId="0" xfId="0" applyFont="1" applyFill="1" applyAlignment="1" applyProtection="1">
      <alignment horizontal="center" vertical="center" shrinkToFit="1"/>
      <protection hidden="1"/>
    </xf>
    <xf numFmtId="0" fontId="42" fillId="52" borderId="708" xfId="0" applyFont="1" applyFill="1" applyBorder="1" applyAlignment="1" applyProtection="1">
      <alignment horizontal="center" vertical="center" shrinkToFit="1"/>
      <protection hidden="1"/>
    </xf>
    <xf numFmtId="0" fontId="72" fillId="54" borderId="453" xfId="8" applyFont="1" applyFill="1" applyBorder="1" applyAlignment="1">
      <alignment horizontal="left" vertical="center" wrapText="1" shrinkToFit="1"/>
    </xf>
    <xf numFmtId="0" fontId="72" fillId="54" borderId="96" xfId="8" applyFont="1" applyFill="1" applyBorder="1" applyAlignment="1">
      <alignment horizontal="left" vertical="center" wrapText="1" shrinkToFit="1"/>
    </xf>
    <xf numFmtId="0" fontId="72" fillId="54" borderId="582" xfId="8" applyFont="1" applyFill="1" applyBorder="1" applyAlignment="1">
      <alignment horizontal="left" vertical="center" wrapText="1" shrinkToFit="1"/>
    </xf>
    <xf numFmtId="0" fontId="72" fillId="54" borderId="99" xfId="8" applyFont="1" applyFill="1" applyBorder="1" applyAlignment="1">
      <alignment horizontal="left" vertical="center" wrapText="1" shrinkToFit="1"/>
    </xf>
    <xf numFmtId="0" fontId="72" fillId="54" borderId="0" xfId="8" applyFont="1" applyFill="1" applyAlignment="1">
      <alignment horizontal="left" vertical="center" wrapText="1" shrinkToFit="1"/>
    </xf>
    <xf numFmtId="0" fontId="72" fillId="54" borderId="583" xfId="8" applyFont="1" applyFill="1" applyBorder="1" applyAlignment="1">
      <alignment horizontal="left" vertical="center" wrapText="1" shrinkToFit="1"/>
    </xf>
    <xf numFmtId="0" fontId="72" fillId="54" borderId="454" xfId="8" applyFont="1" applyFill="1" applyBorder="1" applyAlignment="1">
      <alignment horizontal="left" vertical="center" wrapText="1" shrinkToFit="1"/>
    </xf>
    <xf numFmtId="0" fontId="72" fillId="54" borderId="449" xfId="8" applyFont="1" applyFill="1" applyBorder="1" applyAlignment="1">
      <alignment horizontal="left" vertical="center" wrapText="1" shrinkToFit="1"/>
    </xf>
    <xf numFmtId="0" fontId="72" fillId="54" borderId="598" xfId="8" applyFont="1" applyFill="1" applyBorder="1" applyAlignment="1">
      <alignment horizontal="left" vertical="center" wrapText="1" shrinkToFit="1"/>
    </xf>
    <xf numFmtId="0" fontId="44" fillId="20" borderId="453" xfId="8" applyFont="1" applyFill="1" applyBorder="1" applyAlignment="1">
      <alignment horizontal="center" vertical="center" wrapText="1" shrinkToFit="1"/>
    </xf>
    <xf numFmtId="0" fontId="44" fillId="20" borderId="96" xfId="8" applyFont="1" applyFill="1" applyBorder="1" applyAlignment="1">
      <alignment horizontal="center" vertical="center" wrapText="1" shrinkToFit="1"/>
    </xf>
    <xf numFmtId="0" fontId="44" fillId="20" borderId="99" xfId="8" applyFont="1" applyFill="1" applyBorder="1" applyAlignment="1">
      <alignment horizontal="center" vertical="center" wrapText="1" shrinkToFit="1"/>
    </xf>
    <xf numFmtId="0" fontId="44" fillId="20" borderId="0" xfId="8" applyFont="1" applyFill="1" applyAlignment="1">
      <alignment horizontal="center" vertical="center" wrapText="1" shrinkToFit="1"/>
    </xf>
    <xf numFmtId="0" fontId="44" fillId="20" borderId="454" xfId="8" applyFont="1" applyFill="1" applyBorder="1" applyAlignment="1">
      <alignment horizontal="center" vertical="center" wrapText="1" shrinkToFit="1"/>
    </xf>
    <xf numFmtId="0" fontId="44" fillId="20" borderId="449" xfId="8" applyFont="1" applyFill="1" applyBorder="1" applyAlignment="1">
      <alignment horizontal="center" vertical="center" wrapText="1" shrinkToFit="1"/>
    </xf>
    <xf numFmtId="0" fontId="44" fillId="11" borderId="549" xfId="0" applyFont="1" applyFill="1" applyBorder="1" applyAlignment="1">
      <alignment horizontal="center" vertical="center" wrapText="1"/>
    </xf>
    <xf numFmtId="0" fontId="44" fillId="11" borderId="550" xfId="0" applyFont="1" applyFill="1" applyBorder="1" applyAlignment="1">
      <alignment horizontal="center" vertical="center" wrapText="1"/>
    </xf>
    <xf numFmtId="0" fontId="44" fillId="11" borderId="538" xfId="0" applyFont="1" applyFill="1" applyBorder="1" applyAlignment="1">
      <alignment horizontal="center" vertical="center" wrapText="1"/>
    </xf>
    <xf numFmtId="0" fontId="44" fillId="11" borderId="449" xfId="0" applyFont="1" applyFill="1" applyBorder="1" applyAlignment="1">
      <alignment horizontal="center" vertical="center" wrapText="1"/>
    </xf>
    <xf numFmtId="0" fontId="44" fillId="11" borderId="551" xfId="0" applyFont="1" applyFill="1" applyBorder="1" applyAlignment="1">
      <alignment horizontal="center" vertical="center" wrapText="1"/>
    </xf>
    <xf numFmtId="0" fontId="30" fillId="8" borderId="182" xfId="8" applyFont="1" applyFill="1" applyBorder="1" applyAlignment="1" applyProtection="1">
      <alignment horizontal="left" vertical="center"/>
      <protection hidden="1"/>
    </xf>
    <xf numFmtId="0" fontId="30" fillId="8" borderId="183" xfId="8" applyFont="1" applyFill="1" applyBorder="1" applyAlignment="1" applyProtection="1">
      <alignment horizontal="left" vertical="center"/>
      <protection hidden="1"/>
    </xf>
    <xf numFmtId="0" fontId="30" fillId="8" borderId="184" xfId="8" applyFont="1" applyFill="1" applyBorder="1" applyAlignment="1" applyProtection="1">
      <alignment horizontal="left" vertical="center"/>
      <protection hidden="1"/>
    </xf>
    <xf numFmtId="0" fontId="45" fillId="62" borderId="404" xfId="8" applyFont="1" applyFill="1" applyBorder="1" applyAlignment="1" applyProtection="1">
      <alignment horizontal="center" vertical="center" wrapText="1" shrinkToFit="1"/>
      <protection hidden="1"/>
    </xf>
    <xf numFmtId="0" fontId="45" fillId="62" borderId="96" xfId="8" applyFont="1" applyFill="1" applyBorder="1" applyAlignment="1" applyProtection="1">
      <alignment horizontal="center" vertical="center" wrapText="1" shrinkToFit="1"/>
      <protection hidden="1"/>
    </xf>
    <xf numFmtId="0" fontId="45" fillId="62" borderId="537" xfId="8" applyFont="1" applyFill="1" applyBorder="1" applyAlignment="1" applyProtection="1">
      <alignment horizontal="center" vertical="center" wrapText="1" shrinkToFit="1"/>
      <protection hidden="1"/>
    </xf>
    <xf numFmtId="0" fontId="72" fillId="2" borderId="581" xfId="8" applyFont="1" applyFill="1" applyBorder="1" applyAlignment="1" applyProtection="1">
      <alignment horizontal="center" vertical="center" shrinkToFit="1"/>
      <protection locked="0"/>
    </xf>
    <xf numFmtId="0" fontId="72" fillId="2" borderId="96" xfId="8" applyFont="1" applyFill="1" applyBorder="1" applyAlignment="1" applyProtection="1">
      <alignment horizontal="center" vertical="center" shrinkToFit="1"/>
      <protection locked="0"/>
    </xf>
    <xf numFmtId="0" fontId="72" fillId="2" borderId="531" xfId="8" applyFont="1" applyFill="1" applyBorder="1" applyAlignment="1" applyProtection="1">
      <alignment horizontal="center" vertical="center" shrinkToFit="1"/>
      <protection locked="0"/>
    </xf>
    <xf numFmtId="0" fontId="72" fillId="2" borderId="419" xfId="8" applyFont="1" applyFill="1" applyBorder="1" applyAlignment="1" applyProtection="1">
      <alignment horizontal="center" vertical="center" shrinkToFit="1"/>
      <protection locked="0"/>
    </xf>
    <xf numFmtId="0" fontId="72" fillId="2" borderId="0" xfId="8" applyFont="1" applyFill="1" applyAlignment="1" applyProtection="1">
      <alignment horizontal="center" vertical="center" shrinkToFit="1"/>
      <protection locked="0"/>
    </xf>
    <xf numFmtId="0" fontId="72" fillId="2" borderId="64" xfId="8" applyFont="1" applyFill="1" applyBorder="1" applyAlignment="1" applyProtection="1">
      <alignment horizontal="center" vertical="center" shrinkToFit="1"/>
      <protection locked="0"/>
    </xf>
    <xf numFmtId="0" fontId="72" fillId="2" borderId="589" xfId="8" applyFont="1" applyFill="1" applyBorder="1" applyAlignment="1" applyProtection="1">
      <alignment horizontal="center" vertical="center" shrinkToFit="1"/>
      <protection locked="0"/>
    </xf>
    <xf numFmtId="0" fontId="72" fillId="2" borderId="449" xfId="8" applyFont="1" applyFill="1" applyBorder="1" applyAlignment="1" applyProtection="1">
      <alignment horizontal="center" vertical="center" shrinkToFit="1"/>
      <protection locked="0"/>
    </xf>
    <xf numFmtId="0" fontId="72" fillId="2" borderId="521" xfId="8" applyFont="1" applyFill="1" applyBorder="1" applyAlignment="1" applyProtection="1">
      <alignment horizontal="center" vertical="center" shrinkToFit="1"/>
      <protection locked="0"/>
    </xf>
    <xf numFmtId="38" fontId="28" fillId="2" borderId="96" xfId="9" applyFont="1" applyFill="1" applyBorder="1" applyAlignment="1" applyProtection="1">
      <alignment horizontal="center" vertical="center" shrinkToFit="1"/>
      <protection locked="0"/>
    </xf>
    <xf numFmtId="38" fontId="28" fillId="2" borderId="0" xfId="9" applyFont="1" applyFill="1" applyBorder="1" applyAlignment="1" applyProtection="1">
      <alignment horizontal="center" vertical="center" shrinkToFit="1"/>
      <protection locked="0"/>
    </xf>
    <xf numFmtId="38" fontId="28" fillId="2" borderId="449" xfId="9" applyFont="1" applyFill="1" applyBorder="1" applyAlignment="1" applyProtection="1">
      <alignment horizontal="center" vertical="center" shrinkToFit="1"/>
      <protection locked="0"/>
    </xf>
    <xf numFmtId="38" fontId="28" fillId="2" borderId="289" xfId="9" applyFont="1" applyFill="1" applyBorder="1" applyAlignment="1" applyProtection="1">
      <alignment horizontal="center" vertical="center" shrinkToFit="1"/>
      <protection locked="0"/>
    </xf>
    <xf numFmtId="0" fontId="28" fillId="2" borderId="764" xfId="8" applyFont="1" applyFill="1" applyBorder="1" applyAlignment="1" applyProtection="1">
      <alignment horizontal="right" vertical="center" shrinkToFit="1"/>
      <protection locked="0"/>
    </xf>
    <xf numFmtId="0" fontId="28" fillId="2" borderId="96" xfId="8" applyFont="1" applyFill="1" applyBorder="1" applyAlignment="1" applyProtection="1">
      <alignment horizontal="right" vertical="center" shrinkToFit="1"/>
      <protection locked="0"/>
    </xf>
    <xf numFmtId="0" fontId="28" fillId="2" borderId="546" xfId="8" applyFont="1" applyFill="1" applyBorder="1" applyAlignment="1" applyProtection="1">
      <alignment horizontal="right" vertical="center" shrinkToFit="1"/>
      <protection locked="0"/>
    </xf>
    <xf numFmtId="0" fontId="28" fillId="2" borderId="0" xfId="8" applyFont="1" applyFill="1" applyAlignment="1" applyProtection="1">
      <alignment horizontal="right" vertical="center" shrinkToFit="1"/>
      <protection locked="0"/>
    </xf>
    <xf numFmtId="0" fontId="28" fillId="2" borderId="767" xfId="8" applyFont="1" applyFill="1" applyBorder="1" applyAlignment="1" applyProtection="1">
      <alignment horizontal="right" vertical="center" shrinkToFit="1"/>
      <protection locked="0"/>
    </xf>
    <xf numFmtId="0" fontId="28" fillId="2" borderId="449" xfId="8" applyFont="1" applyFill="1" applyBorder="1" applyAlignment="1" applyProtection="1">
      <alignment horizontal="right" vertical="center" shrinkToFit="1"/>
      <protection locked="0"/>
    </xf>
    <xf numFmtId="0" fontId="28" fillId="8" borderId="96" xfId="8" applyFont="1" applyFill="1" applyBorder="1" applyAlignment="1" applyProtection="1">
      <alignment horizontal="left" vertical="center" shrinkToFit="1"/>
      <protection locked="0"/>
    </xf>
    <xf numFmtId="0" fontId="28" fillId="8" borderId="458" xfId="8" applyFont="1" applyFill="1" applyBorder="1" applyAlignment="1" applyProtection="1">
      <alignment horizontal="left" vertical="center" shrinkToFit="1"/>
      <protection locked="0"/>
    </xf>
    <xf numFmtId="0" fontId="28" fillId="8" borderId="0" xfId="8" applyFont="1" applyFill="1" applyAlignment="1" applyProtection="1">
      <alignment horizontal="left" vertical="center" shrinkToFit="1"/>
      <protection locked="0"/>
    </xf>
    <xf numFmtId="0" fontId="28" fillId="8" borderId="97" xfId="8" applyFont="1" applyFill="1" applyBorder="1" applyAlignment="1" applyProtection="1">
      <alignment horizontal="left" vertical="center" shrinkToFit="1"/>
      <protection locked="0"/>
    </xf>
    <xf numFmtId="0" fontId="28" fillId="8" borderId="449" xfId="8" applyFont="1" applyFill="1" applyBorder="1" applyAlignment="1" applyProtection="1">
      <alignment horizontal="left" vertical="center" shrinkToFit="1"/>
      <protection locked="0"/>
    </xf>
    <xf numFmtId="0" fontId="28" fillId="8" borderId="478" xfId="8" applyFont="1" applyFill="1" applyBorder="1" applyAlignment="1" applyProtection="1">
      <alignment horizontal="left" vertical="center" shrinkToFit="1"/>
      <protection locked="0"/>
    </xf>
    <xf numFmtId="0" fontId="50" fillId="9" borderId="182" xfId="8" applyFont="1" applyFill="1" applyBorder="1" applyAlignment="1" applyProtection="1">
      <alignment horizontal="center" vertical="center"/>
      <protection hidden="1"/>
    </xf>
    <xf numFmtId="0" fontId="50" fillId="9" borderId="183" xfId="8" applyFont="1" applyFill="1" applyBorder="1" applyAlignment="1" applyProtection="1">
      <alignment horizontal="center" vertical="center"/>
      <protection hidden="1"/>
    </xf>
    <xf numFmtId="0" fontId="50" fillId="9" borderId="184" xfId="8" applyFont="1" applyFill="1" applyBorder="1" applyAlignment="1" applyProtection="1">
      <alignment horizontal="center" vertical="center"/>
      <protection hidden="1"/>
    </xf>
    <xf numFmtId="0" fontId="163" fillId="11" borderId="404" xfId="8" applyFont="1" applyFill="1" applyBorder="1" applyAlignment="1" applyProtection="1">
      <alignment horizontal="center" vertical="center" wrapText="1" shrinkToFit="1"/>
      <protection hidden="1"/>
    </xf>
    <xf numFmtId="0" fontId="163" fillId="11" borderId="96" xfId="8" applyFont="1" applyFill="1" applyBorder="1" applyAlignment="1" applyProtection="1">
      <alignment horizontal="center" vertical="center" wrapText="1" shrinkToFit="1"/>
      <protection hidden="1"/>
    </xf>
    <xf numFmtId="0" fontId="163" fillId="11" borderId="305" xfId="8" applyFont="1" applyFill="1" applyBorder="1" applyAlignment="1" applyProtection="1">
      <alignment horizontal="center" vertical="center" wrapText="1" shrinkToFit="1"/>
      <protection hidden="1"/>
    </xf>
    <xf numFmtId="0" fontId="163" fillId="11" borderId="0" xfId="8" applyFont="1" applyFill="1" applyAlignment="1" applyProtection="1">
      <alignment horizontal="center" vertical="center" wrapText="1" shrinkToFit="1"/>
      <protection hidden="1"/>
    </xf>
    <xf numFmtId="0" fontId="163" fillId="11" borderId="538" xfId="8" applyFont="1" applyFill="1" applyBorder="1" applyAlignment="1" applyProtection="1">
      <alignment horizontal="center" vertical="center" wrapText="1" shrinkToFit="1"/>
      <protection hidden="1"/>
    </xf>
    <xf numFmtId="0" fontId="163" fillId="11" borderId="449" xfId="8" applyFont="1" applyFill="1" applyBorder="1" applyAlignment="1" applyProtection="1">
      <alignment horizontal="center" vertical="center" wrapText="1" shrinkToFit="1"/>
      <protection hidden="1"/>
    </xf>
    <xf numFmtId="0" fontId="31" fillId="11" borderId="454" xfId="8" applyFont="1" applyFill="1" applyBorder="1" applyAlignment="1" applyProtection="1">
      <alignment horizontal="center" vertical="center" wrapText="1" shrinkToFit="1"/>
      <protection hidden="1"/>
    </xf>
    <xf numFmtId="0" fontId="31" fillId="11" borderId="598" xfId="8" applyFont="1" applyFill="1" applyBorder="1" applyAlignment="1" applyProtection="1">
      <alignment horizontal="center" vertical="center" wrapText="1" shrinkToFit="1"/>
      <protection hidden="1"/>
    </xf>
    <xf numFmtId="0" fontId="38" fillId="2" borderId="419" xfId="8" applyFont="1" applyFill="1" applyBorder="1" applyAlignment="1" applyProtection="1">
      <alignment horizontal="center" vertical="center" shrinkToFit="1"/>
      <protection locked="0"/>
    </xf>
    <xf numFmtId="0" fontId="38" fillId="2" borderId="0" xfId="8" applyFont="1" applyFill="1" applyAlignment="1" applyProtection="1">
      <alignment horizontal="center" vertical="center" shrinkToFit="1"/>
      <protection locked="0"/>
    </xf>
    <xf numFmtId="0" fontId="38" fillId="2" borderId="97" xfId="8" applyFont="1" applyFill="1" applyBorder="1" applyAlignment="1" applyProtection="1">
      <alignment horizontal="center" vertical="center" shrinkToFit="1"/>
      <protection locked="0"/>
    </xf>
    <xf numFmtId="0" fontId="38" fillId="2" borderId="589" xfId="8" applyFont="1" applyFill="1" applyBorder="1" applyAlignment="1" applyProtection="1">
      <alignment horizontal="center" vertical="center" shrinkToFit="1"/>
      <protection locked="0"/>
    </xf>
    <xf numFmtId="0" fontId="38" fillId="2" borderId="449" xfId="8" applyFont="1" applyFill="1" applyBorder="1" applyAlignment="1" applyProtection="1">
      <alignment horizontal="center" vertical="center" shrinkToFit="1"/>
      <protection locked="0"/>
    </xf>
    <xf numFmtId="0" fontId="38" fillId="2" borderId="478" xfId="8" applyFont="1" applyFill="1" applyBorder="1" applyAlignment="1" applyProtection="1">
      <alignment horizontal="center" vertical="center" shrinkToFit="1"/>
      <protection locked="0"/>
    </xf>
    <xf numFmtId="38" fontId="37" fillId="20" borderId="453" xfId="9" applyFont="1" applyFill="1" applyBorder="1" applyAlignment="1" applyProtection="1">
      <alignment horizontal="left" vertical="center" wrapText="1" shrinkToFit="1"/>
    </xf>
    <xf numFmtId="38" fontId="37" fillId="20" borderId="96" xfId="9" applyFont="1" applyFill="1" applyBorder="1" applyAlignment="1" applyProtection="1">
      <alignment horizontal="left" vertical="center" wrapText="1" shrinkToFit="1"/>
    </xf>
    <xf numFmtId="38" fontId="37" fillId="20" borderId="537" xfId="9" applyFont="1" applyFill="1" applyBorder="1" applyAlignment="1" applyProtection="1">
      <alignment horizontal="left" vertical="center" wrapText="1" shrinkToFit="1"/>
    </xf>
    <xf numFmtId="38" fontId="37" fillId="20" borderId="99" xfId="9" applyFont="1" applyFill="1" applyBorder="1" applyAlignment="1" applyProtection="1">
      <alignment horizontal="left" vertical="center" wrapText="1" shrinkToFit="1"/>
    </xf>
    <xf numFmtId="38" fontId="37" fillId="20" borderId="0" xfId="9" applyFont="1" applyFill="1" applyBorder="1" applyAlignment="1" applyProtection="1">
      <alignment horizontal="left" vertical="center" wrapText="1" shrinkToFit="1"/>
    </xf>
    <xf numFmtId="38" fontId="37" fillId="20" borderId="308" xfId="9" applyFont="1" applyFill="1" applyBorder="1" applyAlignment="1" applyProtection="1">
      <alignment horizontal="left" vertical="center" wrapText="1" shrinkToFit="1"/>
    </xf>
    <xf numFmtId="0" fontId="69" fillId="20" borderId="773" xfId="8" applyFont="1" applyFill="1" applyBorder="1" applyAlignment="1">
      <alignment horizontal="center" vertical="center" shrinkToFit="1"/>
    </xf>
    <xf numFmtId="0" fontId="69" fillId="20" borderId="699" xfId="8" applyFont="1" applyFill="1" applyBorder="1" applyAlignment="1">
      <alignment horizontal="center" vertical="center" shrinkToFit="1"/>
    </xf>
    <xf numFmtId="0" fontId="69" fillId="20" borderId="75" xfId="8" applyFont="1" applyFill="1" applyBorder="1" applyAlignment="1">
      <alignment horizontal="center" vertical="center" shrinkToFit="1"/>
    </xf>
    <xf numFmtId="0" fontId="37" fillId="2" borderId="458" xfId="8" applyFont="1" applyFill="1" applyBorder="1" applyAlignment="1" applyProtection="1">
      <alignment horizontal="center" vertical="center" wrapText="1" shrinkToFit="1"/>
      <protection locked="0"/>
    </xf>
    <xf numFmtId="0" fontId="37" fillId="2" borderId="97" xfId="8" applyFont="1" applyFill="1" applyBorder="1" applyAlignment="1" applyProtection="1">
      <alignment horizontal="center" vertical="center" wrapText="1" shrinkToFit="1"/>
      <protection locked="0"/>
    </xf>
    <xf numFmtId="0" fontId="37" fillId="2" borderId="478" xfId="8" applyFont="1" applyFill="1" applyBorder="1" applyAlignment="1" applyProtection="1">
      <alignment horizontal="center" vertical="center" wrapText="1" shrinkToFit="1"/>
      <protection locked="0"/>
    </xf>
    <xf numFmtId="0" fontId="18" fillId="20" borderId="99" xfId="1" applyFill="1" applyBorder="1" applyAlignment="1" applyProtection="1">
      <alignment horizontal="center" vertical="center" wrapText="1" shrinkToFit="1"/>
      <protection locked="0"/>
    </xf>
    <xf numFmtId="0" fontId="18" fillId="20" borderId="0" xfId="1" applyFill="1" applyBorder="1" applyAlignment="1" applyProtection="1">
      <alignment horizontal="center" vertical="center" wrapText="1" shrinkToFit="1"/>
      <protection locked="0"/>
    </xf>
    <xf numFmtId="0" fontId="18" fillId="20" borderId="41" xfId="1" applyFill="1" applyBorder="1" applyAlignment="1" applyProtection="1">
      <alignment horizontal="center" vertical="center" wrapText="1" shrinkToFit="1"/>
      <protection locked="0"/>
    </xf>
    <xf numFmtId="0" fontId="18" fillId="20" borderId="774" xfId="1" applyFill="1" applyBorder="1" applyAlignment="1" applyProtection="1">
      <alignment horizontal="center" vertical="center" wrapText="1" shrinkToFit="1"/>
      <protection locked="0"/>
    </xf>
    <xf numFmtId="0" fontId="18" fillId="20" borderId="708" xfId="1" applyFill="1" applyBorder="1" applyAlignment="1" applyProtection="1">
      <alignment horizontal="center" vertical="center" wrapText="1" shrinkToFit="1"/>
      <protection locked="0"/>
    </xf>
    <xf numFmtId="0" fontId="18" fillId="20" borderId="43" xfId="1" applyFill="1" applyBorder="1" applyAlignment="1" applyProtection="1">
      <alignment horizontal="center" vertical="center" wrapText="1" shrinkToFit="1"/>
      <protection locked="0"/>
    </xf>
    <xf numFmtId="0" fontId="42" fillId="2" borderId="764" xfId="0" applyFont="1" applyFill="1" applyBorder="1" applyAlignment="1" applyProtection="1">
      <alignment horizontal="center" vertical="center" shrinkToFit="1"/>
      <protection locked="0"/>
    </xf>
    <xf numFmtId="0" fontId="42" fillId="2" borderId="96" xfId="0" applyFont="1" applyFill="1" applyBorder="1" applyAlignment="1" applyProtection="1">
      <alignment horizontal="center" vertical="center" shrinkToFit="1"/>
      <protection locked="0"/>
    </xf>
    <xf numFmtId="0" fontId="42" fillId="2" borderId="546" xfId="0" applyFont="1" applyFill="1" applyBorder="1" applyAlignment="1" applyProtection="1">
      <alignment horizontal="center" vertical="center" shrinkToFit="1"/>
      <protection locked="0"/>
    </xf>
    <xf numFmtId="0" fontId="42" fillId="2" borderId="0" xfId="0" applyFont="1" applyFill="1" applyAlignment="1" applyProtection="1">
      <alignment horizontal="center" vertical="center" shrinkToFit="1"/>
      <protection locked="0"/>
    </xf>
    <xf numFmtId="0" fontId="42" fillId="2" borderId="765" xfId="0" applyFont="1" applyFill="1" applyBorder="1" applyAlignment="1" applyProtection="1">
      <alignment horizontal="center" vertical="center" shrinkToFit="1"/>
      <protection locked="0"/>
    </xf>
    <xf numFmtId="0" fontId="42" fillId="2" borderId="53" xfId="0" applyFont="1" applyFill="1" applyBorder="1" applyAlignment="1" applyProtection="1">
      <alignment horizontal="center" vertical="center" shrinkToFit="1"/>
      <protection locked="0"/>
    </xf>
    <xf numFmtId="0" fontId="31" fillId="11" borderId="549" xfId="8" applyFont="1" applyFill="1" applyBorder="1" applyAlignment="1" applyProtection="1">
      <alignment horizontal="center" vertical="center" wrapText="1" shrinkToFit="1"/>
      <protection hidden="1"/>
    </xf>
    <xf numFmtId="0" fontId="31" fillId="11" borderId="551" xfId="8" applyFont="1" applyFill="1" applyBorder="1" applyAlignment="1" applyProtection="1">
      <alignment horizontal="center" vertical="center" wrapText="1" shrinkToFit="1"/>
      <protection hidden="1"/>
    </xf>
    <xf numFmtId="38" fontId="37" fillId="20" borderId="454" xfId="9" applyFont="1" applyFill="1" applyBorder="1" applyAlignment="1" applyProtection="1">
      <alignment horizontal="left" vertical="center" wrapText="1" shrinkToFit="1"/>
    </xf>
    <xf numFmtId="38" fontId="37" fillId="20" borderId="449" xfId="9" applyFont="1" applyFill="1" applyBorder="1" applyAlignment="1" applyProtection="1">
      <alignment horizontal="left" vertical="center" wrapText="1" shrinkToFit="1"/>
    </xf>
    <xf numFmtId="38" fontId="37" fillId="20" borderId="555" xfId="9" applyFont="1" applyFill="1" applyBorder="1" applyAlignment="1" applyProtection="1">
      <alignment horizontal="left" vertical="center" wrapText="1" shrinkToFit="1"/>
    </xf>
    <xf numFmtId="0" fontId="28" fillId="2" borderId="418" xfId="8" applyFont="1" applyFill="1" applyBorder="1" applyAlignment="1" applyProtection="1">
      <alignment horizontal="center" vertical="center" shrinkToFit="1"/>
      <protection locked="0"/>
    </xf>
    <xf numFmtId="0" fontId="28" fillId="2" borderId="462" xfId="8" applyFont="1" applyFill="1" applyBorder="1" applyAlignment="1" applyProtection="1">
      <alignment horizontal="center" vertical="center" shrinkToFit="1"/>
      <protection locked="0"/>
    </xf>
    <xf numFmtId="0" fontId="28" fillId="2" borderId="419" xfId="8" applyFont="1" applyFill="1" applyBorder="1" applyAlignment="1" applyProtection="1">
      <alignment horizontal="center" vertical="center" shrinkToFit="1"/>
      <protection locked="0"/>
    </xf>
    <xf numFmtId="0" fontId="28" fillId="2" borderId="0" xfId="8" applyFont="1" applyFill="1" applyAlignment="1" applyProtection="1">
      <alignment horizontal="center" vertical="center" shrinkToFit="1"/>
      <protection locked="0"/>
    </xf>
    <xf numFmtId="0" fontId="28" fillId="2" borderId="97" xfId="8" applyFont="1" applyFill="1" applyBorder="1" applyAlignment="1" applyProtection="1">
      <alignment horizontal="center" vertical="center" shrinkToFit="1"/>
      <protection locked="0"/>
    </xf>
    <xf numFmtId="0" fontId="28" fillId="2" borderId="589" xfId="8" applyFont="1" applyFill="1" applyBorder="1" applyAlignment="1" applyProtection="1">
      <alignment horizontal="center" vertical="center" shrinkToFit="1"/>
      <protection locked="0"/>
    </xf>
    <xf numFmtId="0" fontId="28" fillId="2" borderId="449" xfId="8" applyFont="1" applyFill="1" applyBorder="1" applyAlignment="1" applyProtection="1">
      <alignment horizontal="center" vertical="center" shrinkToFit="1"/>
      <protection locked="0"/>
    </xf>
    <xf numFmtId="0" fontId="28" fillId="2" borderId="478" xfId="8" applyFont="1" applyFill="1" applyBorder="1" applyAlignment="1" applyProtection="1">
      <alignment horizontal="center" vertical="center" shrinkToFit="1"/>
      <protection locked="0"/>
    </xf>
    <xf numFmtId="0" fontId="31" fillId="11" borderId="460" xfId="8" applyFont="1" applyFill="1" applyBorder="1" applyAlignment="1" applyProtection="1">
      <alignment horizontal="center" vertical="center" wrapText="1" shrinkToFit="1"/>
      <protection hidden="1"/>
    </xf>
    <xf numFmtId="0" fontId="31" fillId="11" borderId="289" xfId="8" applyFont="1" applyFill="1" applyBorder="1" applyAlignment="1" applyProtection="1">
      <alignment horizontal="center" vertical="center" wrapText="1" shrinkToFit="1"/>
      <protection hidden="1"/>
    </xf>
    <xf numFmtId="0" fontId="31" fillId="11" borderId="656" xfId="8" applyFont="1" applyFill="1" applyBorder="1" applyAlignment="1" applyProtection="1">
      <alignment horizontal="center" vertical="center" wrapText="1" shrinkToFit="1"/>
      <protection hidden="1"/>
    </xf>
    <xf numFmtId="0" fontId="28" fillId="2" borderId="764" xfId="8" applyFont="1" applyFill="1" applyBorder="1" applyAlignment="1" applyProtection="1">
      <alignment horizontal="center" vertical="center" shrinkToFit="1"/>
      <protection locked="0"/>
    </xf>
    <xf numFmtId="0" fontId="28" fillId="2" borderId="96" xfId="8" applyFont="1" applyFill="1" applyBorder="1" applyAlignment="1" applyProtection="1">
      <alignment horizontal="center" vertical="center" shrinkToFit="1"/>
      <protection locked="0"/>
    </xf>
    <xf numFmtId="0" fontId="28" fillId="2" borderId="546" xfId="8" applyFont="1" applyFill="1" applyBorder="1" applyAlignment="1" applyProtection="1">
      <alignment horizontal="center" vertical="center" shrinkToFit="1"/>
      <protection locked="0"/>
    </xf>
    <xf numFmtId="0" fontId="28" fillId="2" borderId="772" xfId="8" applyFont="1" applyFill="1" applyBorder="1" applyAlignment="1" applyProtection="1">
      <alignment horizontal="center" vertical="center" shrinkToFit="1"/>
      <protection locked="0"/>
    </xf>
    <xf numFmtId="0" fontId="28" fillId="2" borderId="289" xfId="8" applyFont="1" applyFill="1" applyBorder="1" applyAlignment="1" applyProtection="1">
      <alignment horizontal="center" vertical="center" shrinkToFit="1"/>
      <protection locked="0"/>
    </xf>
    <xf numFmtId="0" fontId="31" fillId="11" borderId="288" xfId="8" applyFont="1" applyFill="1" applyBorder="1" applyAlignment="1" applyProtection="1">
      <alignment horizontal="center" vertical="center" wrapText="1" shrinkToFit="1"/>
      <protection hidden="1"/>
    </xf>
    <xf numFmtId="0" fontId="31" fillId="11" borderId="771" xfId="8" applyFont="1" applyFill="1" applyBorder="1" applyAlignment="1" applyProtection="1">
      <alignment horizontal="center" vertical="center" wrapText="1" shrinkToFit="1"/>
      <protection hidden="1"/>
    </xf>
    <xf numFmtId="0" fontId="28" fillId="8" borderId="581" xfId="8" applyFont="1" applyFill="1" applyBorder="1" applyAlignment="1" applyProtection="1">
      <alignment horizontal="right" vertical="center" shrinkToFit="1"/>
      <protection hidden="1"/>
    </xf>
    <xf numFmtId="0" fontId="28" fillId="8" borderId="96" xfId="8" applyFont="1" applyFill="1" applyBorder="1" applyAlignment="1" applyProtection="1">
      <alignment horizontal="right" vertical="center" shrinkToFit="1"/>
      <protection hidden="1"/>
    </xf>
    <xf numFmtId="0" fontId="28" fillId="8" borderId="419" xfId="8" applyFont="1" applyFill="1" applyBorder="1" applyAlignment="1" applyProtection="1">
      <alignment horizontal="right" vertical="center" shrinkToFit="1"/>
      <protection hidden="1"/>
    </xf>
    <xf numFmtId="0" fontId="28" fillId="8" borderId="0" xfId="8" applyFont="1" applyFill="1" applyAlignment="1" applyProtection="1">
      <alignment horizontal="right" vertical="center" shrinkToFit="1"/>
      <protection hidden="1"/>
    </xf>
    <xf numFmtId="0" fontId="28" fillId="8" borderId="589" xfId="8" applyFont="1" applyFill="1" applyBorder="1" applyAlignment="1" applyProtection="1">
      <alignment horizontal="right" vertical="center" shrinkToFit="1"/>
      <protection hidden="1"/>
    </xf>
    <xf numFmtId="0" fontId="28" fillId="8" borderId="449" xfId="8" applyFont="1" applyFill="1" applyBorder="1" applyAlignment="1" applyProtection="1">
      <alignment horizontal="right" vertical="center" shrinkToFit="1"/>
      <protection hidden="1"/>
    </xf>
    <xf numFmtId="0" fontId="28" fillId="8" borderId="588" xfId="8" applyFont="1" applyFill="1" applyBorder="1" applyAlignment="1" applyProtection="1">
      <alignment horizontal="right" vertical="center" shrinkToFit="1"/>
      <protection hidden="1"/>
    </xf>
    <xf numFmtId="0" fontId="28" fillId="8" borderId="289" xfId="8" applyFont="1" applyFill="1" applyBorder="1" applyAlignment="1" applyProtection="1">
      <alignment horizontal="right" vertical="center" shrinkToFit="1"/>
      <protection hidden="1"/>
    </xf>
    <xf numFmtId="0" fontId="72" fillId="2" borderId="537" xfId="8" applyFont="1" applyFill="1" applyBorder="1" applyAlignment="1" applyProtection="1">
      <alignment horizontal="center" vertical="center" shrinkToFit="1"/>
      <protection locked="0"/>
    </xf>
    <xf numFmtId="0" fontId="72" fillId="2" borderId="308" xfId="8" applyFont="1" applyFill="1" applyBorder="1" applyAlignment="1" applyProtection="1">
      <alignment horizontal="center" vertical="center" shrinkToFit="1"/>
      <protection locked="0"/>
    </xf>
    <xf numFmtId="0" fontId="72" fillId="2" borderId="764" xfId="8" applyFont="1" applyFill="1" applyBorder="1" applyAlignment="1" applyProtection="1">
      <alignment horizontal="center" vertical="center" shrinkToFit="1"/>
      <protection locked="0"/>
    </xf>
    <xf numFmtId="0" fontId="72" fillId="2" borderId="458" xfId="8" applyFont="1" applyFill="1" applyBorder="1" applyAlignment="1" applyProtection="1">
      <alignment horizontal="center" vertical="center" shrinkToFit="1"/>
      <protection locked="0"/>
    </xf>
    <xf numFmtId="0" fontId="72" fillId="2" borderId="546" xfId="8" applyFont="1" applyFill="1" applyBorder="1" applyAlignment="1" applyProtection="1">
      <alignment horizontal="center" vertical="center" shrinkToFit="1"/>
      <protection locked="0"/>
    </xf>
    <xf numFmtId="0" fontId="72" fillId="2" borderId="97" xfId="8" applyFont="1" applyFill="1" applyBorder="1" applyAlignment="1" applyProtection="1">
      <alignment horizontal="center" vertical="center" shrinkToFit="1"/>
      <protection locked="0"/>
    </xf>
    <xf numFmtId="0" fontId="72" fillId="2" borderId="767" xfId="8" applyFont="1" applyFill="1" applyBorder="1" applyAlignment="1" applyProtection="1">
      <alignment horizontal="center" vertical="center" shrinkToFit="1"/>
      <protection locked="0"/>
    </xf>
    <xf numFmtId="0" fontId="72" fillId="2" borderId="478" xfId="8" applyFont="1" applyFill="1" applyBorder="1" applyAlignment="1" applyProtection="1">
      <alignment horizontal="center" vertical="center" shrinkToFit="1"/>
      <protection locked="0"/>
    </xf>
    <xf numFmtId="0" fontId="31" fillId="18" borderId="99" xfId="8" applyFont="1" applyFill="1" applyBorder="1" applyAlignment="1" applyProtection="1">
      <alignment horizontal="center" vertical="center" wrapText="1" shrinkToFit="1"/>
      <protection hidden="1"/>
    </xf>
    <xf numFmtId="0" fontId="31" fillId="18" borderId="0" xfId="8" applyFont="1" applyFill="1" applyAlignment="1" applyProtection="1">
      <alignment horizontal="center" vertical="center" wrapText="1" shrinkToFit="1"/>
      <protection hidden="1"/>
    </xf>
    <xf numFmtId="0" fontId="31" fillId="18" borderId="308" xfId="8" applyFont="1" applyFill="1" applyBorder="1" applyAlignment="1" applyProtection="1">
      <alignment horizontal="center" vertical="center" wrapText="1" shrinkToFit="1"/>
      <protection hidden="1"/>
    </xf>
    <xf numFmtId="0" fontId="31" fillId="18" borderId="454" xfId="8" applyFont="1" applyFill="1" applyBorder="1" applyAlignment="1" applyProtection="1">
      <alignment horizontal="center" vertical="center" wrapText="1" shrinkToFit="1"/>
      <protection hidden="1"/>
    </xf>
    <xf numFmtId="0" fontId="31" fillId="18" borderId="449" xfId="8" applyFont="1" applyFill="1" applyBorder="1" applyAlignment="1" applyProtection="1">
      <alignment horizontal="center" vertical="center" wrapText="1" shrinkToFit="1"/>
      <protection hidden="1"/>
    </xf>
    <xf numFmtId="0" fontId="31" fillId="18" borderId="555" xfId="8" applyFont="1" applyFill="1" applyBorder="1" applyAlignment="1" applyProtection="1">
      <alignment horizontal="center" vertical="center" wrapText="1" shrinkToFit="1"/>
      <protection hidden="1"/>
    </xf>
    <xf numFmtId="38" fontId="37" fillId="20" borderId="460" xfId="9" applyFont="1" applyFill="1" applyBorder="1" applyAlignment="1" applyProtection="1">
      <alignment horizontal="left" vertical="center" wrapText="1" shrinkToFit="1"/>
    </xf>
    <xf numFmtId="38" fontId="37" fillId="20" borderId="289" xfId="9" applyFont="1" applyFill="1" applyBorder="1" applyAlignment="1" applyProtection="1">
      <alignment horizontal="left" vertical="center" wrapText="1" shrinkToFit="1"/>
    </xf>
    <xf numFmtId="38" fontId="37" fillId="20" borderId="295" xfId="9" applyFont="1" applyFill="1" applyBorder="1" applyAlignment="1" applyProtection="1">
      <alignment horizontal="left" vertical="center" wrapText="1" shrinkToFit="1"/>
    </xf>
    <xf numFmtId="0" fontId="19" fillId="8" borderId="453" xfId="8" applyFont="1" applyFill="1" applyBorder="1" applyAlignment="1" applyProtection="1">
      <alignment horizontal="left" vertical="center"/>
      <protection hidden="1"/>
    </xf>
    <xf numFmtId="0" fontId="19" fillId="8" borderId="96" xfId="8" applyFont="1" applyFill="1" applyBorder="1" applyAlignment="1" applyProtection="1">
      <alignment horizontal="left" vertical="center"/>
      <protection hidden="1"/>
    </xf>
    <xf numFmtId="0" fontId="19" fillId="8" borderId="99" xfId="8" applyFont="1" applyFill="1" applyBorder="1" applyAlignment="1" applyProtection="1">
      <alignment horizontal="left" vertical="center"/>
      <protection hidden="1"/>
    </xf>
    <xf numFmtId="0" fontId="19" fillId="8" borderId="0" xfId="8" applyFont="1" applyFill="1" applyAlignment="1" applyProtection="1">
      <alignment horizontal="left" vertical="center"/>
      <protection hidden="1"/>
    </xf>
    <xf numFmtId="0" fontId="19" fillId="8" borderId="454" xfId="8" applyFont="1" applyFill="1" applyBorder="1" applyAlignment="1" applyProtection="1">
      <alignment horizontal="left" vertical="center"/>
      <protection hidden="1"/>
    </xf>
    <xf numFmtId="0" fontId="19" fillId="8" borderId="449" xfId="8" applyFont="1" applyFill="1" applyBorder="1" applyAlignment="1" applyProtection="1">
      <alignment horizontal="left" vertical="center"/>
      <protection hidden="1"/>
    </xf>
    <xf numFmtId="0" fontId="19" fillId="8" borderId="460" xfId="8" applyFont="1" applyFill="1" applyBorder="1" applyAlignment="1" applyProtection="1">
      <alignment horizontal="left" vertical="center"/>
      <protection hidden="1"/>
    </xf>
    <xf numFmtId="0" fontId="19" fillId="8" borderId="289" xfId="8" applyFont="1" applyFill="1" applyBorder="1" applyAlignment="1" applyProtection="1">
      <alignment horizontal="left" vertical="center"/>
      <protection hidden="1"/>
    </xf>
    <xf numFmtId="0" fontId="19" fillId="8" borderId="96" xfId="8" applyFont="1" applyFill="1" applyBorder="1" applyAlignment="1" applyProtection="1">
      <alignment horizontal="center" vertical="center"/>
      <protection hidden="1"/>
    </xf>
    <xf numFmtId="0" fontId="19" fillId="8" borderId="458" xfId="8" applyFont="1" applyFill="1" applyBorder="1" applyAlignment="1" applyProtection="1">
      <alignment horizontal="center" vertical="center"/>
      <protection hidden="1"/>
    </xf>
    <xf numFmtId="0" fontId="19" fillId="8" borderId="0" xfId="8" applyFont="1" applyFill="1" applyAlignment="1" applyProtection="1">
      <alignment horizontal="center" vertical="center"/>
      <protection hidden="1"/>
    </xf>
    <xf numFmtId="0" fontId="19" fillId="8" borderId="97" xfId="8" applyFont="1" applyFill="1" applyBorder="1" applyAlignment="1" applyProtection="1">
      <alignment horizontal="center" vertical="center"/>
      <protection hidden="1"/>
    </xf>
    <xf numFmtId="0" fontId="19" fillId="8" borderId="449" xfId="8" applyFont="1" applyFill="1" applyBorder="1" applyAlignment="1" applyProtection="1">
      <alignment horizontal="center" vertical="center"/>
      <protection hidden="1"/>
    </xf>
    <xf numFmtId="0" fontId="19" fillId="8" borderId="478" xfId="8" applyFont="1" applyFill="1" applyBorder="1" applyAlignment="1" applyProtection="1">
      <alignment horizontal="center" vertical="center"/>
      <protection hidden="1"/>
    </xf>
    <xf numFmtId="0" fontId="19" fillId="8" borderId="289" xfId="8" applyFont="1" applyFill="1" applyBorder="1" applyAlignment="1" applyProtection="1">
      <alignment horizontal="center" vertical="center"/>
      <protection hidden="1"/>
    </xf>
    <xf numFmtId="0" fontId="19" fillId="8" borderId="554" xfId="8" applyFont="1" applyFill="1" applyBorder="1" applyAlignment="1" applyProtection="1">
      <alignment horizontal="center" vertical="center"/>
      <protection hidden="1"/>
    </xf>
    <xf numFmtId="38" fontId="28" fillId="2" borderId="281" xfId="9" applyFont="1" applyFill="1" applyBorder="1" applyAlignment="1" applyProtection="1">
      <alignment horizontal="center" vertical="center" shrinkToFit="1"/>
      <protection locked="0"/>
    </xf>
    <xf numFmtId="38" fontId="28" fillId="2" borderId="53" xfId="9" applyFont="1" applyFill="1" applyBorder="1" applyAlignment="1" applyProtection="1">
      <alignment horizontal="center" vertical="center" shrinkToFit="1"/>
      <protection locked="0"/>
    </xf>
    <xf numFmtId="38" fontId="42" fillId="2" borderId="194" xfId="2" applyFont="1" applyFill="1" applyBorder="1" applyAlignment="1" applyProtection="1">
      <alignment horizontal="center" vertical="center" shrinkToFit="1"/>
      <protection locked="0" hidden="1"/>
    </xf>
    <xf numFmtId="38" fontId="42" fillId="2" borderId="46" xfId="2" applyFont="1" applyFill="1" applyBorder="1" applyAlignment="1" applyProtection="1">
      <alignment horizontal="center" vertical="center" shrinkToFit="1"/>
      <protection locked="0" hidden="1"/>
    </xf>
    <xf numFmtId="38" fontId="42" fillId="2" borderId="63" xfId="2" applyFont="1" applyFill="1" applyBorder="1" applyAlignment="1" applyProtection="1">
      <alignment horizontal="center" vertical="center" shrinkToFit="1"/>
      <protection locked="0" hidden="1"/>
    </xf>
    <xf numFmtId="38" fontId="42" fillId="2" borderId="707" xfId="2" applyFont="1" applyFill="1" applyBorder="1" applyAlignment="1" applyProtection="1">
      <alignment horizontal="center" vertical="center" shrinkToFit="1"/>
      <protection locked="0" hidden="1"/>
    </xf>
    <xf numFmtId="0" fontId="28" fillId="2" borderId="287" xfId="9" applyNumberFormat="1" applyFont="1" applyFill="1" applyBorder="1" applyAlignment="1" applyProtection="1">
      <alignment horizontal="center" vertical="center" shrinkToFit="1"/>
      <protection locked="0"/>
    </xf>
    <xf numFmtId="0" fontId="28" fillId="2" borderId="308" xfId="9" applyNumberFormat="1" applyFont="1" applyFill="1" applyBorder="1" applyAlignment="1" applyProtection="1">
      <alignment horizontal="center" vertical="center" shrinkToFit="1"/>
      <protection locked="0"/>
    </xf>
    <xf numFmtId="0" fontId="28" fillId="2" borderId="66" xfId="9" applyNumberFormat="1" applyFont="1" applyFill="1" applyBorder="1" applyAlignment="1" applyProtection="1">
      <alignment horizontal="center" vertical="center" shrinkToFit="1"/>
      <protection locked="0"/>
    </xf>
    <xf numFmtId="0" fontId="28" fillId="2" borderId="53" xfId="9" applyNumberFormat="1" applyFont="1" applyFill="1" applyBorder="1" applyAlignment="1" applyProtection="1">
      <alignment horizontal="center" vertical="center" shrinkToFit="1"/>
      <protection locked="0"/>
    </xf>
    <xf numFmtId="0" fontId="28" fillId="2" borderId="375" xfId="9" applyNumberFormat="1" applyFont="1" applyFill="1" applyBorder="1" applyAlignment="1" applyProtection="1">
      <alignment horizontal="center" vertical="center" shrinkToFit="1"/>
      <protection locked="0"/>
    </xf>
    <xf numFmtId="0" fontId="72" fillId="2" borderId="194" xfId="8" applyFont="1" applyFill="1" applyBorder="1" applyAlignment="1" applyProtection="1">
      <alignment horizontal="center" vertical="center" shrinkToFit="1"/>
      <protection locked="0"/>
    </xf>
    <xf numFmtId="0" fontId="72" fillId="2" borderId="46" xfId="8" applyFont="1" applyFill="1" applyBorder="1" applyAlignment="1" applyProtection="1">
      <alignment horizontal="center" vertical="center" shrinkToFit="1"/>
      <protection locked="0"/>
    </xf>
    <xf numFmtId="0" fontId="72" fillId="2" borderId="63" xfId="8" applyFont="1" applyFill="1" applyBorder="1" applyAlignment="1" applyProtection="1">
      <alignment horizontal="center" vertical="center" shrinkToFit="1"/>
      <protection locked="0"/>
    </xf>
    <xf numFmtId="0" fontId="72" fillId="2" borderId="53" xfId="8" applyFont="1" applyFill="1" applyBorder="1" applyAlignment="1" applyProtection="1">
      <alignment horizontal="center" vertical="center" shrinkToFit="1"/>
      <protection locked="0"/>
    </xf>
    <xf numFmtId="182" fontId="42" fillId="8" borderId="46" xfId="8" applyNumberFormat="1" applyFont="1" applyFill="1" applyBorder="1" applyAlignment="1" applyProtection="1">
      <alignment horizontal="center" vertical="center" shrinkToFit="1"/>
      <protection hidden="1"/>
    </xf>
    <xf numFmtId="0" fontId="45" fillId="21" borderId="55" xfId="8" applyFont="1" applyFill="1" applyBorder="1" applyAlignment="1" applyProtection="1">
      <alignment horizontal="center" vertical="center" wrapText="1" shrinkToFit="1"/>
      <protection hidden="1"/>
    </xf>
    <xf numFmtId="0" fontId="45" fillId="21" borderId="46" xfId="8" applyFont="1" applyFill="1" applyBorder="1" applyAlignment="1" applyProtection="1">
      <alignment horizontal="center" vertical="center" wrapText="1" shrinkToFit="1"/>
      <protection hidden="1"/>
    </xf>
    <xf numFmtId="0" fontId="45" fillId="21" borderId="62" xfId="8" applyFont="1" applyFill="1" applyBorder="1" applyAlignment="1" applyProtection="1">
      <alignment horizontal="center" vertical="center" wrapText="1" shrinkToFit="1"/>
      <protection hidden="1"/>
    </xf>
    <xf numFmtId="0" fontId="45" fillId="21" borderId="56" xfId="8" applyFont="1" applyFill="1" applyBorder="1" applyAlignment="1" applyProtection="1">
      <alignment horizontal="center" vertical="center" wrapText="1" shrinkToFit="1"/>
      <protection hidden="1"/>
    </xf>
    <xf numFmtId="0" fontId="45" fillId="21" borderId="0" xfId="8" applyFont="1" applyFill="1" applyAlignment="1" applyProtection="1">
      <alignment horizontal="center" vertical="center" wrapText="1" shrinkToFit="1"/>
      <protection hidden="1"/>
    </xf>
    <xf numFmtId="0" fontId="45" fillId="21" borderId="64" xfId="8" applyFont="1" applyFill="1" applyBorder="1" applyAlignment="1" applyProtection="1">
      <alignment horizontal="center" vertical="center" wrapText="1" shrinkToFit="1"/>
      <protection hidden="1"/>
    </xf>
    <xf numFmtId="0" fontId="45" fillId="21" borderId="448" xfId="8" applyFont="1" applyFill="1" applyBorder="1" applyAlignment="1" applyProtection="1">
      <alignment horizontal="center" vertical="center" wrapText="1" shrinkToFit="1"/>
      <protection hidden="1"/>
    </xf>
    <xf numFmtId="0" fontId="45" fillId="21" borderId="449" xfId="8" applyFont="1" applyFill="1" applyBorder="1" applyAlignment="1" applyProtection="1">
      <alignment horizontal="center" vertical="center" wrapText="1" shrinkToFit="1"/>
      <protection hidden="1"/>
    </xf>
    <xf numFmtId="0" fontId="45" fillId="21" borderId="521" xfId="8" applyFont="1" applyFill="1" applyBorder="1" applyAlignment="1" applyProtection="1">
      <alignment horizontal="center" vertical="center" wrapText="1" shrinkToFit="1"/>
      <protection hidden="1"/>
    </xf>
    <xf numFmtId="0" fontId="44" fillId="11" borderId="472" xfId="8" applyFont="1" applyFill="1" applyBorder="1" applyAlignment="1">
      <alignment horizontal="center" vertical="center" wrapText="1"/>
    </xf>
    <xf numFmtId="0" fontId="44" fillId="11" borderId="96" xfId="8" applyFont="1" applyFill="1" applyBorder="1" applyAlignment="1">
      <alignment horizontal="center" vertical="center" wrapText="1"/>
    </xf>
    <xf numFmtId="0" fontId="44" fillId="11" borderId="468" xfId="8" applyFont="1" applyFill="1" applyBorder="1" applyAlignment="1">
      <alignment horizontal="center" vertical="center" wrapText="1"/>
    </xf>
    <xf numFmtId="0" fontId="44" fillId="11" borderId="0" xfId="8" applyFont="1" applyFill="1" applyAlignment="1">
      <alignment horizontal="center" vertical="center" wrapText="1"/>
    </xf>
    <xf numFmtId="0" fontId="44" fillId="11" borderId="473" xfId="8" applyFont="1" applyFill="1" applyBorder="1" applyAlignment="1">
      <alignment horizontal="center" vertical="center" wrapText="1"/>
    </xf>
    <xf numFmtId="0" fontId="44" fillId="11" borderId="449" xfId="8" applyFont="1" applyFill="1" applyBorder="1" applyAlignment="1">
      <alignment horizontal="center" vertical="center" wrapText="1"/>
    </xf>
    <xf numFmtId="0" fontId="143" fillId="2" borderId="581" xfId="1" applyNumberFormat="1" applyFont="1" applyFill="1" applyBorder="1" applyAlignment="1" applyProtection="1">
      <alignment horizontal="center" vertical="center" shrinkToFit="1"/>
      <protection locked="0"/>
    </xf>
    <xf numFmtId="0" fontId="143" fillId="2" borderId="96" xfId="1" applyNumberFormat="1" applyFont="1" applyFill="1" applyBorder="1" applyAlignment="1" applyProtection="1">
      <alignment horizontal="center" vertical="center" shrinkToFit="1"/>
      <protection locked="0"/>
    </xf>
    <xf numFmtId="0" fontId="143" fillId="2" borderId="458" xfId="1" applyNumberFormat="1" applyFont="1" applyFill="1" applyBorder="1" applyAlignment="1" applyProtection="1">
      <alignment horizontal="center" vertical="center" shrinkToFit="1"/>
      <protection locked="0"/>
    </xf>
    <xf numFmtId="0" fontId="143" fillId="2" borderId="419" xfId="1" applyNumberFormat="1" applyFont="1" applyFill="1" applyBorder="1" applyAlignment="1" applyProtection="1">
      <alignment horizontal="center" vertical="center" shrinkToFit="1"/>
      <protection locked="0"/>
    </xf>
    <xf numFmtId="0" fontId="143" fillId="2" borderId="0" xfId="1" applyNumberFormat="1" applyFont="1" applyFill="1" applyBorder="1" applyAlignment="1" applyProtection="1">
      <alignment horizontal="center" vertical="center" shrinkToFit="1"/>
      <protection locked="0"/>
    </xf>
    <xf numFmtId="0" fontId="143" fillId="2" borderId="97" xfId="1" applyNumberFormat="1" applyFont="1" applyFill="1" applyBorder="1" applyAlignment="1" applyProtection="1">
      <alignment horizontal="center" vertical="center" shrinkToFit="1"/>
      <protection locked="0"/>
    </xf>
    <xf numFmtId="0" fontId="143" fillId="2" borderId="589" xfId="1" applyNumberFormat="1" applyFont="1" applyFill="1" applyBorder="1" applyAlignment="1" applyProtection="1">
      <alignment horizontal="center" vertical="center" shrinkToFit="1"/>
      <protection locked="0"/>
    </xf>
    <xf numFmtId="0" fontId="143" fillId="2" borderId="449" xfId="1" applyNumberFormat="1" applyFont="1" applyFill="1" applyBorder="1" applyAlignment="1" applyProtection="1">
      <alignment horizontal="center" vertical="center" shrinkToFit="1"/>
      <protection locked="0"/>
    </xf>
    <xf numFmtId="0" fontId="143" fillId="2" borderId="478" xfId="1" applyNumberFormat="1" applyFont="1" applyFill="1" applyBorder="1" applyAlignment="1" applyProtection="1">
      <alignment horizontal="center" vertical="center" shrinkToFit="1"/>
      <protection locked="0"/>
    </xf>
    <xf numFmtId="182" fontId="42" fillId="2" borderId="46" xfId="8" applyNumberFormat="1" applyFont="1" applyFill="1" applyBorder="1" applyAlignment="1" applyProtection="1">
      <alignment horizontal="center" vertical="center" shrinkToFit="1"/>
      <protection locked="0"/>
    </xf>
    <xf numFmtId="0" fontId="31" fillId="11" borderId="440" xfId="8" applyFont="1" applyFill="1" applyBorder="1" applyAlignment="1" applyProtection="1">
      <alignment horizontal="center" vertical="center" wrapText="1" shrinkToFit="1"/>
      <protection hidden="1"/>
    </xf>
    <xf numFmtId="0" fontId="31" fillId="11" borderId="197" xfId="8" applyFont="1" applyFill="1" applyBorder="1" applyAlignment="1" applyProtection="1">
      <alignment horizontal="center" vertical="center" wrapText="1" shrinkToFit="1"/>
      <protection hidden="1"/>
    </xf>
    <xf numFmtId="0" fontId="31" fillId="11" borderId="194" xfId="8" applyFont="1" applyFill="1" applyBorder="1" applyAlignment="1" applyProtection="1">
      <alignment horizontal="center" vertical="center" wrapText="1" shrinkToFit="1"/>
      <protection hidden="1"/>
    </xf>
    <xf numFmtId="0" fontId="31" fillId="11" borderId="439" xfId="8" applyFont="1" applyFill="1" applyBorder="1" applyAlignment="1" applyProtection="1">
      <alignment horizontal="center" vertical="center" wrapText="1" shrinkToFit="1"/>
      <protection hidden="1"/>
    </xf>
    <xf numFmtId="0" fontId="31" fillId="11" borderId="100" xfId="8" applyFont="1" applyFill="1" applyBorder="1" applyAlignment="1" applyProtection="1">
      <alignment horizontal="center" vertical="center" wrapText="1" shrinkToFit="1"/>
      <protection hidden="1"/>
    </xf>
    <xf numFmtId="0" fontId="31" fillId="11" borderId="63" xfId="8" applyFont="1" applyFill="1" applyBorder="1" applyAlignment="1" applyProtection="1">
      <alignment horizontal="center" vertical="center" wrapText="1" shrinkToFit="1"/>
      <protection hidden="1"/>
    </xf>
    <xf numFmtId="0" fontId="31" fillId="11" borderId="536" xfId="8" applyFont="1" applyFill="1" applyBorder="1" applyAlignment="1" applyProtection="1">
      <alignment horizontal="center" vertical="center" wrapText="1" shrinkToFit="1"/>
      <protection hidden="1"/>
    </xf>
    <xf numFmtId="0" fontId="31" fillId="11" borderId="470" xfId="8" applyFont="1" applyFill="1" applyBorder="1" applyAlignment="1" applyProtection="1">
      <alignment horizontal="center" vertical="center" wrapText="1" shrinkToFit="1"/>
      <protection hidden="1"/>
    </xf>
    <xf numFmtId="0" fontId="31" fillId="11" borderId="645" xfId="8" applyFont="1" applyFill="1" applyBorder="1" applyAlignment="1" applyProtection="1">
      <alignment horizontal="center" vertical="center" wrapText="1" shrinkToFit="1"/>
      <protection hidden="1"/>
    </xf>
    <xf numFmtId="0" fontId="44" fillId="11" borderId="543" xfId="0" applyFont="1" applyFill="1" applyBorder="1" applyAlignment="1">
      <alignment horizontal="center" vertical="center" wrapText="1" shrinkToFit="1"/>
    </xf>
    <xf numFmtId="0" fontId="44" fillId="11" borderId="289" xfId="0" applyFont="1" applyFill="1" applyBorder="1" applyAlignment="1">
      <alignment horizontal="center" vertical="center" wrapText="1" shrinkToFit="1"/>
    </xf>
    <xf numFmtId="0" fontId="44" fillId="11" borderId="567" xfId="0" applyFont="1" applyFill="1" applyBorder="1" applyAlignment="1">
      <alignment horizontal="center" vertical="center" wrapText="1" shrinkToFit="1"/>
    </xf>
    <xf numFmtId="0" fontId="31" fillId="11" borderId="67" xfId="8" applyFont="1" applyFill="1" applyBorder="1" applyAlignment="1" applyProtection="1">
      <alignment horizontal="center" vertical="center" wrapText="1" shrinkToFit="1"/>
      <protection hidden="1"/>
    </xf>
    <xf numFmtId="0" fontId="31" fillId="11" borderId="61" xfId="8" applyFont="1" applyFill="1" applyBorder="1" applyAlignment="1" applyProtection="1">
      <alignment horizontal="center" vertical="center" wrapText="1" shrinkToFit="1"/>
      <protection hidden="1"/>
    </xf>
    <xf numFmtId="0" fontId="31" fillId="11" borderId="53" xfId="8" applyFont="1" applyFill="1" applyBorder="1" applyAlignment="1" applyProtection="1">
      <alignment horizontal="center" vertical="center" wrapText="1" shrinkToFit="1"/>
      <protection hidden="1"/>
    </xf>
    <xf numFmtId="0" fontId="31" fillId="11" borderId="68" xfId="8" applyFont="1" applyFill="1" applyBorder="1" applyAlignment="1" applyProtection="1">
      <alignment horizontal="center" vertical="center" wrapText="1" shrinkToFit="1"/>
      <protection hidden="1"/>
    </xf>
    <xf numFmtId="0" fontId="40" fillId="34" borderId="70" xfId="8" quotePrefix="1" applyFont="1" applyFill="1" applyBorder="1" applyAlignment="1" applyProtection="1">
      <alignment horizontal="left" vertical="center" shrinkToFit="1"/>
      <protection hidden="1"/>
    </xf>
    <xf numFmtId="0" fontId="40" fillId="34" borderId="51" xfId="8" applyFont="1" applyFill="1" applyBorder="1" applyAlignment="1" applyProtection="1">
      <alignment horizontal="left" vertical="center" shrinkToFit="1"/>
      <protection hidden="1"/>
    </xf>
    <xf numFmtId="0" fontId="40" fillId="34" borderId="52" xfId="8" applyFont="1" applyFill="1" applyBorder="1" applyAlignment="1" applyProtection="1">
      <alignment horizontal="left" vertical="center" shrinkToFit="1"/>
      <protection hidden="1"/>
    </xf>
    <xf numFmtId="0" fontId="40" fillId="34" borderId="47" xfId="8" applyFont="1" applyFill="1" applyBorder="1" applyAlignment="1" applyProtection="1">
      <alignment horizontal="left" vertical="center" shrinkToFit="1"/>
      <protection hidden="1"/>
    </xf>
    <xf numFmtId="0" fontId="40" fillId="34" borderId="0" xfId="8" applyFont="1" applyFill="1" applyAlignment="1" applyProtection="1">
      <alignment horizontal="left" vertical="center" shrinkToFit="1"/>
      <protection hidden="1"/>
    </xf>
    <xf numFmtId="0" fontId="40" fillId="34" borderId="39" xfId="8" applyFont="1" applyFill="1" applyBorder="1" applyAlignment="1" applyProtection="1">
      <alignment horizontal="left" vertical="center" shrinkToFit="1"/>
      <protection hidden="1"/>
    </xf>
    <xf numFmtId="0" fontId="28" fillId="2" borderId="371" xfId="8" applyFont="1" applyFill="1" applyBorder="1" applyAlignment="1" applyProtection="1">
      <alignment horizontal="center" vertical="center" shrinkToFit="1"/>
      <protection locked="0"/>
    </xf>
    <xf numFmtId="0" fontId="28" fillId="2" borderId="281" xfId="8" applyFont="1" applyFill="1" applyBorder="1" applyAlignment="1" applyProtection="1">
      <alignment horizontal="center" vertical="center" shrinkToFit="1"/>
      <protection locked="0"/>
    </xf>
    <xf numFmtId="0" fontId="28" fillId="2" borderId="327" xfId="8" applyFont="1" applyFill="1" applyBorder="1" applyAlignment="1" applyProtection="1">
      <alignment horizontal="center" vertical="center" shrinkToFit="1"/>
      <protection locked="0"/>
    </xf>
    <xf numFmtId="0" fontId="28" fillId="2" borderId="63" xfId="8" applyFont="1" applyFill="1" applyBorder="1" applyAlignment="1" applyProtection="1">
      <alignment horizontal="center" vertical="center" shrinkToFit="1"/>
      <protection locked="0"/>
    </xf>
    <xf numFmtId="0" fontId="28" fillId="2" borderId="64" xfId="8" applyFont="1" applyFill="1" applyBorder="1" applyAlignment="1" applyProtection="1">
      <alignment horizontal="center" vertical="center" shrinkToFit="1"/>
      <protection locked="0"/>
    </xf>
    <xf numFmtId="0" fontId="28" fillId="2" borderId="66" xfId="8" applyFont="1" applyFill="1" applyBorder="1" applyAlignment="1" applyProtection="1">
      <alignment horizontal="center" vertical="center" shrinkToFit="1"/>
      <protection locked="0"/>
    </xf>
    <xf numFmtId="0" fontId="28" fillId="2" borderId="53" xfId="8" applyFont="1" applyFill="1" applyBorder="1" applyAlignment="1" applyProtection="1">
      <alignment horizontal="center" vertical="center" shrinkToFit="1"/>
      <protection locked="0"/>
    </xf>
    <xf numFmtId="0" fontId="28" fillId="2" borderId="69" xfId="8" applyFont="1" applyFill="1" applyBorder="1" applyAlignment="1" applyProtection="1">
      <alignment horizontal="center" vertical="center" shrinkToFit="1"/>
      <protection locked="0"/>
    </xf>
    <xf numFmtId="0" fontId="72" fillId="2" borderId="658" xfId="8" applyFont="1" applyFill="1" applyBorder="1" applyAlignment="1" applyProtection="1">
      <alignment horizontal="center" vertical="center" shrinkToFit="1"/>
      <protection locked="0"/>
    </xf>
    <xf numFmtId="0" fontId="72" fillId="2" borderId="197" xfId="8" applyFont="1" applyFill="1" applyBorder="1" applyAlignment="1" applyProtection="1">
      <alignment horizontal="center" vertical="center" shrinkToFit="1"/>
      <protection locked="0"/>
    </xf>
    <xf numFmtId="0" fontId="72" fillId="2" borderId="199" xfId="8" applyFont="1" applyFill="1" applyBorder="1" applyAlignment="1" applyProtection="1">
      <alignment horizontal="center" vertical="center" shrinkToFit="1"/>
      <protection locked="0"/>
    </xf>
    <xf numFmtId="0" fontId="72" fillId="2" borderId="659" xfId="8" applyFont="1" applyFill="1" applyBorder="1" applyAlignment="1" applyProtection="1">
      <alignment horizontal="center" vertical="center" shrinkToFit="1"/>
      <protection locked="0"/>
    </xf>
    <xf numFmtId="0" fontId="72" fillId="2" borderId="100" xfId="8" applyFont="1" applyFill="1" applyBorder="1" applyAlignment="1" applyProtection="1">
      <alignment horizontal="center" vertical="center" shrinkToFit="1"/>
      <protection locked="0"/>
    </xf>
    <xf numFmtId="0" fontId="72" fillId="2" borderId="133" xfId="8" applyFont="1" applyFill="1" applyBorder="1" applyAlignment="1" applyProtection="1">
      <alignment horizontal="center" vertical="center" shrinkToFit="1"/>
      <protection locked="0"/>
    </xf>
    <xf numFmtId="0" fontId="72" fillId="2" borderId="660" xfId="8" applyFont="1" applyFill="1" applyBorder="1" applyAlignment="1" applyProtection="1">
      <alignment horizontal="center" vertical="center" shrinkToFit="1"/>
      <protection locked="0"/>
    </xf>
    <xf numFmtId="0" fontId="72" fillId="2" borderId="470" xfId="8" applyFont="1" applyFill="1" applyBorder="1" applyAlignment="1" applyProtection="1">
      <alignment horizontal="center" vertical="center" shrinkToFit="1"/>
      <protection locked="0"/>
    </xf>
    <xf numFmtId="0" fontId="72" fillId="2" borderId="471" xfId="8" applyFont="1" applyFill="1" applyBorder="1" applyAlignment="1" applyProtection="1">
      <alignment horizontal="center" vertical="center" shrinkToFit="1"/>
      <protection locked="0"/>
    </xf>
    <xf numFmtId="0" fontId="42" fillId="8" borderId="46" xfId="8" applyFont="1" applyFill="1" applyBorder="1" applyAlignment="1" applyProtection="1">
      <alignment horizontal="left" vertical="center" shrinkToFit="1"/>
      <protection hidden="1"/>
    </xf>
    <xf numFmtId="0" fontId="42" fillId="2" borderId="66" xfId="8" applyFont="1" applyFill="1" applyBorder="1" applyAlignment="1" applyProtection="1">
      <alignment horizontal="center" vertical="center" shrinkToFit="1"/>
      <protection locked="0"/>
    </xf>
    <xf numFmtId="0" fontId="42" fillId="2" borderId="53" xfId="8" applyFont="1" applyFill="1" applyBorder="1" applyAlignment="1" applyProtection="1">
      <alignment horizontal="center" vertical="center" shrinkToFit="1"/>
      <protection locked="0"/>
    </xf>
    <xf numFmtId="0" fontId="42" fillId="2" borderId="69" xfId="8" applyFont="1" applyFill="1" applyBorder="1" applyAlignment="1" applyProtection="1">
      <alignment horizontal="center" vertical="center" shrinkToFit="1"/>
      <protection locked="0"/>
    </xf>
    <xf numFmtId="0" fontId="44" fillId="11" borderId="430" xfId="0" applyFont="1" applyFill="1" applyBorder="1" applyAlignment="1">
      <alignment horizontal="center" vertical="center" wrapText="1" shrinkToFit="1"/>
    </xf>
    <xf numFmtId="0" fontId="44" fillId="11" borderId="424" xfId="0" applyFont="1" applyFill="1" applyBorder="1" applyAlignment="1">
      <alignment horizontal="center" vertical="center" shrinkToFit="1"/>
    </xf>
    <xf numFmtId="0" fontId="44" fillId="11" borderId="431" xfId="0" applyFont="1" applyFill="1" applyBorder="1" applyAlignment="1">
      <alignment horizontal="center" vertical="center" shrinkToFit="1"/>
    </xf>
    <xf numFmtId="0" fontId="44" fillId="11" borderId="430" xfId="0" applyFont="1" applyFill="1" applyBorder="1" applyAlignment="1">
      <alignment horizontal="center" vertical="center" shrinkToFit="1"/>
    </xf>
    <xf numFmtId="0" fontId="44" fillId="4" borderId="440" xfId="0" applyFont="1" applyFill="1" applyBorder="1" applyAlignment="1" applyProtection="1">
      <alignment horizontal="center" vertical="center" wrapText="1"/>
      <protection hidden="1"/>
    </xf>
    <xf numFmtId="0" fontId="44" fillId="4" borderId="197" xfId="0" applyFont="1" applyFill="1" applyBorder="1" applyAlignment="1" applyProtection="1">
      <alignment horizontal="center" vertical="center" wrapText="1"/>
      <protection hidden="1"/>
    </xf>
    <xf numFmtId="0" fontId="44" fillId="4" borderId="439" xfId="0" applyFont="1" applyFill="1" applyBorder="1" applyAlignment="1" applyProtection="1">
      <alignment horizontal="center" vertical="center" wrapText="1"/>
      <protection hidden="1"/>
    </xf>
    <xf numFmtId="0" fontId="44" fillId="4" borderId="100" xfId="0" applyFont="1" applyFill="1" applyBorder="1" applyAlignment="1" applyProtection="1">
      <alignment horizontal="center" vertical="center" wrapText="1"/>
      <protection hidden="1"/>
    </xf>
    <xf numFmtId="0" fontId="44" fillId="4" borderId="709" xfId="0" applyFont="1" applyFill="1" applyBorder="1" applyAlignment="1" applyProtection="1">
      <alignment horizontal="center" vertical="center" wrapText="1"/>
      <protection hidden="1"/>
    </xf>
    <xf numFmtId="0" fontId="44" fillId="4" borderId="710" xfId="0" applyFont="1" applyFill="1" applyBorder="1" applyAlignment="1" applyProtection="1">
      <alignment horizontal="center" vertical="center" wrapText="1"/>
      <protection hidden="1"/>
    </xf>
    <xf numFmtId="38" fontId="42" fillId="2" borderId="701" xfId="2" applyFont="1" applyFill="1" applyBorder="1" applyAlignment="1" applyProtection="1">
      <alignment horizontal="center" vertical="center" shrinkToFit="1"/>
      <protection locked="0" hidden="1"/>
    </xf>
    <xf numFmtId="38" fontId="42" fillId="2" borderId="698" xfId="2" applyFont="1" applyFill="1" applyBorder="1" applyAlignment="1" applyProtection="1">
      <alignment horizontal="center" vertical="center" shrinkToFit="1"/>
      <protection locked="0" hidden="1"/>
    </xf>
    <xf numFmtId="38" fontId="42" fillId="2" borderId="100" xfId="2" applyFont="1" applyFill="1" applyBorder="1" applyAlignment="1" applyProtection="1">
      <alignment horizontal="center" vertical="center" shrinkToFit="1"/>
      <protection locked="0" hidden="1"/>
    </xf>
    <xf numFmtId="38" fontId="42" fillId="2" borderId="101" xfId="2" applyFont="1" applyFill="1" applyBorder="1" applyAlignment="1" applyProtection="1">
      <alignment horizontal="center" vertical="center" shrinkToFit="1"/>
      <protection locked="0" hidden="1"/>
    </xf>
    <xf numFmtId="38" fontId="42" fillId="2" borderId="66" xfId="2" applyFont="1" applyFill="1" applyBorder="1" applyAlignment="1" applyProtection="1">
      <alignment horizontal="center" vertical="center" shrinkToFit="1"/>
      <protection locked="0" hidden="1"/>
    </xf>
    <xf numFmtId="0" fontId="44" fillId="11" borderId="358" xfId="8" applyFont="1" applyFill="1" applyBorder="1" applyAlignment="1">
      <alignment horizontal="center" vertical="center" wrapText="1"/>
    </xf>
    <xf numFmtId="0" fontId="44" fillId="11" borderId="46" xfId="8" applyFont="1" applyFill="1" applyBorder="1" applyAlignment="1">
      <alignment horizontal="center" vertical="center" wrapText="1"/>
    </xf>
    <xf numFmtId="0" fontId="44" fillId="11" borderId="193" xfId="8" applyFont="1" applyFill="1" applyBorder="1" applyAlignment="1">
      <alignment horizontal="center" vertical="center" wrapText="1"/>
    </xf>
    <xf numFmtId="0" fontId="44" fillId="11" borderId="305" xfId="8" applyFont="1" applyFill="1" applyBorder="1" applyAlignment="1">
      <alignment horizontal="center" vertical="center" wrapText="1"/>
    </xf>
    <xf numFmtId="0" fontId="44" fillId="11" borderId="67" xfId="8" applyFont="1" applyFill="1" applyBorder="1" applyAlignment="1">
      <alignment horizontal="center" vertical="center" wrapText="1"/>
    </xf>
    <xf numFmtId="0" fontId="44" fillId="11" borderId="538" xfId="8" applyFont="1" applyFill="1" applyBorder="1" applyAlignment="1">
      <alignment horizontal="center" vertical="center" wrapText="1"/>
    </xf>
    <xf numFmtId="0" fontId="44" fillId="11" borderId="539" xfId="8" applyFont="1" applyFill="1" applyBorder="1" applyAlignment="1">
      <alignment horizontal="center" vertical="center" wrapText="1"/>
    </xf>
    <xf numFmtId="0" fontId="44" fillId="11" borderId="288" xfId="0" applyFont="1" applyFill="1" applyBorder="1" applyAlignment="1">
      <alignment horizontal="center" vertical="center" wrapText="1"/>
    </xf>
    <xf numFmtId="0" fontId="44" fillId="11" borderId="289" xfId="0" applyFont="1" applyFill="1" applyBorder="1" applyAlignment="1">
      <alignment horizontal="center" vertical="center" wrapText="1"/>
    </xf>
    <xf numFmtId="0" fontId="13" fillId="2" borderId="418" xfId="8" applyFill="1" applyBorder="1" applyAlignment="1" applyProtection="1">
      <alignment horizontal="center" vertical="center"/>
      <protection locked="0"/>
    </xf>
    <xf numFmtId="0" fontId="13" fillId="2" borderId="46" xfId="8" applyFill="1" applyBorder="1" applyAlignment="1" applyProtection="1">
      <alignment horizontal="center" vertical="center"/>
      <protection locked="0"/>
    </xf>
    <xf numFmtId="0" fontId="13" fillId="2" borderId="419" xfId="8" applyFill="1" applyBorder="1" applyAlignment="1" applyProtection="1">
      <alignment horizontal="center" vertical="center"/>
      <protection locked="0"/>
    </xf>
    <xf numFmtId="0" fontId="13" fillId="2" borderId="0" xfId="8" applyFill="1" applyAlignment="1" applyProtection="1">
      <alignment horizontal="center" vertical="center"/>
      <protection locked="0"/>
    </xf>
    <xf numFmtId="0" fontId="13" fillId="2" borderId="589" xfId="8" applyFill="1" applyBorder="1" applyAlignment="1" applyProtection="1">
      <alignment horizontal="center" vertical="center"/>
      <protection locked="0"/>
    </xf>
    <xf numFmtId="0" fontId="13" fillId="2" borderId="449" xfId="8" applyFill="1" applyBorder="1" applyAlignment="1" applyProtection="1">
      <alignment horizontal="center" vertical="center"/>
      <protection locked="0"/>
    </xf>
    <xf numFmtId="180" fontId="42" fillId="8" borderId="46" xfId="8" applyNumberFormat="1" applyFont="1" applyFill="1" applyBorder="1" applyAlignment="1" applyProtection="1">
      <alignment horizontal="right" vertical="center" shrinkToFit="1"/>
      <protection hidden="1"/>
    </xf>
    <xf numFmtId="182" fontId="42" fillId="2" borderId="46" xfId="8" applyNumberFormat="1" applyFont="1" applyFill="1" applyBorder="1" applyAlignment="1" applyProtection="1">
      <alignment horizontal="left" vertical="center" shrinkToFit="1"/>
      <protection locked="0"/>
    </xf>
    <xf numFmtId="0" fontId="42" fillId="2" borderId="426" xfId="0" applyFont="1" applyFill="1" applyBorder="1" applyAlignment="1" applyProtection="1">
      <alignment horizontal="center" vertical="center"/>
      <protection locked="0" hidden="1"/>
    </xf>
    <xf numFmtId="0" fontId="42" fillId="2" borderId="425" xfId="0" applyFont="1" applyFill="1" applyBorder="1" applyAlignment="1" applyProtection="1">
      <alignment horizontal="center" vertical="center"/>
      <protection locked="0" hidden="1"/>
    </xf>
    <xf numFmtId="38" fontId="42" fillId="2" borderId="540" xfId="2" applyFont="1" applyFill="1" applyBorder="1" applyAlignment="1" applyProtection="1">
      <alignment horizontal="center" vertical="center" shrinkToFit="1"/>
      <protection locked="0" hidden="1"/>
    </xf>
    <xf numFmtId="0" fontId="44" fillId="11" borderId="433" xfId="0" applyFont="1" applyFill="1" applyBorder="1" applyAlignment="1" applyProtection="1">
      <alignment horizontal="center" vertical="center" wrapText="1"/>
      <protection hidden="1"/>
    </xf>
    <xf numFmtId="0" fontId="44" fillId="11" borderId="434" xfId="0" applyFont="1" applyFill="1" applyBorder="1" applyAlignment="1" applyProtection="1">
      <alignment horizontal="center" vertical="center" wrapText="1"/>
      <protection hidden="1"/>
    </xf>
    <xf numFmtId="0" fontId="44" fillId="11" borderId="435" xfId="0" applyFont="1" applyFill="1" applyBorder="1" applyAlignment="1" applyProtection="1">
      <alignment horizontal="center" vertical="center" wrapText="1"/>
      <protection hidden="1"/>
    </xf>
    <xf numFmtId="0" fontId="44" fillId="11" borderId="436" xfId="0" applyFont="1" applyFill="1" applyBorder="1" applyAlignment="1" applyProtection="1">
      <alignment horizontal="center" vertical="center" wrapText="1"/>
      <protection hidden="1"/>
    </xf>
    <xf numFmtId="0" fontId="44" fillId="11" borderId="543" xfId="0" applyFont="1" applyFill="1" applyBorder="1" applyAlignment="1" applyProtection="1">
      <alignment horizontal="left" vertical="center" wrapText="1"/>
      <protection hidden="1"/>
    </xf>
    <xf numFmtId="0" fontId="44" fillId="11" borderId="289" xfId="0" applyFont="1" applyFill="1" applyBorder="1" applyAlignment="1" applyProtection="1">
      <alignment horizontal="left" vertical="center" wrapText="1"/>
      <protection hidden="1"/>
    </xf>
    <xf numFmtId="0" fontId="44" fillId="11" borderId="295" xfId="0" applyFont="1" applyFill="1" applyBorder="1" applyAlignment="1" applyProtection="1">
      <alignment horizontal="left" vertical="center" wrapText="1"/>
      <protection hidden="1"/>
    </xf>
    <xf numFmtId="0" fontId="31" fillId="11" borderId="713" xfId="8" applyFont="1" applyFill="1" applyBorder="1" applyAlignment="1" applyProtection="1">
      <alignment horizontal="center" vertical="center" wrapText="1" shrinkToFit="1"/>
      <protection hidden="1"/>
    </xf>
    <xf numFmtId="0" fontId="31" fillId="11" borderId="714" xfId="8" applyFont="1" applyFill="1" applyBorder="1" applyAlignment="1" applyProtection="1">
      <alignment horizontal="center" vertical="center" wrapText="1" shrinkToFit="1"/>
      <protection hidden="1"/>
    </xf>
    <xf numFmtId="0" fontId="31" fillId="11" borderId="791" xfId="8" applyFont="1" applyFill="1" applyBorder="1" applyAlignment="1" applyProtection="1">
      <alignment horizontal="center" vertical="center" wrapText="1" shrinkToFit="1"/>
      <protection hidden="1"/>
    </xf>
    <xf numFmtId="0" fontId="31" fillId="11" borderId="718" xfId="8" applyFont="1" applyFill="1" applyBorder="1" applyAlignment="1" applyProtection="1">
      <alignment horizontal="center" vertical="center" wrapText="1" shrinkToFit="1"/>
      <protection hidden="1"/>
    </xf>
    <xf numFmtId="0" fontId="31" fillId="11" borderId="720" xfId="8" applyFont="1" applyFill="1" applyBorder="1" applyAlignment="1" applyProtection="1">
      <alignment horizontal="center" vertical="center" wrapText="1" shrinkToFit="1"/>
      <protection hidden="1"/>
    </xf>
    <xf numFmtId="0" fontId="31" fillId="11" borderId="721" xfId="8" applyFont="1" applyFill="1" applyBorder="1" applyAlignment="1" applyProtection="1">
      <alignment horizontal="center" vertical="center" wrapText="1" shrinkToFit="1"/>
      <protection hidden="1"/>
    </xf>
    <xf numFmtId="0" fontId="31" fillId="11" borderId="793" xfId="8" applyFont="1" applyFill="1" applyBorder="1" applyAlignment="1" applyProtection="1">
      <alignment horizontal="center" vertical="center" wrapText="1" shrinkToFit="1"/>
      <protection hidden="1"/>
    </xf>
    <xf numFmtId="0" fontId="39" fillId="20" borderId="189" xfId="8" applyFont="1" applyFill="1" applyBorder="1" applyAlignment="1" applyProtection="1">
      <alignment horizontal="left" vertical="center" wrapText="1" shrinkToFit="1"/>
      <protection hidden="1"/>
    </xf>
    <xf numFmtId="0" fontId="39" fillId="20" borderId="48" xfId="8" applyFont="1" applyFill="1" applyBorder="1" applyAlignment="1" applyProtection="1">
      <alignment horizontal="left" vertical="center" wrapText="1" shrinkToFit="1"/>
      <protection hidden="1"/>
    </xf>
    <xf numFmtId="0" fontId="39" fillId="20" borderId="53" xfId="8" applyFont="1" applyFill="1" applyBorder="1" applyAlignment="1" applyProtection="1">
      <alignment horizontal="left" vertical="center" wrapText="1" shrinkToFit="1"/>
      <protection hidden="1"/>
    </xf>
    <xf numFmtId="0" fontId="39" fillId="20" borderId="196" xfId="8" applyFont="1" applyFill="1" applyBorder="1" applyAlignment="1" applyProtection="1">
      <alignment horizontal="left" vertical="center" wrapText="1" shrinkToFit="1"/>
      <protection hidden="1"/>
    </xf>
    <xf numFmtId="0" fontId="39" fillId="20" borderId="533" xfId="8" applyFont="1" applyFill="1" applyBorder="1" applyAlignment="1" applyProtection="1">
      <alignment horizontal="left" vertical="center" wrapText="1" shrinkToFit="1"/>
      <protection hidden="1"/>
    </xf>
    <xf numFmtId="0" fontId="39" fillId="20" borderId="534" xfId="8" applyFont="1" applyFill="1" applyBorder="1" applyAlignment="1" applyProtection="1">
      <alignment horizontal="left" vertical="center" wrapText="1" shrinkToFit="1"/>
      <protection hidden="1"/>
    </xf>
    <xf numFmtId="0" fontId="39" fillId="20" borderId="535" xfId="8" applyFont="1" applyFill="1" applyBorder="1" applyAlignment="1" applyProtection="1">
      <alignment horizontal="left" vertical="center" wrapText="1" shrinkToFit="1"/>
      <protection hidden="1"/>
    </xf>
    <xf numFmtId="0" fontId="28" fillId="2" borderId="716" xfId="8" applyFont="1" applyFill="1" applyBorder="1" applyAlignment="1" applyProtection="1">
      <alignment horizontal="center" vertical="center" shrinkToFit="1"/>
      <protection locked="0"/>
    </xf>
    <xf numFmtId="0" fontId="28" fillId="2" borderId="714" xfId="8" applyFont="1" applyFill="1" applyBorder="1" applyAlignment="1" applyProtection="1">
      <alignment horizontal="center" vertical="center" shrinkToFit="1"/>
      <protection locked="0"/>
    </xf>
    <xf numFmtId="0" fontId="28" fillId="2" borderId="717" xfId="8" applyFont="1" applyFill="1" applyBorder="1" applyAlignment="1" applyProtection="1">
      <alignment horizontal="center" vertical="center" shrinkToFit="1"/>
      <protection locked="0"/>
    </xf>
    <xf numFmtId="0" fontId="28" fillId="2" borderId="719" xfId="8" applyFont="1" applyFill="1" applyBorder="1" applyAlignment="1" applyProtection="1">
      <alignment horizontal="center" vertical="center" shrinkToFit="1"/>
      <protection locked="0"/>
    </xf>
    <xf numFmtId="0" fontId="28" fillId="2" borderId="723" xfId="8" applyFont="1" applyFill="1" applyBorder="1" applyAlignment="1" applyProtection="1">
      <alignment horizontal="center" vertical="center" shrinkToFit="1"/>
      <protection locked="0"/>
    </xf>
    <xf numFmtId="0" fontId="28" fillId="2" borderId="721" xfId="8" applyFont="1" applyFill="1" applyBorder="1" applyAlignment="1" applyProtection="1">
      <alignment horizontal="center" vertical="center" shrinkToFit="1"/>
      <protection locked="0"/>
    </xf>
    <xf numFmtId="0" fontId="28" fillId="2" borderId="724" xfId="8" applyFont="1" applyFill="1" applyBorder="1" applyAlignment="1" applyProtection="1">
      <alignment horizontal="center" vertical="center" shrinkToFit="1"/>
      <protection locked="0"/>
    </xf>
    <xf numFmtId="0" fontId="18" fillId="2" borderId="0" xfId="1" applyNumberFormat="1" applyFill="1" applyBorder="1" applyAlignment="1" applyProtection="1">
      <alignment horizontal="center" vertical="center" shrinkToFit="1"/>
      <protection locked="0"/>
    </xf>
    <xf numFmtId="0" fontId="18" fillId="2" borderId="467" xfId="1" applyNumberFormat="1" applyFill="1" applyBorder="1" applyAlignment="1" applyProtection="1">
      <alignment horizontal="center" vertical="center" shrinkToFit="1"/>
      <protection locked="0"/>
    </xf>
    <xf numFmtId="0" fontId="18" fillId="2" borderId="449" xfId="1" applyNumberFormat="1" applyFill="1" applyBorder="1" applyAlignment="1" applyProtection="1">
      <alignment horizontal="center" vertical="center" shrinkToFit="1"/>
      <protection locked="0"/>
    </xf>
    <xf numFmtId="0" fontId="18" fillId="2" borderId="476" xfId="1" applyNumberFormat="1" applyFill="1" applyBorder="1" applyAlignment="1" applyProtection="1">
      <alignment horizontal="center" vertical="center" shrinkToFit="1"/>
      <protection locked="0"/>
    </xf>
    <xf numFmtId="180" fontId="42" fillId="8" borderId="46" xfId="8" applyNumberFormat="1" applyFont="1" applyFill="1" applyBorder="1" applyAlignment="1" applyProtection="1">
      <alignment horizontal="center" vertical="center" shrinkToFit="1"/>
      <protection hidden="1"/>
    </xf>
    <xf numFmtId="0" fontId="44" fillId="11" borderId="453" xfId="8" applyFont="1" applyFill="1" applyBorder="1" applyAlignment="1">
      <alignment horizontal="center" vertical="center" wrapText="1"/>
    </xf>
    <xf numFmtId="0" fontId="44" fillId="11" borderId="582" xfId="8" applyFont="1" applyFill="1" applyBorder="1" applyAlignment="1">
      <alignment horizontal="center" vertical="center" wrapText="1"/>
    </xf>
    <xf numFmtId="0" fontId="44" fillId="11" borderId="99" xfId="8" applyFont="1" applyFill="1" applyBorder="1" applyAlignment="1">
      <alignment horizontal="center" vertical="center" wrapText="1"/>
    </xf>
    <xf numFmtId="0" fontId="44" fillId="11" borderId="583" xfId="8" applyFont="1" applyFill="1" applyBorder="1" applyAlignment="1">
      <alignment horizontal="center" vertical="center" wrapText="1"/>
    </xf>
    <xf numFmtId="0" fontId="44" fillId="11" borderId="454" xfId="8" applyFont="1" applyFill="1" applyBorder="1" applyAlignment="1">
      <alignment horizontal="center" vertical="center" wrapText="1"/>
    </xf>
    <xf numFmtId="0" fontId="44" fillId="11" borderId="598" xfId="8" applyFont="1" applyFill="1" applyBorder="1" applyAlignment="1">
      <alignment horizontal="center" vertical="center" wrapText="1"/>
    </xf>
    <xf numFmtId="0" fontId="37" fillId="2" borderId="581" xfId="8" applyFont="1" applyFill="1" applyBorder="1" applyAlignment="1" applyProtection="1">
      <alignment horizontal="center" vertical="center" wrapText="1" shrinkToFit="1"/>
      <protection locked="0" hidden="1"/>
    </xf>
    <xf numFmtId="0" fontId="37" fillId="2" borderId="96" xfId="8" applyFont="1" applyFill="1" applyBorder="1" applyAlignment="1" applyProtection="1">
      <alignment horizontal="center" vertical="center" wrapText="1" shrinkToFit="1"/>
      <protection locked="0" hidden="1"/>
    </xf>
    <xf numFmtId="0" fontId="37" fillId="2" borderId="458" xfId="8" applyFont="1" applyFill="1" applyBorder="1" applyAlignment="1" applyProtection="1">
      <alignment horizontal="center" vertical="center" wrapText="1" shrinkToFit="1"/>
      <protection locked="0" hidden="1"/>
    </xf>
    <xf numFmtId="0" fontId="42" fillId="2" borderId="194" xfId="8" applyFont="1" applyFill="1" applyBorder="1" applyAlignment="1" applyProtection="1">
      <alignment horizontal="center" vertical="center" shrinkToFit="1"/>
      <protection locked="0"/>
    </xf>
    <xf numFmtId="0" fontId="42" fillId="2" borderId="192" xfId="8" applyFont="1" applyFill="1" applyBorder="1" applyAlignment="1" applyProtection="1">
      <alignment horizontal="center" vertical="center" shrinkToFit="1"/>
      <protection locked="0"/>
    </xf>
    <xf numFmtId="0" fontId="42" fillId="2" borderId="50" xfId="8" applyFont="1" applyFill="1" applyBorder="1" applyAlignment="1" applyProtection="1">
      <alignment horizontal="center" vertical="center" shrinkToFit="1"/>
      <protection locked="0"/>
    </xf>
    <xf numFmtId="0" fontId="31" fillId="11" borderId="192" xfId="8" applyFont="1" applyFill="1" applyBorder="1" applyAlignment="1" applyProtection="1">
      <alignment horizontal="center" vertical="center" wrapText="1" shrinkToFit="1"/>
      <protection hidden="1"/>
    </xf>
    <xf numFmtId="0" fontId="31" fillId="11" borderId="50" xfId="8" applyFont="1" applyFill="1" applyBorder="1" applyAlignment="1" applyProtection="1">
      <alignment horizontal="center" vertical="center" wrapText="1" shrinkToFit="1"/>
      <protection hidden="1"/>
    </xf>
    <xf numFmtId="0" fontId="162" fillId="2" borderId="46" xfId="8" applyFont="1" applyFill="1" applyBorder="1" applyAlignment="1" applyProtection="1">
      <alignment horizontal="center" vertical="center" wrapText="1" shrinkToFit="1"/>
      <protection locked="0" hidden="1"/>
    </xf>
    <xf numFmtId="0" fontId="162" fillId="2" borderId="359" xfId="8" applyFont="1" applyFill="1" applyBorder="1" applyAlignment="1" applyProtection="1">
      <alignment horizontal="center" vertical="center" wrapText="1" shrinkToFit="1"/>
      <protection locked="0" hidden="1"/>
    </xf>
    <xf numFmtId="0" fontId="162" fillId="2" borderId="0" xfId="8" applyFont="1" applyFill="1" applyAlignment="1" applyProtection="1">
      <alignment horizontal="center" vertical="center" wrapText="1" shrinkToFit="1"/>
      <protection locked="0" hidden="1"/>
    </xf>
    <xf numFmtId="0" fontId="162" fillId="2" borderId="308" xfId="8" applyFont="1" applyFill="1" applyBorder="1" applyAlignment="1" applyProtection="1">
      <alignment horizontal="center" vertical="center" wrapText="1" shrinkToFit="1"/>
      <protection locked="0" hidden="1"/>
    </xf>
    <xf numFmtId="0" fontId="162" fillId="2" borderId="50" xfId="8" applyFont="1" applyFill="1" applyBorder="1" applyAlignment="1" applyProtection="1">
      <alignment horizontal="center" vertical="center" wrapText="1" shrinkToFit="1"/>
      <protection locked="0" hidden="1"/>
    </xf>
    <xf numFmtId="0" fontId="162" fillId="2" borderId="377" xfId="8" applyFont="1" applyFill="1" applyBorder="1" applyAlignment="1" applyProtection="1">
      <alignment horizontal="center" vertical="center" wrapText="1" shrinkToFit="1"/>
      <protection locked="0" hidden="1"/>
    </xf>
    <xf numFmtId="182" fontId="42" fillId="8" borderId="53" xfId="8" applyNumberFormat="1" applyFont="1" applyFill="1" applyBorder="1" applyAlignment="1" applyProtection="1">
      <alignment horizontal="center" vertical="center" shrinkToFit="1"/>
      <protection hidden="1"/>
    </xf>
    <xf numFmtId="0" fontId="31" fillId="11" borderId="57" xfId="8" applyFont="1" applyFill="1" applyBorder="1" applyAlignment="1" applyProtection="1">
      <alignment horizontal="center" vertical="center" wrapText="1" shrinkToFit="1"/>
      <protection hidden="1"/>
    </xf>
    <xf numFmtId="0" fontId="31" fillId="11" borderId="195" xfId="8" applyFont="1" applyFill="1" applyBorder="1" applyAlignment="1" applyProtection="1">
      <alignment horizontal="center" vertical="center" wrapText="1" shrinkToFit="1"/>
      <protection hidden="1"/>
    </xf>
    <xf numFmtId="0" fontId="31" fillId="2" borderId="581" xfId="8" applyFont="1" applyFill="1" applyBorder="1" applyAlignment="1" applyProtection="1">
      <alignment horizontal="center" vertical="center" wrapText="1" shrinkToFit="1"/>
      <protection locked="0"/>
    </xf>
    <xf numFmtId="0" fontId="31" fillId="2" borderId="96" xfId="8" applyFont="1" applyFill="1" applyBorder="1" applyAlignment="1" applyProtection="1">
      <alignment horizontal="center" vertical="center" wrapText="1" shrinkToFit="1"/>
      <protection locked="0"/>
    </xf>
    <xf numFmtId="0" fontId="31" fillId="2" borderId="458" xfId="8" applyFont="1" applyFill="1" applyBorder="1" applyAlignment="1" applyProtection="1">
      <alignment horizontal="center" vertical="center" wrapText="1" shrinkToFit="1"/>
      <protection locked="0"/>
    </xf>
    <xf numFmtId="0" fontId="31" fillId="2" borderId="419" xfId="8" applyFont="1" applyFill="1" applyBorder="1" applyAlignment="1" applyProtection="1">
      <alignment horizontal="center" vertical="center" wrapText="1" shrinkToFit="1"/>
      <protection locked="0"/>
    </xf>
    <xf numFmtId="0" fontId="31" fillId="2" borderId="0" xfId="8" applyFont="1" applyFill="1" applyAlignment="1" applyProtection="1">
      <alignment horizontal="center" vertical="center" wrapText="1" shrinkToFit="1"/>
      <protection locked="0"/>
    </xf>
    <xf numFmtId="0" fontId="31" fillId="2" borderId="97" xfId="8" applyFont="1" applyFill="1" applyBorder="1" applyAlignment="1" applyProtection="1">
      <alignment horizontal="center" vertical="center" wrapText="1" shrinkToFit="1"/>
      <protection locked="0"/>
    </xf>
    <xf numFmtId="0" fontId="31" fillId="2" borderId="588" xfId="8" applyFont="1" applyFill="1" applyBorder="1" applyAlignment="1" applyProtection="1">
      <alignment horizontal="center" vertical="center" wrapText="1" shrinkToFit="1"/>
      <protection locked="0"/>
    </xf>
    <xf numFmtId="0" fontId="31" fillId="2" borderId="289" xfId="8" applyFont="1" applyFill="1" applyBorder="1" applyAlignment="1" applyProtection="1">
      <alignment horizontal="center" vertical="center" wrapText="1" shrinkToFit="1"/>
      <protection locked="0"/>
    </xf>
    <xf numFmtId="0" fontId="31" fillId="2" borderId="554" xfId="8" applyFont="1" applyFill="1" applyBorder="1" applyAlignment="1" applyProtection="1">
      <alignment horizontal="center" vertical="center" wrapText="1" shrinkToFit="1"/>
      <protection locked="0"/>
    </xf>
    <xf numFmtId="0" fontId="18" fillId="55" borderId="96" xfId="1" applyNumberFormat="1" applyFill="1" applyBorder="1" applyAlignment="1" applyProtection="1">
      <alignment horizontal="center" vertical="center" shrinkToFit="1"/>
    </xf>
    <xf numFmtId="0" fontId="18" fillId="55" borderId="537" xfId="1" applyNumberFormat="1" applyFill="1" applyBorder="1" applyAlignment="1" applyProtection="1">
      <alignment horizontal="center" vertical="center" shrinkToFit="1"/>
    </xf>
    <xf numFmtId="0" fontId="18" fillId="55" borderId="0" xfId="1" applyNumberFormat="1" applyFill="1" applyBorder="1" applyAlignment="1" applyProtection="1">
      <alignment horizontal="center" vertical="center" shrinkToFit="1"/>
    </xf>
    <xf numFmtId="0" fontId="18" fillId="55" borderId="308" xfId="1" applyNumberFormat="1" applyFill="1" applyBorder="1" applyAlignment="1" applyProtection="1">
      <alignment horizontal="center" vertical="center" shrinkToFit="1"/>
    </xf>
    <xf numFmtId="0" fontId="18" fillId="55" borderId="289" xfId="1" applyNumberFormat="1" applyFill="1" applyBorder="1" applyAlignment="1" applyProtection="1">
      <alignment horizontal="center" vertical="center" shrinkToFit="1"/>
    </xf>
    <xf numFmtId="0" fontId="18" fillId="55" borderId="295" xfId="1" applyNumberFormat="1" applyFill="1" applyBorder="1" applyAlignment="1" applyProtection="1">
      <alignment horizontal="center" vertical="center" shrinkToFit="1"/>
    </xf>
    <xf numFmtId="0" fontId="31" fillId="11" borderId="595" xfId="8" applyFont="1" applyFill="1" applyBorder="1" applyAlignment="1" applyProtection="1">
      <alignment horizontal="center" vertical="center" wrapText="1" shrinkToFit="1"/>
      <protection hidden="1"/>
    </xf>
    <xf numFmtId="0" fontId="147" fillId="2" borderId="545" xfId="8" applyFont="1" applyFill="1" applyBorder="1" applyAlignment="1" applyProtection="1">
      <alignment horizontal="center" vertical="center" shrinkToFit="1"/>
      <protection locked="0" hidden="1"/>
    </xf>
    <xf numFmtId="0" fontId="147" fillId="2" borderId="461" xfId="8" applyFont="1" applyFill="1" applyBorder="1" applyAlignment="1" applyProtection="1">
      <alignment horizontal="center" vertical="center" shrinkToFit="1"/>
      <protection locked="0" hidden="1"/>
    </xf>
    <xf numFmtId="0" fontId="147" fillId="2" borderId="0" xfId="8" applyFont="1" applyFill="1" applyAlignment="1" applyProtection="1">
      <alignment horizontal="center" vertical="center" shrinkToFit="1"/>
      <protection locked="0" hidden="1"/>
    </xf>
    <xf numFmtId="0" fontId="147" fillId="2" borderId="546" xfId="8" applyFont="1" applyFill="1" applyBorder="1" applyAlignment="1" applyProtection="1">
      <alignment horizontal="center" vertical="center" shrinkToFit="1"/>
      <protection locked="0" hidden="1"/>
    </xf>
    <xf numFmtId="0" fontId="104" fillId="2" borderId="792" xfId="8" applyFont="1" applyFill="1" applyBorder="1" applyAlignment="1" applyProtection="1">
      <alignment horizontal="center" vertical="center" wrapText="1" shrinkToFit="1"/>
      <protection locked="0" hidden="1"/>
    </xf>
    <xf numFmtId="0" fontId="104" fillId="2" borderId="714" xfId="8" applyFont="1" applyFill="1" applyBorder="1" applyAlignment="1" applyProtection="1">
      <alignment horizontal="center" vertical="center" wrapText="1" shrinkToFit="1"/>
      <protection locked="0" hidden="1"/>
    </xf>
    <xf numFmtId="0" fontId="104" fillId="2" borderId="717" xfId="8" applyFont="1" applyFill="1" applyBorder="1" applyAlignment="1" applyProtection="1">
      <alignment horizontal="center" vertical="center" wrapText="1" shrinkToFit="1"/>
      <protection locked="0" hidden="1"/>
    </xf>
    <xf numFmtId="0" fontId="104" fillId="2" borderId="419" xfId="8" applyFont="1" applyFill="1" applyBorder="1" applyAlignment="1" applyProtection="1">
      <alignment horizontal="center" vertical="center" wrapText="1" shrinkToFit="1"/>
      <protection locked="0" hidden="1"/>
    </xf>
    <xf numFmtId="0" fontId="104" fillId="2" borderId="0" xfId="8" applyFont="1" applyFill="1" applyAlignment="1" applyProtection="1">
      <alignment horizontal="center" vertical="center" wrapText="1" shrinkToFit="1"/>
      <protection locked="0" hidden="1"/>
    </xf>
    <xf numFmtId="0" fontId="104" fillId="2" borderId="719" xfId="8" applyFont="1" applyFill="1" applyBorder="1" applyAlignment="1" applyProtection="1">
      <alignment horizontal="center" vertical="center" wrapText="1" shrinkToFit="1"/>
      <protection locked="0" hidden="1"/>
    </xf>
    <xf numFmtId="0" fontId="104" fillId="2" borderId="794" xfId="8" applyFont="1" applyFill="1" applyBorder="1" applyAlignment="1" applyProtection="1">
      <alignment horizontal="center" vertical="center" wrapText="1" shrinkToFit="1"/>
      <protection locked="0" hidden="1"/>
    </xf>
    <xf numFmtId="0" fontId="104" fillId="2" borderId="721" xfId="8" applyFont="1" applyFill="1" applyBorder="1" applyAlignment="1" applyProtection="1">
      <alignment horizontal="center" vertical="center" wrapText="1" shrinkToFit="1"/>
      <protection locked="0" hidden="1"/>
    </xf>
    <xf numFmtId="0" fontId="104" fillId="2" borderId="724" xfId="8" applyFont="1" applyFill="1" applyBorder="1" applyAlignment="1" applyProtection="1">
      <alignment horizontal="center" vertical="center" wrapText="1" shrinkToFit="1"/>
      <protection locked="0" hidden="1"/>
    </xf>
    <xf numFmtId="0" fontId="0" fillId="55" borderId="96" xfId="0" applyFill="1" applyBorder="1" applyAlignment="1">
      <alignment horizontal="center" vertical="center"/>
    </xf>
    <xf numFmtId="0" fontId="0" fillId="55" borderId="0" xfId="0" applyFill="1" applyAlignment="1">
      <alignment horizontal="center" vertical="center"/>
    </xf>
    <xf numFmtId="0" fontId="0" fillId="55" borderId="289" xfId="0" applyFill="1" applyBorder="1" applyAlignment="1">
      <alignment horizontal="center" vertical="center"/>
    </xf>
    <xf numFmtId="0" fontId="22" fillId="11" borderId="453" xfId="8" applyFont="1" applyFill="1" applyBorder="1" applyAlignment="1">
      <alignment horizontal="center" vertical="center" wrapText="1"/>
    </xf>
    <xf numFmtId="0" fontId="22" fillId="11" borderId="96" xfId="8" applyFont="1" applyFill="1" applyBorder="1" applyAlignment="1">
      <alignment horizontal="center" vertical="center"/>
    </xf>
    <xf numFmtId="0" fontId="22" fillId="11" borderId="0" xfId="8" applyFont="1" applyFill="1" applyAlignment="1">
      <alignment horizontal="center" vertical="center"/>
    </xf>
    <xf numFmtId="0" fontId="22" fillId="11" borderId="99" xfId="8" applyFont="1" applyFill="1" applyBorder="1" applyAlignment="1">
      <alignment horizontal="center" vertical="center"/>
    </xf>
    <xf numFmtId="0" fontId="22" fillId="11" borderId="454" xfId="8" applyFont="1" applyFill="1" applyBorder="1" applyAlignment="1">
      <alignment horizontal="center" vertical="center"/>
    </xf>
    <xf numFmtId="0" fontId="22" fillId="11" borderId="449" xfId="8" applyFont="1" applyFill="1" applyBorder="1" applyAlignment="1">
      <alignment horizontal="center" vertical="center"/>
    </xf>
    <xf numFmtId="0" fontId="13" fillId="2" borderId="581" xfId="8" applyFill="1" applyBorder="1" applyAlignment="1" applyProtection="1">
      <alignment horizontal="center" vertical="center"/>
      <protection locked="0"/>
    </xf>
    <xf numFmtId="0" fontId="13" fillId="2" borderId="458" xfId="8" applyFill="1" applyBorder="1" applyAlignment="1" applyProtection="1">
      <alignment horizontal="center" vertical="center"/>
      <protection locked="0"/>
    </xf>
    <xf numFmtId="0" fontId="13" fillId="2" borderId="97" xfId="8" applyFill="1" applyBorder="1" applyAlignment="1" applyProtection="1">
      <alignment horizontal="center" vertical="center"/>
      <protection locked="0"/>
    </xf>
    <xf numFmtId="0" fontId="13" fillId="2" borderId="478" xfId="8" applyFill="1" applyBorder="1" applyAlignment="1" applyProtection="1">
      <alignment horizontal="center" vertical="center"/>
      <protection locked="0"/>
    </xf>
    <xf numFmtId="0" fontId="145" fillId="55" borderId="96" xfId="8" applyFont="1" applyFill="1" applyBorder="1" applyAlignment="1" applyProtection="1">
      <alignment horizontal="center" vertical="center" wrapText="1"/>
      <protection hidden="1"/>
    </xf>
    <xf numFmtId="0" fontId="145" fillId="55" borderId="474" xfId="8" applyFont="1" applyFill="1" applyBorder="1" applyAlignment="1" applyProtection="1">
      <alignment horizontal="center" vertical="center" wrapText="1"/>
      <protection hidden="1"/>
    </xf>
    <xf numFmtId="0" fontId="145" fillId="55" borderId="0" xfId="8" applyFont="1" applyFill="1" applyAlignment="1" applyProtection="1">
      <alignment horizontal="center" vertical="center" wrapText="1"/>
      <protection hidden="1"/>
    </xf>
    <xf numFmtId="0" fontId="145" fillId="55" borderId="467" xfId="8" applyFont="1" applyFill="1" applyBorder="1" applyAlignment="1" applyProtection="1">
      <alignment horizontal="center" vertical="center" wrapText="1"/>
      <protection hidden="1"/>
    </xf>
    <xf numFmtId="0" fontId="37" fillId="22" borderId="419" xfId="8" applyFont="1" applyFill="1" applyBorder="1" applyAlignment="1" applyProtection="1">
      <alignment horizontal="center" vertical="center" wrapText="1" shrinkToFit="1"/>
      <protection locked="0" hidden="1"/>
    </xf>
    <xf numFmtId="0" fontId="37" fillId="22" borderId="0" xfId="8" applyFont="1" applyFill="1" applyAlignment="1" applyProtection="1">
      <alignment horizontal="center" vertical="center" wrapText="1" shrinkToFit="1"/>
      <protection locked="0" hidden="1"/>
    </xf>
    <xf numFmtId="0" fontId="37" fillId="22" borderId="589" xfId="8" applyFont="1" applyFill="1" applyBorder="1" applyAlignment="1" applyProtection="1">
      <alignment horizontal="center" vertical="center" wrapText="1" shrinkToFit="1"/>
      <protection locked="0" hidden="1"/>
    </xf>
    <xf numFmtId="0" fontId="37" fillId="22" borderId="449" xfId="8" applyFont="1" applyFill="1" applyBorder="1" applyAlignment="1" applyProtection="1">
      <alignment horizontal="center" vertical="center" wrapText="1" shrinkToFit="1"/>
      <protection locked="0" hidden="1"/>
    </xf>
    <xf numFmtId="0" fontId="31" fillId="2" borderId="589" xfId="8" applyFont="1" applyFill="1" applyBorder="1" applyAlignment="1" applyProtection="1">
      <alignment horizontal="center" vertical="center" wrapText="1" shrinkToFit="1"/>
      <protection locked="0"/>
    </xf>
    <xf numFmtId="0" fontId="31" fillId="2" borderId="449" xfId="8" applyFont="1" applyFill="1" applyBorder="1" applyAlignment="1" applyProtection="1">
      <alignment horizontal="center" vertical="center" wrapText="1" shrinkToFit="1"/>
      <protection locked="0"/>
    </xf>
    <xf numFmtId="0" fontId="31" fillId="2" borderId="478" xfId="8" applyFont="1" applyFill="1" applyBorder="1" applyAlignment="1" applyProtection="1">
      <alignment horizontal="center" vertical="center" wrapText="1" shrinkToFit="1"/>
      <protection locked="0"/>
    </xf>
    <xf numFmtId="0" fontId="44" fillId="11" borderId="55" xfId="8" applyFont="1" applyFill="1" applyBorder="1" applyAlignment="1">
      <alignment horizontal="center" vertical="center" wrapText="1"/>
    </xf>
    <xf numFmtId="0" fontId="44" fillId="11" borderId="56" xfId="8" applyFont="1" applyFill="1" applyBorder="1" applyAlignment="1">
      <alignment horizontal="center" vertical="center" wrapText="1"/>
    </xf>
    <xf numFmtId="0" fontId="104" fillId="2" borderId="449" xfId="8" applyFont="1" applyFill="1" applyBorder="1" applyAlignment="1" applyProtection="1">
      <alignment horizontal="center" vertical="center" wrapText="1" shrinkToFit="1"/>
      <protection locked="0" hidden="1"/>
    </xf>
    <xf numFmtId="0" fontId="31" fillId="11" borderId="99" xfId="8" applyFont="1" applyFill="1" applyBorder="1" applyAlignment="1" applyProtection="1">
      <alignment horizontal="center" vertical="center" wrapText="1"/>
      <protection hidden="1"/>
    </xf>
    <xf numFmtId="0" fontId="31" fillId="11" borderId="0" xfId="8" applyFont="1" applyFill="1" applyAlignment="1" applyProtection="1">
      <alignment horizontal="center" vertical="center" wrapText="1"/>
      <protection hidden="1"/>
    </xf>
    <xf numFmtId="0" fontId="31" fillId="11" borderId="583" xfId="8" applyFont="1" applyFill="1" applyBorder="1" applyAlignment="1" applyProtection="1">
      <alignment horizontal="center" vertical="center" wrapText="1"/>
      <protection hidden="1"/>
    </xf>
    <xf numFmtId="0" fontId="31" fillId="11" borderId="454" xfId="8" applyFont="1" applyFill="1" applyBorder="1" applyAlignment="1" applyProtection="1">
      <alignment horizontal="center" vertical="center" wrapText="1"/>
      <protection hidden="1"/>
    </xf>
    <xf numFmtId="0" fontId="31" fillId="11" borderId="449" xfId="8" applyFont="1" applyFill="1" applyBorder="1" applyAlignment="1" applyProtection="1">
      <alignment horizontal="center" vertical="center" wrapText="1"/>
      <protection hidden="1"/>
    </xf>
    <xf numFmtId="0" fontId="31" fillId="11" borderId="598" xfId="8" applyFont="1" applyFill="1" applyBorder="1" applyAlignment="1" applyProtection="1">
      <alignment horizontal="center" vertical="center" wrapText="1"/>
      <protection hidden="1"/>
    </xf>
    <xf numFmtId="0" fontId="28" fillId="2" borderId="0" xfId="8" applyFont="1" applyFill="1" applyAlignment="1" applyProtection="1">
      <alignment horizontal="center" vertical="center" wrapText="1"/>
      <protection locked="0"/>
    </xf>
    <xf numFmtId="0" fontId="28" fillId="2" borderId="308" xfId="8" applyFont="1" applyFill="1" applyBorder="1" applyAlignment="1" applyProtection="1">
      <alignment horizontal="center" vertical="center" wrapText="1"/>
      <protection locked="0"/>
    </xf>
    <xf numFmtId="0" fontId="28" fillId="2" borderId="449" xfId="8" applyFont="1" applyFill="1" applyBorder="1" applyAlignment="1" applyProtection="1">
      <alignment horizontal="center" vertical="center" wrapText="1"/>
      <protection locked="0"/>
    </xf>
    <xf numFmtId="0" fontId="28" fillId="2" borderId="555" xfId="8" applyFont="1" applyFill="1" applyBorder="1" applyAlignment="1" applyProtection="1">
      <alignment horizontal="center" vertical="center" wrapText="1"/>
      <protection locked="0"/>
    </xf>
    <xf numFmtId="0" fontId="45" fillId="21" borderId="358" xfId="8" applyFont="1" applyFill="1" applyBorder="1" applyAlignment="1" applyProtection="1">
      <alignment horizontal="center" vertical="center" wrapText="1" shrinkToFit="1"/>
      <protection hidden="1"/>
    </xf>
    <xf numFmtId="0" fontId="45" fillId="21" borderId="305" xfId="8" applyFont="1" applyFill="1" applyBorder="1" applyAlignment="1" applyProtection="1">
      <alignment horizontal="center" vertical="center" wrapText="1" shrinkToFit="1"/>
      <protection hidden="1"/>
    </xf>
    <xf numFmtId="0" fontId="45" fillId="21" borderId="374" xfId="8" applyFont="1" applyFill="1" applyBorder="1" applyAlignment="1" applyProtection="1">
      <alignment horizontal="center" vertical="center" wrapText="1" shrinkToFit="1"/>
      <protection hidden="1"/>
    </xf>
    <xf numFmtId="0" fontId="45" fillId="21" borderId="50" xfId="8" applyFont="1" applyFill="1" applyBorder="1" applyAlignment="1" applyProtection="1">
      <alignment horizontal="center" vertical="center" wrapText="1" shrinkToFit="1"/>
      <protection hidden="1"/>
    </xf>
    <xf numFmtId="0" fontId="45" fillId="21" borderId="65" xfId="8" applyFont="1" applyFill="1" applyBorder="1" applyAlignment="1" applyProtection="1">
      <alignment horizontal="center" vertical="center" wrapText="1" shrinkToFit="1"/>
      <protection hidden="1"/>
    </xf>
    <xf numFmtId="0" fontId="102" fillId="11" borderId="197" xfId="8" applyFont="1" applyFill="1" applyBorder="1" applyAlignment="1">
      <alignment horizontal="center" vertical="center" wrapText="1"/>
    </xf>
    <xf numFmtId="0" fontId="102" fillId="11" borderId="100" xfId="8" applyFont="1" applyFill="1" applyBorder="1" applyAlignment="1">
      <alignment horizontal="center" vertical="center" wrapText="1"/>
    </xf>
    <xf numFmtId="0" fontId="102" fillId="11" borderId="198" xfId="8" applyFont="1" applyFill="1" applyBorder="1" applyAlignment="1">
      <alignment horizontal="center" vertical="center" wrapText="1"/>
    </xf>
    <xf numFmtId="0" fontId="22" fillId="20" borderId="364" xfId="8" applyFont="1" applyFill="1" applyBorder="1" applyAlignment="1">
      <alignment horizontal="center" vertical="center" wrapText="1"/>
    </xf>
    <xf numFmtId="0" fontId="22" fillId="20" borderId="188" xfId="8" applyFont="1" applyFill="1" applyBorder="1" applyAlignment="1">
      <alignment horizontal="center" vertical="center" wrapText="1"/>
    </xf>
    <xf numFmtId="0" fontId="22" fillId="20" borderId="365" xfId="8" applyFont="1" applyFill="1" applyBorder="1" applyAlignment="1">
      <alignment horizontal="center" vertical="center" wrapText="1"/>
    </xf>
    <xf numFmtId="0" fontId="22" fillId="20" borderId="366" xfId="8" applyFont="1" applyFill="1" applyBorder="1" applyAlignment="1">
      <alignment horizontal="center" vertical="center" wrapText="1"/>
    </xf>
    <xf numFmtId="0" fontId="42" fillId="2" borderId="197" xfId="8" applyFont="1" applyFill="1" applyBorder="1" applyAlignment="1" applyProtection="1">
      <alignment horizontal="center" vertical="center" shrinkToFit="1"/>
      <protection locked="0"/>
    </xf>
    <xf numFmtId="0" fontId="42" fillId="2" borderId="100" xfId="8" applyFont="1" applyFill="1" applyBorder="1" applyAlignment="1" applyProtection="1">
      <alignment horizontal="center" vertical="center" shrinkToFit="1"/>
      <protection locked="0"/>
    </xf>
    <xf numFmtId="0" fontId="42" fillId="2" borderId="198" xfId="8" applyFont="1" applyFill="1" applyBorder="1" applyAlignment="1" applyProtection="1">
      <alignment horizontal="center" vertical="center" shrinkToFit="1"/>
      <protection locked="0"/>
    </xf>
    <xf numFmtId="0" fontId="28" fillId="2" borderId="380" xfId="8" applyFont="1" applyFill="1" applyBorder="1" applyAlignment="1" applyProtection="1">
      <alignment horizontal="center" vertical="center" shrinkToFit="1"/>
      <protection locked="0"/>
    </xf>
    <xf numFmtId="0" fontId="28" fillId="2" borderId="196" xfId="8" applyFont="1" applyFill="1" applyBorder="1" applyAlignment="1" applyProtection="1">
      <alignment horizontal="center" vertical="center" shrinkToFit="1"/>
      <protection locked="0"/>
    </xf>
    <xf numFmtId="0" fontId="22" fillId="20" borderId="378" xfId="8" applyFont="1" applyFill="1" applyBorder="1" applyAlignment="1">
      <alignment horizontal="center" vertical="center" wrapText="1"/>
    </xf>
    <xf numFmtId="0" fontId="22" fillId="20" borderId="186" xfId="8" applyFont="1" applyFill="1" applyBorder="1" applyAlignment="1">
      <alignment horizontal="center" vertical="center" wrapText="1"/>
    </xf>
    <xf numFmtId="0" fontId="45" fillId="21" borderId="631" xfId="8" applyFont="1" applyFill="1" applyBorder="1" applyAlignment="1" applyProtection="1">
      <alignment horizontal="center" vertical="center" wrapText="1" shrinkToFit="1"/>
      <protection hidden="1"/>
    </xf>
    <xf numFmtId="0" fontId="45" fillId="21" borderId="146" xfId="8" applyFont="1" applyFill="1" applyBorder="1" applyAlignment="1" applyProtection="1">
      <alignment horizontal="center" vertical="center" wrapText="1" shrinkToFit="1"/>
      <protection hidden="1"/>
    </xf>
    <xf numFmtId="0" fontId="102" fillId="11" borderId="194" xfId="8" applyFont="1" applyFill="1" applyBorder="1" applyAlignment="1">
      <alignment horizontal="center" vertical="center" wrapText="1"/>
    </xf>
    <xf numFmtId="0" fontId="102" fillId="11" borderId="46" xfId="8" applyFont="1" applyFill="1" applyBorder="1" applyAlignment="1">
      <alignment horizontal="center" vertical="center" wrapText="1"/>
    </xf>
    <xf numFmtId="0" fontId="102" fillId="11" borderId="193" xfId="8" applyFont="1" applyFill="1" applyBorder="1" applyAlignment="1">
      <alignment horizontal="center" vertical="center" wrapText="1"/>
    </xf>
    <xf numFmtId="0" fontId="102" fillId="11" borderId="63" xfId="8" applyFont="1" applyFill="1" applyBorder="1" applyAlignment="1">
      <alignment horizontal="center" vertical="center" wrapText="1"/>
    </xf>
    <xf numFmtId="0" fontId="102" fillId="11" borderId="0" xfId="8" applyFont="1" applyFill="1" applyAlignment="1">
      <alignment horizontal="center" vertical="center" wrapText="1"/>
    </xf>
    <xf numFmtId="0" fontId="102" fillId="11" borderId="67" xfId="8" applyFont="1" applyFill="1" applyBorder="1" applyAlignment="1">
      <alignment horizontal="center" vertical="center" wrapText="1"/>
    </xf>
    <xf numFmtId="0" fontId="102" fillId="11" borderId="192" xfId="8" applyFont="1" applyFill="1" applyBorder="1" applyAlignment="1">
      <alignment horizontal="center" vertical="center" wrapText="1"/>
    </xf>
    <xf numFmtId="0" fontId="102" fillId="11" borderId="50" xfId="8" applyFont="1" applyFill="1" applyBorder="1" applyAlignment="1">
      <alignment horizontal="center" vertical="center" wrapText="1"/>
    </xf>
    <xf numFmtId="0" fontId="102" fillId="11" borderId="195" xfId="8" applyFont="1" applyFill="1" applyBorder="1" applyAlignment="1">
      <alignment horizontal="center" vertical="center" wrapText="1"/>
    </xf>
    <xf numFmtId="182" fontId="42" fillId="2" borderId="53" xfId="8" applyNumberFormat="1" applyFont="1" applyFill="1" applyBorder="1" applyAlignment="1" applyProtection="1">
      <alignment horizontal="center" vertical="center" shrinkToFit="1"/>
      <protection locked="0"/>
    </xf>
    <xf numFmtId="182" fontId="42" fillId="2" borderId="53" xfId="8" applyNumberFormat="1" applyFont="1" applyFill="1" applyBorder="1" applyAlignment="1" applyProtection="1">
      <alignment horizontal="left" vertical="center" shrinkToFit="1"/>
      <protection locked="0"/>
    </xf>
    <xf numFmtId="180" fontId="42" fillId="8" borderId="53" xfId="8" applyNumberFormat="1" applyFont="1" applyFill="1" applyBorder="1" applyAlignment="1" applyProtection="1">
      <alignment horizontal="center" vertical="center" shrinkToFit="1"/>
      <protection hidden="1"/>
    </xf>
    <xf numFmtId="0" fontId="39" fillId="20" borderId="61" xfId="8" applyFont="1" applyFill="1" applyBorder="1" applyAlignment="1" applyProtection="1">
      <alignment horizontal="left" vertical="center" wrapText="1" shrinkToFit="1"/>
      <protection hidden="1"/>
    </xf>
    <xf numFmtId="0" fontId="39" fillId="20" borderId="69" xfId="8" applyFont="1" applyFill="1" applyBorder="1" applyAlignment="1" applyProtection="1">
      <alignment horizontal="left" vertical="center" wrapText="1" shrinkToFit="1"/>
      <protection hidden="1"/>
    </xf>
    <xf numFmtId="0" fontId="39" fillId="20" borderId="55" xfId="8" applyFont="1" applyFill="1" applyBorder="1" applyAlignment="1" applyProtection="1">
      <alignment horizontal="left" vertical="center" wrapText="1" shrinkToFit="1"/>
      <protection hidden="1"/>
    </xf>
    <xf numFmtId="0" fontId="39" fillId="20" borderId="46" xfId="8" applyFont="1" applyFill="1" applyBorder="1" applyAlignment="1" applyProtection="1">
      <alignment horizontal="left" vertical="center" wrapText="1" shrinkToFit="1"/>
      <protection hidden="1"/>
    </xf>
    <xf numFmtId="0" fontId="39" fillId="20" borderId="62" xfId="8" applyFont="1" applyFill="1" applyBorder="1" applyAlignment="1" applyProtection="1">
      <alignment horizontal="left" vertical="center" wrapText="1" shrinkToFit="1"/>
      <protection hidden="1"/>
    </xf>
    <xf numFmtId="0" fontId="22" fillId="11" borderId="55" xfId="8" applyFont="1" applyFill="1" applyBorder="1" applyAlignment="1">
      <alignment horizontal="center" vertical="center"/>
    </xf>
    <xf numFmtId="0" fontId="22" fillId="11" borderId="46" xfId="8" applyFont="1" applyFill="1" applyBorder="1" applyAlignment="1">
      <alignment horizontal="center" vertical="center"/>
    </xf>
    <xf numFmtId="0" fontId="22" fillId="11" borderId="193" xfId="8" applyFont="1" applyFill="1" applyBorder="1" applyAlignment="1">
      <alignment horizontal="center" vertical="center"/>
    </xf>
    <xf numFmtId="0" fontId="22" fillId="11" borderId="56" xfId="8" applyFont="1" applyFill="1" applyBorder="1" applyAlignment="1">
      <alignment horizontal="center" vertical="center"/>
    </xf>
    <xf numFmtId="0" fontId="22" fillId="11" borderId="67" xfId="8" applyFont="1" applyFill="1" applyBorder="1" applyAlignment="1">
      <alignment horizontal="center" vertical="center"/>
    </xf>
    <xf numFmtId="0" fontId="22" fillId="11" borderId="61" xfId="8" applyFont="1" applyFill="1" applyBorder="1" applyAlignment="1">
      <alignment horizontal="center" vertical="center"/>
    </xf>
    <xf numFmtId="0" fontId="22" fillId="11" borderId="53" xfId="8" applyFont="1" applyFill="1" applyBorder="1" applyAlignment="1">
      <alignment horizontal="center" vertical="center"/>
    </xf>
    <xf numFmtId="0" fontId="22" fillId="11" borderId="68" xfId="8" applyFont="1" applyFill="1" applyBorder="1" applyAlignment="1">
      <alignment horizontal="center" vertical="center"/>
    </xf>
    <xf numFmtId="0" fontId="138" fillId="2" borderId="194" xfId="8" applyFont="1" applyFill="1" applyBorder="1" applyAlignment="1" applyProtection="1">
      <alignment horizontal="center" vertical="center"/>
      <protection locked="0"/>
    </xf>
    <xf numFmtId="0" fontId="66" fillId="2" borderId="46" xfId="8" applyFont="1" applyFill="1" applyBorder="1" applyAlignment="1" applyProtection="1">
      <alignment horizontal="center" vertical="center"/>
      <protection locked="0"/>
    </xf>
    <xf numFmtId="0" fontId="66" fillId="2" borderId="62" xfId="8" applyFont="1" applyFill="1" applyBorder="1" applyAlignment="1" applyProtection="1">
      <alignment horizontal="center" vertical="center"/>
      <protection locked="0"/>
    </xf>
    <xf numFmtId="0" fontId="66" fillId="2" borderId="63" xfId="8" applyFont="1" applyFill="1" applyBorder="1" applyAlignment="1" applyProtection="1">
      <alignment horizontal="center" vertical="center"/>
      <protection locked="0"/>
    </xf>
    <xf numFmtId="0" fontId="66" fillId="2" borderId="0" xfId="8" applyFont="1" applyFill="1" applyAlignment="1" applyProtection="1">
      <alignment horizontal="center" vertical="center"/>
      <protection locked="0"/>
    </xf>
    <xf numFmtId="0" fontId="66" fillId="2" borderId="64" xfId="8" applyFont="1" applyFill="1" applyBorder="1" applyAlignment="1" applyProtection="1">
      <alignment horizontal="center" vertical="center"/>
      <protection locked="0"/>
    </xf>
    <xf numFmtId="0" fontId="66" fillId="2" borderId="66" xfId="8" applyFont="1" applyFill="1" applyBorder="1" applyAlignment="1" applyProtection="1">
      <alignment horizontal="center" vertical="center"/>
      <protection locked="0"/>
    </xf>
    <xf numFmtId="0" fontId="66" fillId="2" borderId="53" xfId="8" applyFont="1" applyFill="1" applyBorder="1" applyAlignment="1" applyProtection="1">
      <alignment horizontal="center" vertical="center"/>
      <protection locked="0"/>
    </xf>
    <xf numFmtId="0" fontId="66" fillId="2" borderId="69" xfId="8" applyFont="1" applyFill="1" applyBorder="1" applyAlignment="1" applyProtection="1">
      <alignment horizontal="center" vertical="center"/>
      <protection locked="0"/>
    </xf>
    <xf numFmtId="0" fontId="146" fillId="55" borderId="96" xfId="1" applyNumberFormat="1" applyFont="1" applyFill="1" applyBorder="1" applyAlignment="1" applyProtection="1">
      <alignment horizontal="center" vertical="center" shrinkToFit="1"/>
      <protection hidden="1"/>
    </xf>
    <xf numFmtId="0" fontId="146" fillId="55" borderId="458" xfId="1" applyNumberFormat="1" applyFont="1" applyFill="1" applyBorder="1" applyAlignment="1" applyProtection="1">
      <alignment horizontal="center" vertical="center" shrinkToFit="1"/>
      <protection hidden="1"/>
    </xf>
    <xf numFmtId="0" fontId="146" fillId="55" borderId="0" xfId="1" applyNumberFormat="1" applyFont="1" applyFill="1" applyBorder="1" applyAlignment="1" applyProtection="1">
      <alignment horizontal="center" vertical="center" shrinkToFit="1"/>
      <protection hidden="1"/>
    </xf>
    <xf numFmtId="0" fontId="146" fillId="55" borderId="97" xfId="1" applyNumberFormat="1" applyFont="1" applyFill="1" applyBorder="1" applyAlignment="1" applyProtection="1">
      <alignment horizontal="center" vertical="center" shrinkToFit="1"/>
      <protection hidden="1"/>
    </xf>
    <xf numFmtId="0" fontId="18" fillId="55" borderId="453" xfId="1" applyNumberFormat="1" applyFill="1" applyBorder="1" applyAlignment="1" applyProtection="1">
      <alignment horizontal="center" vertical="center" shrinkToFit="1"/>
    </xf>
    <xf numFmtId="0" fontId="18" fillId="55" borderId="99" xfId="1" applyNumberFormat="1" applyFill="1" applyBorder="1" applyAlignment="1" applyProtection="1">
      <alignment horizontal="center" vertical="center" shrinkToFit="1"/>
    </xf>
    <xf numFmtId="0" fontId="42" fillId="2" borderId="62" xfId="8" applyFont="1" applyFill="1" applyBorder="1" applyAlignment="1" applyProtection="1">
      <alignment horizontal="center" vertical="center" shrinkToFit="1"/>
      <protection locked="0"/>
    </xf>
    <xf numFmtId="0" fontId="42" fillId="2" borderId="65" xfId="8" applyFont="1" applyFill="1" applyBorder="1" applyAlignment="1" applyProtection="1">
      <alignment horizontal="center" vertical="center" shrinkToFit="1"/>
      <protection locked="0"/>
    </xf>
    <xf numFmtId="0" fontId="42" fillId="8" borderId="53" xfId="8" applyFont="1" applyFill="1" applyBorder="1" applyAlignment="1" applyProtection="1">
      <alignment horizontal="left" vertical="center" shrinkToFit="1"/>
      <protection hidden="1"/>
    </xf>
    <xf numFmtId="0" fontId="42" fillId="8" borderId="69" xfId="8" applyFont="1" applyFill="1" applyBorder="1" applyAlignment="1" applyProtection="1">
      <alignment horizontal="left" vertical="center" shrinkToFit="1"/>
      <protection hidden="1"/>
    </xf>
    <xf numFmtId="0" fontId="42" fillId="8" borderId="62" xfId="8" applyFont="1" applyFill="1" applyBorder="1" applyAlignment="1" applyProtection="1">
      <alignment horizontal="left" vertical="center" shrinkToFit="1"/>
      <protection hidden="1"/>
    </xf>
    <xf numFmtId="0" fontId="13" fillId="2" borderId="194" xfId="8" applyFill="1" applyBorder="1" applyAlignment="1" applyProtection="1">
      <alignment horizontal="center" vertical="center"/>
      <protection locked="0"/>
    </xf>
    <xf numFmtId="0" fontId="13" fillId="2" borderId="193" xfId="8" applyFill="1" applyBorder="1" applyAlignment="1" applyProtection="1">
      <alignment horizontal="center" vertical="center"/>
      <protection locked="0"/>
    </xf>
    <xf numFmtId="0" fontId="13" fillId="2" borderId="63" xfId="8" applyFill="1" applyBorder="1" applyAlignment="1" applyProtection="1">
      <alignment horizontal="center" vertical="center"/>
      <protection locked="0"/>
    </xf>
    <xf numFmtId="0" fontId="13" fillId="2" borderId="67" xfId="8" applyFill="1" applyBorder="1" applyAlignment="1" applyProtection="1">
      <alignment horizontal="center" vertical="center"/>
      <protection locked="0"/>
    </xf>
    <xf numFmtId="0" fontId="13" fillId="2" borderId="192" xfId="8" applyFill="1" applyBorder="1" applyAlignment="1" applyProtection="1">
      <alignment horizontal="center" vertical="center"/>
      <protection locked="0"/>
    </xf>
    <xf numFmtId="0" fontId="13" fillId="2" borderId="50" xfId="8" applyFill="1" applyBorder="1" applyAlignment="1" applyProtection="1">
      <alignment horizontal="center" vertical="center"/>
      <protection locked="0"/>
    </xf>
    <xf numFmtId="0" fontId="13" fillId="2" borderId="195" xfId="8" applyFill="1" applyBorder="1" applyAlignment="1" applyProtection="1">
      <alignment horizontal="center" vertical="center"/>
      <protection locked="0"/>
    </xf>
    <xf numFmtId="0" fontId="18" fillId="55" borderId="55" xfId="1" applyNumberFormat="1" applyFill="1" applyBorder="1" applyAlignment="1" applyProtection="1">
      <alignment horizontal="center" vertical="center" shrinkToFit="1"/>
    </xf>
    <xf numFmtId="0" fontId="18" fillId="55" borderId="46" xfId="1" applyNumberFormat="1" applyFill="1" applyBorder="1" applyAlignment="1" applyProtection="1">
      <alignment horizontal="center" vertical="center" shrinkToFit="1"/>
    </xf>
    <xf numFmtId="0" fontId="18" fillId="55" borderId="359" xfId="1" applyNumberFormat="1" applyFill="1" applyBorder="1" applyAlignment="1" applyProtection="1">
      <alignment horizontal="center" vertical="center" shrinkToFit="1"/>
    </xf>
    <xf numFmtId="0" fontId="18" fillId="55" borderId="56" xfId="1" applyNumberFormat="1" applyFill="1" applyBorder="1" applyAlignment="1" applyProtection="1">
      <alignment horizontal="center" vertical="center" shrinkToFit="1"/>
    </xf>
    <xf numFmtId="0" fontId="18" fillId="55" borderId="61" xfId="1" applyNumberFormat="1" applyFill="1" applyBorder="1" applyAlignment="1" applyProtection="1">
      <alignment horizontal="center" vertical="center" shrinkToFit="1"/>
    </xf>
    <xf numFmtId="0" fontId="18" fillId="55" borderId="53" xfId="1" applyNumberFormat="1" applyFill="1" applyBorder="1" applyAlignment="1" applyProtection="1">
      <alignment horizontal="center" vertical="center" shrinkToFit="1"/>
    </xf>
    <xf numFmtId="0" fontId="18" fillId="55" borderId="375" xfId="1" applyNumberFormat="1" applyFill="1" applyBorder="1" applyAlignment="1" applyProtection="1">
      <alignment horizontal="center" vertical="center" shrinkToFit="1"/>
    </xf>
    <xf numFmtId="38" fontId="28" fillId="18" borderId="328" xfId="9" applyFont="1" applyFill="1" applyBorder="1" applyAlignment="1" applyProtection="1">
      <alignment horizontal="center" vertical="center" shrinkToFit="1"/>
    </xf>
    <xf numFmtId="38" fontId="28" fillId="18" borderId="281" xfId="9" applyFont="1" applyFill="1" applyBorder="1" applyAlignment="1" applyProtection="1">
      <alignment horizontal="center" vertical="center" shrinkToFit="1"/>
    </xf>
    <xf numFmtId="38" fontId="28" fillId="18" borderId="287" xfId="9" applyFont="1" applyFill="1" applyBorder="1" applyAlignment="1" applyProtection="1">
      <alignment horizontal="center" vertical="center" shrinkToFit="1"/>
    </xf>
    <xf numFmtId="38" fontId="28" fillId="18" borderId="56" xfId="9" applyFont="1" applyFill="1" applyBorder="1" applyAlignment="1" applyProtection="1">
      <alignment horizontal="center" vertical="center" shrinkToFit="1"/>
    </xf>
    <xf numFmtId="38" fontId="28" fillId="18" borderId="0" xfId="9" applyFont="1" applyFill="1" applyBorder="1" applyAlignment="1" applyProtection="1">
      <alignment horizontal="center" vertical="center" shrinkToFit="1"/>
    </xf>
    <xf numFmtId="38" fontId="28" fillId="18" borderId="308" xfId="9" applyFont="1" applyFill="1" applyBorder="1" applyAlignment="1" applyProtection="1">
      <alignment horizontal="center" vertical="center" shrinkToFit="1"/>
    </xf>
    <xf numFmtId="38" fontId="28" fillId="18" borderId="61" xfId="9" applyFont="1" applyFill="1" applyBorder="1" applyAlignment="1" applyProtection="1">
      <alignment horizontal="center" vertical="center" shrinkToFit="1"/>
    </xf>
    <xf numFmtId="38" fontId="28" fillId="18" borderId="53" xfId="9" applyFont="1" applyFill="1" applyBorder="1" applyAlignment="1" applyProtection="1">
      <alignment horizontal="center" vertical="center" shrinkToFit="1"/>
    </xf>
    <xf numFmtId="38" fontId="28" fillId="18" borderId="375" xfId="9" applyFont="1" applyFill="1" applyBorder="1" applyAlignment="1" applyProtection="1">
      <alignment horizontal="center" vertical="center" shrinkToFit="1"/>
    </xf>
    <xf numFmtId="0" fontId="13" fillId="0" borderId="55" xfId="8" applyBorder="1" applyAlignment="1" applyProtection="1">
      <alignment horizontal="center" vertical="center"/>
      <protection locked="0"/>
    </xf>
    <xf numFmtId="0" fontId="13" fillId="0" borderId="46" xfId="8" applyBorder="1" applyAlignment="1" applyProtection="1">
      <alignment horizontal="center" vertical="center"/>
      <protection locked="0"/>
    </xf>
    <xf numFmtId="0" fontId="13" fillId="0" borderId="359" xfId="8" applyBorder="1" applyAlignment="1" applyProtection="1">
      <alignment horizontal="center" vertical="center"/>
      <protection locked="0"/>
    </xf>
    <xf numFmtId="0" fontId="13" fillId="0" borderId="56" xfId="8" applyBorder="1" applyAlignment="1" applyProtection="1">
      <alignment horizontal="center" vertical="center"/>
      <protection locked="0"/>
    </xf>
    <xf numFmtId="0" fontId="13" fillId="0" borderId="0" xfId="8" applyAlignment="1" applyProtection="1">
      <alignment horizontal="center" vertical="center"/>
      <protection locked="0"/>
    </xf>
    <xf numFmtId="0" fontId="13" fillId="0" borderId="308" xfId="8" applyBorder="1" applyAlignment="1" applyProtection="1">
      <alignment horizontal="center" vertical="center"/>
      <protection locked="0"/>
    </xf>
    <xf numFmtId="0" fontId="13" fillId="0" borderId="330" xfId="8" applyBorder="1" applyAlignment="1" applyProtection="1">
      <alignment horizontal="center" vertical="center"/>
      <protection locked="0"/>
    </xf>
    <xf numFmtId="0" fontId="13" fillId="0" borderId="289" xfId="8" applyBorder="1" applyAlignment="1" applyProtection="1">
      <alignment horizontal="center" vertical="center"/>
      <protection locked="0"/>
    </xf>
    <xf numFmtId="0" fontId="13" fillId="0" borderId="295" xfId="8" applyBorder="1" applyAlignment="1" applyProtection="1">
      <alignment horizontal="center" vertical="center"/>
      <protection locked="0"/>
    </xf>
    <xf numFmtId="0" fontId="28" fillId="2" borderId="381" xfId="9" applyNumberFormat="1" applyFont="1" applyFill="1" applyBorder="1" applyAlignment="1" applyProtection="1">
      <alignment horizontal="center" vertical="center" shrinkToFit="1"/>
      <protection locked="0"/>
    </xf>
    <xf numFmtId="0" fontId="28" fillId="2" borderId="361" xfId="9" applyNumberFormat="1" applyFont="1" applyFill="1" applyBorder="1" applyAlignment="1" applyProtection="1">
      <alignment horizontal="center" vertical="center" shrinkToFit="1"/>
      <protection locked="0"/>
    </xf>
    <xf numFmtId="0" fontId="28" fillId="2" borderId="372" xfId="9" applyNumberFormat="1" applyFont="1" applyFill="1" applyBorder="1" applyAlignment="1" applyProtection="1">
      <alignment horizontal="center" vertical="center" shrinkToFit="1"/>
      <protection locked="0"/>
    </xf>
    <xf numFmtId="0" fontId="28" fillId="2" borderId="140" xfId="9" applyNumberFormat="1" applyFont="1" applyFill="1" applyBorder="1" applyAlignment="1" applyProtection="1">
      <alignment horizontal="center" vertical="center" shrinkToFit="1"/>
      <protection locked="0"/>
    </xf>
    <xf numFmtId="0" fontId="28" fillId="2" borderId="188" xfId="9" applyNumberFormat="1" applyFont="1" applyFill="1" applyBorder="1" applyAlignment="1" applyProtection="1">
      <alignment horizontal="center" vertical="center" shrinkToFit="1"/>
      <protection locked="0"/>
    </xf>
    <xf numFmtId="0" fontId="28" fillId="2" borderId="189" xfId="9" applyNumberFormat="1" applyFont="1" applyFill="1" applyBorder="1" applyAlignment="1" applyProtection="1">
      <alignment horizontal="center" vertical="center" shrinkToFit="1"/>
      <protection locked="0"/>
    </xf>
    <xf numFmtId="38" fontId="28" fillId="2" borderId="371" xfId="9" applyFont="1" applyFill="1" applyBorder="1" applyAlignment="1" applyProtection="1">
      <alignment horizontal="center" vertical="center" shrinkToFit="1"/>
      <protection locked="0"/>
    </xf>
    <xf numFmtId="38" fontId="28" fillId="2" borderId="63" xfId="9" applyFont="1" applyFill="1" applyBorder="1" applyAlignment="1" applyProtection="1">
      <alignment horizontal="center" vertical="center" shrinkToFit="1"/>
      <protection locked="0"/>
    </xf>
    <xf numFmtId="38" fontId="28" fillId="2" borderId="66" xfId="9" applyFont="1" applyFill="1" applyBorder="1" applyAlignment="1" applyProtection="1">
      <alignment horizontal="center" vertical="center" shrinkToFit="1"/>
      <protection locked="0"/>
    </xf>
    <xf numFmtId="0" fontId="13" fillId="0" borderId="187" xfId="8" applyBorder="1" applyAlignment="1" applyProtection="1">
      <alignment horizontal="center" vertical="center"/>
      <protection locked="0"/>
    </xf>
    <xf numFmtId="0" fontId="13" fillId="0" borderId="185" xfId="8" applyBorder="1" applyAlignment="1" applyProtection="1">
      <alignment horizontal="center" vertical="center"/>
      <protection locked="0"/>
    </xf>
    <xf numFmtId="0" fontId="13" fillId="0" borderId="379" xfId="8" applyBorder="1" applyAlignment="1" applyProtection="1">
      <alignment horizontal="center" vertical="center"/>
      <protection locked="0"/>
    </xf>
    <xf numFmtId="0" fontId="18" fillId="2" borderId="146" xfId="1" applyFill="1" applyBorder="1" applyAlignment="1" applyProtection="1">
      <alignment horizontal="center" vertical="center" wrapText="1" shrinkToFit="1"/>
      <protection locked="0" hidden="1"/>
    </xf>
    <xf numFmtId="0" fontId="31" fillId="2" borderId="146" xfId="8" applyFont="1" applyFill="1" applyBorder="1" applyAlignment="1" applyProtection="1">
      <alignment horizontal="center" vertical="center" wrapText="1" shrinkToFit="1"/>
      <protection locked="0" hidden="1"/>
    </xf>
    <xf numFmtId="0" fontId="20" fillId="20" borderId="0" xfId="0" applyFont="1" applyFill="1" applyAlignment="1">
      <alignment vertical="center" wrapText="1"/>
    </xf>
    <xf numFmtId="0" fontId="20" fillId="20" borderId="0" xfId="0" applyFont="1" applyFill="1">
      <alignment vertical="center"/>
    </xf>
    <xf numFmtId="0" fontId="103" fillId="0" borderId="55" xfId="8" applyFont="1" applyBorder="1" applyAlignment="1">
      <alignment vertical="center" wrapText="1"/>
    </xf>
    <xf numFmtId="0" fontId="103" fillId="0" borderId="46" xfId="8" applyFont="1" applyBorder="1" applyAlignment="1">
      <alignment vertical="center" wrapText="1"/>
    </xf>
    <xf numFmtId="0" fontId="103" fillId="0" borderId="62" xfId="8" applyFont="1" applyBorder="1" applyAlignment="1">
      <alignment vertical="center" wrapText="1"/>
    </xf>
    <xf numFmtId="0" fontId="103" fillId="0" borderId="56" xfId="8" applyFont="1" applyBorder="1" applyAlignment="1">
      <alignment vertical="center" wrapText="1"/>
    </xf>
    <xf numFmtId="0" fontId="103" fillId="0" borderId="0" xfId="8" applyFont="1" applyAlignment="1">
      <alignment vertical="center" wrapText="1"/>
    </xf>
    <xf numFmtId="0" fontId="103" fillId="0" borderId="64" xfId="8" applyFont="1" applyBorder="1" applyAlignment="1">
      <alignment vertical="center" wrapText="1"/>
    </xf>
    <xf numFmtId="0" fontId="103" fillId="0" borderId="330" xfId="8" applyFont="1" applyBorder="1" applyAlignment="1">
      <alignment vertical="center" wrapText="1"/>
    </xf>
    <xf numFmtId="0" fontId="103" fillId="0" borderId="289" xfId="8" applyFont="1" applyBorder="1" applyAlignment="1">
      <alignment vertical="center" wrapText="1"/>
    </xf>
    <xf numFmtId="0" fontId="103" fillId="0" borderId="329" xfId="8" applyFont="1" applyBorder="1" applyAlignment="1">
      <alignment vertical="center" wrapText="1"/>
    </xf>
    <xf numFmtId="0" fontId="103" fillId="0" borderId="187" xfId="8" applyFont="1" applyBorder="1" applyAlignment="1">
      <alignment vertical="center" wrapText="1"/>
    </xf>
    <xf numFmtId="0" fontId="103" fillId="0" borderId="185" xfId="8" applyFont="1" applyBorder="1" applyAlignment="1">
      <alignment vertical="center" wrapText="1"/>
    </xf>
    <xf numFmtId="0" fontId="103" fillId="0" borderId="200" xfId="8" applyFont="1" applyBorder="1" applyAlignment="1">
      <alignment vertical="center" wrapText="1"/>
    </xf>
    <xf numFmtId="0" fontId="42" fillId="2" borderId="199" xfId="8" applyFont="1" applyFill="1" applyBorder="1" applyAlignment="1" applyProtection="1">
      <alignment horizontal="center" vertical="center" shrinkToFit="1"/>
      <protection locked="0"/>
    </xf>
    <xf numFmtId="0" fontId="42" fillId="2" borderId="133" xfId="8" applyFont="1" applyFill="1" applyBorder="1" applyAlignment="1" applyProtection="1">
      <alignment horizontal="center" vertical="center" shrinkToFit="1"/>
      <protection locked="0"/>
    </xf>
    <xf numFmtId="0" fontId="42" fillId="2" borderId="191" xfId="8" applyFont="1" applyFill="1" applyBorder="1" applyAlignment="1" applyProtection="1">
      <alignment horizontal="center" vertical="center" shrinkToFit="1"/>
      <protection locked="0"/>
    </xf>
    <xf numFmtId="0" fontId="40" fillId="36" borderId="70" xfId="8" applyFont="1" applyFill="1" applyBorder="1" applyAlignment="1" applyProtection="1">
      <alignment horizontal="left" vertical="center" shrinkToFit="1"/>
      <protection hidden="1"/>
    </xf>
    <xf numFmtId="0" fontId="40" fillId="36" borderId="51" xfId="8" applyFont="1" applyFill="1" applyBorder="1" applyAlignment="1" applyProtection="1">
      <alignment horizontal="left" vertical="center" shrinkToFit="1"/>
      <protection hidden="1"/>
    </xf>
    <xf numFmtId="0" fontId="40" fillId="36" borderId="52" xfId="8" applyFont="1" applyFill="1" applyBorder="1" applyAlignment="1" applyProtection="1">
      <alignment horizontal="left" vertical="center" shrinkToFit="1"/>
      <protection hidden="1"/>
    </xf>
    <xf numFmtId="0" fontId="40" fillId="36" borderId="47" xfId="8" applyFont="1" applyFill="1" applyBorder="1" applyAlignment="1" applyProtection="1">
      <alignment horizontal="left" vertical="center" shrinkToFit="1"/>
      <protection hidden="1"/>
    </xf>
    <xf numFmtId="0" fontId="40" fillId="36" borderId="0" xfId="8" applyFont="1" applyFill="1" applyAlignment="1" applyProtection="1">
      <alignment horizontal="left" vertical="center" shrinkToFit="1"/>
      <protection hidden="1"/>
    </xf>
    <xf numFmtId="0" fontId="40" fillId="36" borderId="39" xfId="8" applyFont="1" applyFill="1" applyBorder="1" applyAlignment="1" applyProtection="1">
      <alignment horizontal="left" vertical="center" shrinkToFit="1"/>
      <protection hidden="1"/>
    </xf>
    <xf numFmtId="0" fontId="51" fillId="8" borderId="0" xfId="8" applyFont="1" applyFill="1" applyAlignment="1" applyProtection="1">
      <alignment horizontal="right" vertical="center" wrapText="1"/>
      <protection hidden="1"/>
    </xf>
    <xf numFmtId="182" fontId="42" fillId="2" borderId="48" xfId="8" applyNumberFormat="1" applyFont="1" applyFill="1" applyBorder="1" applyAlignment="1" applyProtection="1">
      <alignment horizontal="right" vertical="center" shrinkToFit="1"/>
      <protection locked="0"/>
    </xf>
    <xf numFmtId="182" fontId="42" fillId="2" borderId="46" xfId="8" applyNumberFormat="1" applyFont="1" applyFill="1" applyBorder="1" applyAlignment="1" applyProtection="1">
      <alignment horizontal="right" vertical="center" shrinkToFit="1"/>
      <protection locked="0"/>
    </xf>
    <xf numFmtId="0" fontId="45" fillId="21" borderId="288" xfId="8" applyFont="1" applyFill="1" applyBorder="1" applyAlignment="1" applyProtection="1">
      <alignment horizontal="center" vertical="center" wrapText="1" shrinkToFit="1"/>
      <protection hidden="1"/>
    </xf>
    <xf numFmtId="0" fontId="45" fillId="21" borderId="289" xfId="8" applyFont="1" applyFill="1" applyBorder="1" applyAlignment="1" applyProtection="1">
      <alignment horizontal="center" vertical="center" wrapText="1" shrinkToFit="1"/>
      <protection hidden="1"/>
    </xf>
    <xf numFmtId="0" fontId="45" fillId="21" borderId="329" xfId="8" applyFont="1" applyFill="1" applyBorder="1" applyAlignment="1" applyProtection="1">
      <alignment horizontal="center" vertical="center" wrapText="1" shrinkToFit="1"/>
      <protection hidden="1"/>
    </xf>
    <xf numFmtId="0" fontId="31" fillId="11" borderId="330" xfId="8" applyFont="1" applyFill="1" applyBorder="1" applyAlignment="1" applyProtection="1">
      <alignment horizontal="center" vertical="center" wrapText="1" shrinkToFit="1"/>
      <protection hidden="1"/>
    </xf>
    <xf numFmtId="0" fontId="42" fillId="2" borderId="376" xfId="8" applyFont="1" applyFill="1" applyBorder="1" applyAlignment="1" applyProtection="1">
      <alignment horizontal="center" vertical="center" shrinkToFit="1"/>
      <protection locked="0"/>
    </xf>
    <xf numFmtId="0" fontId="42" fillId="2" borderId="289" xfId="8" applyFont="1" applyFill="1" applyBorder="1" applyAlignment="1" applyProtection="1">
      <alignment horizontal="center" vertical="center" shrinkToFit="1"/>
      <protection locked="0"/>
    </xf>
    <xf numFmtId="0" fontId="42" fillId="2" borderId="48" xfId="8" applyFont="1" applyFill="1" applyBorder="1" applyAlignment="1" applyProtection="1">
      <alignment horizontal="center" vertical="center" shrinkToFit="1"/>
      <protection locked="0"/>
    </xf>
    <xf numFmtId="0" fontId="28" fillId="2" borderId="48" xfId="9" applyNumberFormat="1" applyFont="1" applyFill="1" applyBorder="1" applyAlignment="1" applyProtection="1">
      <alignment horizontal="center" vertical="center" shrinkToFit="1"/>
      <protection locked="0"/>
    </xf>
    <xf numFmtId="0" fontId="28" fillId="2" borderId="46" xfId="9" applyNumberFormat="1" applyFont="1" applyFill="1" applyBorder="1" applyAlignment="1" applyProtection="1">
      <alignment horizontal="center" vertical="center" shrinkToFit="1"/>
      <protection locked="0"/>
    </xf>
    <xf numFmtId="0" fontId="48" fillId="0" borderId="183" xfId="8" applyFont="1" applyBorder="1">
      <alignment vertical="center"/>
    </xf>
    <xf numFmtId="0" fontId="48" fillId="0" borderId="184" xfId="8" applyFont="1" applyBorder="1">
      <alignment vertical="center"/>
    </xf>
    <xf numFmtId="38" fontId="42" fillId="2" borderId="46" xfId="9" applyFont="1" applyFill="1" applyBorder="1" applyAlignment="1" applyProtection="1">
      <alignment horizontal="center" vertical="center" shrinkToFit="1"/>
      <protection locked="0"/>
    </xf>
    <xf numFmtId="38" fontId="42" fillId="2" borderId="0" xfId="9" applyFont="1" applyFill="1" applyBorder="1" applyAlignment="1" applyProtection="1">
      <alignment horizontal="center" vertical="center" shrinkToFit="1"/>
      <protection locked="0"/>
    </xf>
    <xf numFmtId="38" fontId="42" fillId="2" borderId="289" xfId="9" applyFont="1" applyFill="1" applyBorder="1" applyAlignment="1" applyProtection="1">
      <alignment horizontal="center" vertical="center" shrinkToFit="1"/>
      <protection locked="0"/>
    </xf>
    <xf numFmtId="0" fontId="42" fillId="2" borderId="329" xfId="8" applyFont="1" applyFill="1" applyBorder="1" applyAlignment="1" applyProtection="1">
      <alignment horizontal="center" vertical="center" shrinkToFit="1"/>
      <protection locked="0"/>
    </xf>
    <xf numFmtId="0" fontId="104" fillId="0" borderId="46" xfId="8" applyFont="1" applyBorder="1" applyAlignment="1" applyProtection="1">
      <alignment horizontal="center" vertical="center" wrapText="1" shrinkToFit="1"/>
      <protection hidden="1"/>
    </xf>
    <xf numFmtId="0" fontId="104" fillId="0" borderId="0" xfId="8" applyFont="1" applyAlignment="1" applyProtection="1">
      <alignment horizontal="center" vertical="center" wrapText="1" shrinkToFit="1"/>
      <protection hidden="1"/>
    </xf>
    <xf numFmtId="0" fontId="104" fillId="0" borderId="289" xfId="8" applyFont="1" applyBorder="1" applyAlignment="1" applyProtection="1">
      <alignment horizontal="center" vertical="center" wrapText="1" shrinkToFit="1"/>
      <protection hidden="1"/>
    </xf>
    <xf numFmtId="0" fontId="13" fillId="0" borderId="194" xfId="8" applyBorder="1" applyAlignment="1">
      <alignment horizontal="right" vertical="center"/>
    </xf>
    <xf numFmtId="0" fontId="13" fillId="0" borderId="46" xfId="8" applyBorder="1" applyAlignment="1">
      <alignment horizontal="right" vertical="center"/>
    </xf>
    <xf numFmtId="0" fontId="13" fillId="0" borderId="63" xfId="8" applyBorder="1" applyAlignment="1">
      <alignment horizontal="right" vertical="center"/>
    </xf>
    <xf numFmtId="0" fontId="13" fillId="0" borderId="0" xfId="8" applyAlignment="1">
      <alignment horizontal="right" vertical="center"/>
    </xf>
    <xf numFmtId="0" fontId="13" fillId="0" borderId="376" xfId="8" applyBorder="1" applyAlignment="1">
      <alignment horizontal="right" vertical="center"/>
    </xf>
    <xf numFmtId="0" fontId="13" fillId="0" borderId="289" xfId="8" applyBorder="1" applyAlignment="1">
      <alignment horizontal="right" vertical="center"/>
    </xf>
    <xf numFmtId="0" fontId="69" fillId="20" borderId="55" xfId="8" applyFont="1" applyFill="1" applyBorder="1" applyAlignment="1" applyProtection="1">
      <alignment horizontal="left" vertical="center" wrapText="1" shrinkToFit="1"/>
      <protection hidden="1"/>
    </xf>
    <xf numFmtId="0" fontId="69" fillId="20" borderId="46" xfId="8" applyFont="1" applyFill="1" applyBorder="1" applyAlignment="1" applyProtection="1">
      <alignment horizontal="left" vertical="center" wrapText="1" shrinkToFit="1"/>
      <protection hidden="1"/>
    </xf>
    <xf numFmtId="0" fontId="69" fillId="20" borderId="359" xfId="8" applyFont="1" applyFill="1" applyBorder="1" applyAlignment="1" applyProtection="1">
      <alignment horizontal="left" vertical="center" wrapText="1" shrinkToFit="1"/>
      <protection hidden="1"/>
    </xf>
    <xf numFmtId="0" fontId="69" fillId="20" borderId="56" xfId="8" applyFont="1" applyFill="1" applyBorder="1" applyAlignment="1" applyProtection="1">
      <alignment horizontal="left" vertical="center" wrapText="1" shrinkToFit="1"/>
      <protection hidden="1"/>
    </xf>
    <xf numFmtId="0" fontId="69" fillId="20" borderId="0" xfId="8" applyFont="1" applyFill="1" applyAlignment="1" applyProtection="1">
      <alignment horizontal="left" vertical="center" wrapText="1" shrinkToFit="1"/>
      <protection hidden="1"/>
    </xf>
    <xf numFmtId="0" fontId="69" fillId="20" borderId="308" xfId="8" applyFont="1" applyFill="1" applyBorder="1" applyAlignment="1" applyProtection="1">
      <alignment horizontal="left" vertical="center" wrapText="1" shrinkToFit="1"/>
      <protection hidden="1"/>
    </xf>
    <xf numFmtId="0" fontId="69" fillId="20" borderId="61" xfId="8" applyFont="1" applyFill="1" applyBorder="1" applyAlignment="1" applyProtection="1">
      <alignment horizontal="left" vertical="center" wrapText="1" shrinkToFit="1"/>
      <protection hidden="1"/>
    </xf>
    <xf numFmtId="0" fontId="69" fillId="20" borderId="53" xfId="8" applyFont="1" applyFill="1" applyBorder="1" applyAlignment="1" applyProtection="1">
      <alignment horizontal="left" vertical="center" wrapText="1" shrinkToFit="1"/>
      <protection hidden="1"/>
    </xf>
    <xf numFmtId="0" fontId="69" fillId="20" borderId="375" xfId="8" applyFont="1" applyFill="1" applyBorder="1" applyAlignment="1" applyProtection="1">
      <alignment horizontal="left" vertical="center" wrapText="1" shrinkToFit="1"/>
      <protection hidden="1"/>
    </xf>
    <xf numFmtId="0" fontId="150" fillId="2" borderId="547" xfId="8" applyFont="1" applyFill="1" applyBorder="1" applyAlignment="1" applyProtection="1">
      <alignment horizontal="center" vertical="center" shrinkToFit="1"/>
      <protection locked="0"/>
    </xf>
    <xf numFmtId="0" fontId="150" fillId="2" borderId="461" xfId="8" applyFont="1" applyFill="1" applyBorder="1" applyAlignment="1" applyProtection="1">
      <alignment horizontal="center" vertical="center" shrinkToFit="1"/>
      <protection locked="0"/>
    </xf>
    <xf numFmtId="0" fontId="150" fillId="2" borderId="548" xfId="8" applyFont="1" applyFill="1" applyBorder="1" applyAlignment="1" applyProtection="1">
      <alignment horizontal="center" vertical="center" shrinkToFit="1"/>
      <protection locked="0"/>
    </xf>
    <xf numFmtId="0" fontId="150" fillId="2" borderId="0" xfId="8" applyFont="1" applyFill="1" applyAlignment="1" applyProtection="1">
      <alignment horizontal="center" vertical="center" shrinkToFit="1"/>
      <protection locked="0"/>
    </xf>
    <xf numFmtId="0" fontId="140" fillId="21" borderId="422" xfId="8" applyFont="1" applyFill="1" applyBorder="1" applyAlignment="1">
      <alignment horizontal="center" vertical="center" wrapText="1"/>
    </xf>
    <xf numFmtId="0" fontId="140" fillId="21" borderId="423" xfId="8" applyFont="1" applyFill="1" applyBorder="1" applyAlignment="1">
      <alignment horizontal="center" vertical="center" wrapText="1"/>
    </xf>
    <xf numFmtId="0" fontId="44" fillId="4" borderId="695" xfId="0" applyFont="1" applyFill="1" applyBorder="1" applyAlignment="1" applyProtection="1">
      <alignment horizontal="center" vertical="center" wrapText="1"/>
      <protection hidden="1"/>
    </xf>
    <xf numFmtId="0" fontId="44" fillId="4" borderId="696" xfId="0" applyFont="1" applyFill="1" applyBorder="1" applyAlignment="1" applyProtection="1">
      <alignment horizontal="center" vertical="center" wrapText="1"/>
      <protection hidden="1"/>
    </xf>
    <xf numFmtId="0" fontId="44" fillId="4" borderId="697" xfId="0" applyFont="1" applyFill="1" applyBorder="1" applyAlignment="1" applyProtection="1">
      <alignment horizontal="center" vertical="center" wrapText="1"/>
      <protection hidden="1"/>
    </xf>
    <xf numFmtId="0" fontId="44" fillId="4" borderId="694" xfId="0" applyFont="1" applyFill="1" applyBorder="1" applyAlignment="1" applyProtection="1">
      <alignment horizontal="center" vertical="center" wrapText="1"/>
      <protection hidden="1"/>
    </xf>
    <xf numFmtId="0" fontId="44" fillId="4" borderId="48" xfId="0" applyFont="1" applyFill="1" applyBorder="1" applyAlignment="1" applyProtection="1">
      <alignment horizontal="center" vertical="center" wrapText="1"/>
      <protection hidden="1"/>
    </xf>
    <xf numFmtId="0" fontId="44" fillId="4" borderId="139" xfId="0" applyFont="1" applyFill="1" applyBorder="1" applyAlignment="1" applyProtection="1">
      <alignment horizontal="center" vertical="center" wrapText="1"/>
      <protection hidden="1"/>
    </xf>
    <xf numFmtId="0" fontId="44" fillId="4" borderId="704" xfId="0" applyFont="1" applyFill="1" applyBorder="1" applyAlignment="1" applyProtection="1">
      <alignment horizontal="center" vertical="center" wrapText="1"/>
      <protection hidden="1"/>
    </xf>
    <xf numFmtId="0" fontId="44" fillId="4" borderId="705" xfId="0" applyFont="1" applyFill="1" applyBorder="1" applyAlignment="1" applyProtection="1">
      <alignment horizontal="center" vertical="center" wrapText="1"/>
      <protection hidden="1"/>
    </xf>
    <xf numFmtId="0" fontId="44" fillId="4" borderId="706" xfId="0" applyFont="1" applyFill="1" applyBorder="1" applyAlignment="1" applyProtection="1">
      <alignment horizontal="center" vertical="center" wrapText="1"/>
      <protection hidden="1"/>
    </xf>
    <xf numFmtId="0" fontId="44" fillId="11" borderId="469" xfId="8" applyFont="1" applyFill="1" applyBorder="1" applyAlignment="1">
      <alignment horizontal="center" vertical="center" shrinkToFit="1"/>
    </xf>
    <xf numFmtId="0" fontId="44" fillId="11" borderId="461" xfId="8" applyFont="1" applyFill="1" applyBorder="1" applyAlignment="1">
      <alignment horizontal="center" vertical="center" shrinkToFit="1"/>
    </xf>
    <xf numFmtId="0" fontId="44" fillId="11" borderId="579" xfId="8" applyFont="1" applyFill="1" applyBorder="1" applyAlignment="1">
      <alignment horizontal="center" vertical="center" shrinkToFit="1"/>
    </xf>
    <xf numFmtId="0" fontId="44" fillId="11" borderId="468" xfId="8" applyFont="1" applyFill="1" applyBorder="1" applyAlignment="1">
      <alignment horizontal="center" vertical="center" shrinkToFit="1"/>
    </xf>
    <xf numFmtId="0" fontId="44" fillId="11" borderId="0" xfId="8" applyFont="1" applyFill="1" applyAlignment="1">
      <alignment horizontal="center" vertical="center" shrinkToFit="1"/>
    </xf>
    <xf numFmtId="0" fontId="44" fillId="11" borderId="580" xfId="8" applyFont="1" applyFill="1" applyBorder="1" applyAlignment="1">
      <alignment horizontal="center" vertical="center" shrinkToFit="1"/>
    </xf>
    <xf numFmtId="0" fontId="31" fillId="11" borderId="461" xfId="8" applyFont="1" applyFill="1" applyBorder="1" applyAlignment="1" applyProtection="1">
      <alignment horizontal="center" vertical="center" wrapText="1" shrinkToFit="1"/>
      <protection hidden="1"/>
    </xf>
    <xf numFmtId="0" fontId="31" fillId="11" borderId="578" xfId="8" applyFont="1" applyFill="1" applyBorder="1" applyAlignment="1" applyProtection="1">
      <alignment horizontal="center" vertical="center" wrapText="1" shrinkToFit="1"/>
      <protection hidden="1"/>
    </xf>
    <xf numFmtId="0" fontId="147" fillId="2" borderId="466" xfId="8" applyFont="1" applyFill="1" applyBorder="1" applyAlignment="1" applyProtection="1">
      <alignment horizontal="center" vertical="center" shrinkToFit="1"/>
      <protection locked="0" hidden="1"/>
    </xf>
    <xf numFmtId="0" fontId="147" fillId="2" borderId="467" xfId="8" applyFont="1" applyFill="1" applyBorder="1" applyAlignment="1" applyProtection="1">
      <alignment horizontal="center" vertical="center" shrinkToFit="1"/>
      <protection locked="0" hidden="1"/>
    </xf>
    <xf numFmtId="38" fontId="42" fillId="2" borderId="53" xfId="2" applyFont="1" applyFill="1" applyBorder="1" applyAlignment="1" applyProtection="1">
      <alignment horizontal="center" vertical="center" shrinkToFit="1"/>
      <protection locked="0" hidden="1"/>
    </xf>
    <xf numFmtId="0" fontId="44" fillId="4" borderId="700" xfId="0" applyFont="1" applyFill="1" applyBorder="1" applyAlignment="1" applyProtection="1">
      <alignment horizontal="center" vertical="center" wrapText="1"/>
      <protection hidden="1"/>
    </xf>
    <xf numFmtId="0" fontId="44" fillId="4" borderId="701" xfId="0" applyFont="1" applyFill="1" applyBorder="1" applyAlignment="1" applyProtection="1">
      <alignment horizontal="center" vertical="center" wrapText="1"/>
      <protection hidden="1"/>
    </xf>
    <xf numFmtId="0" fontId="44" fillId="4" borderId="144" xfId="0" applyFont="1" applyFill="1" applyBorder="1" applyAlignment="1" applyProtection="1">
      <alignment horizontal="center" vertical="center" wrapText="1"/>
      <protection hidden="1"/>
    </xf>
    <xf numFmtId="0" fontId="44" fillId="4" borderId="101" xfId="0" applyFont="1" applyFill="1" applyBorder="1" applyAlignment="1" applyProtection="1">
      <alignment horizontal="center" vertical="center" wrapText="1"/>
      <protection hidden="1"/>
    </xf>
    <xf numFmtId="38" fontId="42" fillId="2" borderId="702" xfId="2" applyFont="1" applyFill="1" applyBorder="1" applyAlignment="1" applyProtection="1">
      <alignment horizontal="center" vertical="center" shrinkToFit="1"/>
      <protection locked="0" hidden="1"/>
    </xf>
    <xf numFmtId="38" fontId="42" fillId="2" borderId="133" xfId="2" applyFont="1" applyFill="1" applyBorder="1" applyAlignment="1" applyProtection="1">
      <alignment horizontal="center" vertical="center" shrinkToFit="1"/>
      <protection locked="0" hidden="1"/>
    </xf>
    <xf numFmtId="38" fontId="42" fillId="2" borderId="134" xfId="2" applyFont="1" applyFill="1" applyBorder="1" applyAlignment="1" applyProtection="1">
      <alignment horizontal="center" vertical="center" shrinkToFit="1"/>
      <protection locked="0" hidden="1"/>
    </xf>
    <xf numFmtId="0" fontId="69" fillId="11" borderId="437" xfId="0" applyFont="1" applyFill="1" applyBorder="1" applyAlignment="1" applyProtection="1">
      <alignment horizontal="center" vertical="center" wrapText="1"/>
      <protection hidden="1"/>
    </xf>
    <xf numFmtId="0" fontId="69" fillId="11" borderId="438" xfId="0" applyFont="1" applyFill="1" applyBorder="1" applyAlignment="1" applyProtection="1">
      <alignment horizontal="center" vertical="center" wrapText="1"/>
      <protection hidden="1"/>
    </xf>
    <xf numFmtId="0" fontId="69" fillId="11" borderId="541" xfId="0" applyFont="1" applyFill="1" applyBorder="1" applyAlignment="1" applyProtection="1">
      <alignment horizontal="center" vertical="center" wrapText="1"/>
      <protection hidden="1"/>
    </xf>
    <xf numFmtId="0" fontId="69" fillId="11" borderId="542" xfId="0" applyFont="1" applyFill="1" applyBorder="1" applyAlignment="1" applyProtection="1">
      <alignment horizontal="center" vertical="center" wrapText="1"/>
      <protection hidden="1"/>
    </xf>
    <xf numFmtId="38" fontId="69" fillId="52" borderId="438" xfId="0" applyNumberFormat="1" applyFont="1" applyFill="1" applyBorder="1" applyAlignment="1" applyProtection="1">
      <alignment horizontal="center" vertical="center" shrinkToFit="1"/>
      <protection hidden="1"/>
    </xf>
    <xf numFmtId="0" fontId="69" fillId="52" borderId="438" xfId="0" applyFont="1" applyFill="1" applyBorder="1" applyAlignment="1" applyProtection="1">
      <alignment horizontal="center" vertical="center" shrinkToFit="1"/>
      <protection hidden="1"/>
    </xf>
    <xf numFmtId="0" fontId="69" fillId="52" borderId="692" xfId="0" applyFont="1" applyFill="1" applyBorder="1" applyAlignment="1" applyProtection="1">
      <alignment horizontal="center" vertical="center" shrinkToFit="1"/>
      <protection hidden="1"/>
    </xf>
    <xf numFmtId="0" fontId="69" fillId="52" borderId="542" xfId="0" applyFont="1" applyFill="1" applyBorder="1" applyAlignment="1" applyProtection="1">
      <alignment horizontal="center" vertical="center" shrinkToFit="1"/>
      <protection hidden="1"/>
    </xf>
    <xf numFmtId="0" fontId="69" fillId="52" borderId="693" xfId="0" applyFont="1" applyFill="1" applyBorder="1" applyAlignment="1" applyProtection="1">
      <alignment horizontal="center" vertical="center" shrinkToFit="1"/>
      <protection hidden="1"/>
    </xf>
    <xf numFmtId="0" fontId="42" fillId="2" borderId="570" xfId="0" applyFont="1" applyFill="1" applyBorder="1" applyAlignment="1" applyProtection="1">
      <alignment horizontal="center" vertical="center" shrinkToFit="1"/>
      <protection locked="0" hidden="1"/>
    </xf>
    <xf numFmtId="0" fontId="42" fillId="2" borderId="458" xfId="0" applyFont="1" applyFill="1" applyBorder="1" applyAlignment="1" applyProtection="1">
      <alignment horizontal="center" vertical="center" shrinkToFit="1"/>
      <protection locked="0" hidden="1"/>
    </xf>
    <xf numFmtId="0" fontId="42" fillId="2" borderId="571" xfId="0" applyFont="1" applyFill="1" applyBorder="1" applyAlignment="1" applyProtection="1">
      <alignment horizontal="center" vertical="center" shrinkToFit="1"/>
      <protection locked="0" hidden="1"/>
    </xf>
    <xf numFmtId="0" fontId="42" fillId="2" borderId="97" xfId="0" applyFont="1" applyFill="1" applyBorder="1" applyAlignment="1" applyProtection="1">
      <alignment horizontal="center" vertical="center" shrinkToFit="1"/>
      <protection locked="0" hidden="1"/>
    </xf>
    <xf numFmtId="0" fontId="42" fillId="2" borderId="572" xfId="0" applyFont="1" applyFill="1" applyBorder="1" applyAlignment="1" applyProtection="1">
      <alignment horizontal="center" vertical="center" shrinkToFit="1"/>
      <protection locked="0" hidden="1"/>
    </xf>
    <xf numFmtId="0" fontId="42" fillId="2" borderId="569" xfId="0" applyFont="1" applyFill="1" applyBorder="1" applyAlignment="1" applyProtection="1">
      <alignment horizontal="center" vertical="center" shrinkToFit="1"/>
      <protection locked="0" hidden="1"/>
    </xf>
    <xf numFmtId="0" fontId="72" fillId="55" borderId="581" xfId="8" applyFont="1" applyFill="1" applyBorder="1" applyAlignment="1">
      <alignment horizontal="left" vertical="center" wrapText="1" shrinkToFit="1"/>
    </xf>
    <xf numFmtId="0" fontId="72" fillId="55" borderId="96" xfId="8" applyFont="1" applyFill="1" applyBorder="1" applyAlignment="1">
      <alignment horizontal="left" vertical="center" wrapText="1" shrinkToFit="1"/>
    </xf>
    <xf numFmtId="0" fontId="72" fillId="55" borderId="582" xfId="8" applyFont="1" applyFill="1" applyBorder="1" applyAlignment="1">
      <alignment horizontal="left" vertical="center" wrapText="1" shrinkToFit="1"/>
    </xf>
    <xf numFmtId="0" fontId="72" fillId="55" borderId="419" xfId="8" applyFont="1" applyFill="1" applyBorder="1" applyAlignment="1">
      <alignment horizontal="left" vertical="center" wrapText="1" shrinkToFit="1"/>
    </xf>
    <xf numFmtId="0" fontId="72" fillId="55" borderId="0" xfId="8" applyFont="1" applyFill="1" applyAlignment="1">
      <alignment horizontal="left" vertical="center" wrapText="1" shrinkToFit="1"/>
    </xf>
    <xf numFmtId="0" fontId="72" fillId="55" borderId="583" xfId="8" applyFont="1" applyFill="1" applyBorder="1" applyAlignment="1">
      <alignment horizontal="left" vertical="center" wrapText="1" shrinkToFit="1"/>
    </xf>
    <xf numFmtId="0" fontId="72" fillId="55" borderId="584" xfId="8" applyFont="1" applyFill="1" applyBorder="1" applyAlignment="1">
      <alignment horizontal="left" vertical="center" wrapText="1" shrinkToFit="1"/>
    </xf>
    <xf numFmtId="0" fontId="72" fillId="55" borderId="53" xfId="8" applyFont="1" applyFill="1" applyBorder="1" applyAlignment="1">
      <alignment horizontal="left" vertical="center" wrapText="1" shrinkToFit="1"/>
    </xf>
    <xf numFmtId="0" fontId="44" fillId="20" borderId="573" xfId="8" applyFont="1" applyFill="1" applyBorder="1" applyAlignment="1">
      <alignment horizontal="center" vertical="center" wrapText="1" shrinkToFit="1"/>
    </xf>
    <xf numFmtId="0" fontId="44" fillId="20" borderId="53" xfId="8" applyFont="1" applyFill="1" applyBorder="1" applyAlignment="1">
      <alignment horizontal="center" vertical="center" wrapText="1" shrinkToFit="1"/>
    </xf>
    <xf numFmtId="0" fontId="42" fillId="2" borderId="424" xfId="0" applyFont="1" applyFill="1" applyBorder="1" applyAlignment="1" applyProtection="1">
      <alignment horizontal="center" vertical="center"/>
      <protection locked="0" hidden="1"/>
    </xf>
    <xf numFmtId="38" fontId="42" fillId="2" borderId="197" xfId="2" applyFont="1" applyFill="1" applyBorder="1" applyAlignment="1" applyProtection="1">
      <alignment horizontal="center" vertical="center" shrinkToFit="1"/>
      <protection locked="0" hidden="1"/>
    </xf>
    <xf numFmtId="38" fontId="42" fillId="2" borderId="199" xfId="2" applyFont="1" applyFill="1" applyBorder="1" applyAlignment="1" applyProtection="1">
      <alignment horizontal="center" vertical="center" shrinkToFit="1"/>
      <protection locked="0" hidden="1"/>
    </xf>
    <xf numFmtId="38" fontId="42" fillId="2" borderId="710" xfId="2" applyFont="1" applyFill="1" applyBorder="1" applyAlignment="1" applyProtection="1">
      <alignment horizontal="center" vertical="center" shrinkToFit="1"/>
      <protection locked="0" hidden="1"/>
    </xf>
    <xf numFmtId="38" fontId="42" fillId="2" borderId="711" xfId="2" applyFont="1" applyFill="1" applyBorder="1" applyAlignment="1" applyProtection="1">
      <alignment horizontal="center" vertical="center" shrinkToFit="1"/>
      <protection locked="0" hidden="1"/>
    </xf>
    <xf numFmtId="0" fontId="72" fillId="55" borderId="581" xfId="8" applyFont="1" applyFill="1" applyBorder="1" applyAlignment="1" applyProtection="1">
      <alignment horizontal="center" vertical="center" shrinkToFit="1"/>
      <protection locked="0"/>
    </xf>
    <xf numFmtId="0" fontId="72" fillId="55" borderId="96" xfId="8" applyFont="1" applyFill="1" applyBorder="1" applyAlignment="1" applyProtection="1">
      <alignment horizontal="center" vertical="center" shrinkToFit="1"/>
      <protection locked="0"/>
    </xf>
    <xf numFmtId="0" fontId="72" fillId="55" borderId="537" xfId="8" applyFont="1" applyFill="1" applyBorder="1" applyAlignment="1" applyProtection="1">
      <alignment horizontal="center" vertical="center" shrinkToFit="1"/>
      <protection locked="0"/>
    </xf>
    <xf numFmtId="0" fontId="72" fillId="55" borderId="419" xfId="8" applyFont="1" applyFill="1" applyBorder="1" applyAlignment="1" applyProtection="1">
      <alignment horizontal="center" vertical="center" shrinkToFit="1"/>
      <protection locked="0"/>
    </xf>
    <xf numFmtId="0" fontId="72" fillId="55" borderId="0" xfId="8" applyFont="1" applyFill="1" applyAlignment="1" applyProtection="1">
      <alignment horizontal="center" vertical="center" shrinkToFit="1"/>
      <protection locked="0"/>
    </xf>
    <xf numFmtId="0" fontId="72" fillId="55" borderId="308" xfId="8" applyFont="1" applyFill="1" applyBorder="1" applyAlignment="1" applyProtection="1">
      <alignment horizontal="center" vertical="center" shrinkToFit="1"/>
      <protection locked="0"/>
    </xf>
    <xf numFmtId="0" fontId="31" fillId="55" borderId="416" xfId="8" applyFont="1" applyFill="1" applyBorder="1" applyAlignment="1" applyProtection="1">
      <alignment horizontal="center" vertical="center" wrapText="1" shrinkToFit="1"/>
      <protection hidden="1"/>
    </xf>
    <xf numFmtId="0" fontId="31" fillId="55" borderId="417" xfId="8" applyFont="1" applyFill="1" applyBorder="1" applyAlignment="1" applyProtection="1">
      <alignment horizontal="center" vertical="center" wrapText="1" shrinkToFit="1"/>
      <protection hidden="1"/>
    </xf>
    <xf numFmtId="0" fontId="31" fillId="55" borderId="463" xfId="8" applyFont="1" applyFill="1" applyBorder="1" applyAlignment="1" applyProtection="1">
      <alignment horizontal="center" vertical="center" wrapText="1" shrinkToFit="1"/>
      <protection hidden="1"/>
    </xf>
    <xf numFmtId="0" fontId="31" fillId="55" borderId="464" xfId="8" applyFont="1" applyFill="1" applyBorder="1" applyAlignment="1" applyProtection="1">
      <alignment horizontal="center" vertical="center" wrapText="1" shrinkToFit="1"/>
      <protection hidden="1"/>
    </xf>
    <xf numFmtId="0" fontId="72" fillId="55" borderId="453" xfId="8" applyFont="1" applyFill="1" applyBorder="1" applyAlignment="1">
      <alignment horizontal="center" vertical="center" shrinkToFit="1"/>
    </xf>
    <xf numFmtId="0" fontId="72" fillId="55" borderId="96" xfId="8" applyFont="1" applyFill="1" applyBorder="1" applyAlignment="1">
      <alignment horizontal="center" vertical="center" shrinkToFit="1"/>
    </xf>
    <xf numFmtId="0" fontId="72" fillId="55" borderId="537" xfId="8" applyFont="1" applyFill="1" applyBorder="1" applyAlignment="1">
      <alignment horizontal="center" vertical="center" shrinkToFit="1"/>
    </xf>
    <xf numFmtId="0" fontId="72" fillId="55" borderId="99" xfId="8" applyFont="1" applyFill="1" applyBorder="1" applyAlignment="1">
      <alignment horizontal="center" vertical="center" shrinkToFit="1"/>
    </xf>
    <xf numFmtId="0" fontId="72" fillId="55" borderId="0" xfId="8" applyFont="1" applyFill="1" applyAlignment="1">
      <alignment horizontal="center" vertical="center" shrinkToFit="1"/>
    </xf>
    <xf numFmtId="0" fontId="72" fillId="55" borderId="308" xfId="8" applyFont="1" applyFill="1" applyBorder="1" applyAlignment="1">
      <alignment horizontal="center" vertical="center" shrinkToFit="1"/>
    </xf>
    <xf numFmtId="0" fontId="18" fillId="20" borderId="56" xfId="1" applyFill="1" applyBorder="1" applyAlignment="1" applyProtection="1">
      <alignment vertical="center" wrapText="1" shrinkToFit="1"/>
      <protection locked="0"/>
    </xf>
    <xf numFmtId="0" fontId="18" fillId="20" borderId="0" xfId="1" applyFill="1" applyBorder="1" applyAlignment="1" applyProtection="1">
      <alignment vertical="center" wrapText="1" shrinkToFit="1"/>
      <protection locked="0"/>
    </xf>
    <xf numFmtId="0" fontId="18" fillId="20" borderId="41" xfId="1" applyFill="1" applyBorder="1" applyAlignment="1" applyProtection="1">
      <alignment vertical="center" wrapText="1" shrinkToFit="1"/>
      <protection locked="0"/>
    </xf>
    <xf numFmtId="0" fontId="18" fillId="20" borderId="712" xfId="1" applyFill="1" applyBorder="1" applyAlignment="1" applyProtection="1">
      <alignment vertical="center" wrapText="1" shrinkToFit="1"/>
      <protection locked="0"/>
    </xf>
    <xf numFmtId="0" fontId="18" fillId="20" borderId="708" xfId="1" applyFill="1" applyBorder="1" applyAlignment="1" applyProtection="1">
      <alignment vertical="center" wrapText="1" shrinkToFit="1"/>
      <protection locked="0"/>
    </xf>
    <xf numFmtId="0" fontId="18" fillId="20" borderId="43" xfId="1" applyFill="1" applyBorder="1" applyAlignment="1" applyProtection="1">
      <alignment vertical="center" wrapText="1" shrinkToFit="1"/>
      <protection locked="0"/>
    </xf>
    <xf numFmtId="0" fontId="69" fillId="20" borderId="703" xfId="8" applyFont="1" applyFill="1" applyBorder="1" applyAlignment="1">
      <alignment shrinkToFit="1"/>
    </xf>
    <xf numFmtId="0" fontId="69" fillId="20" borderId="699" xfId="8" applyFont="1" applyFill="1" applyBorder="1" applyAlignment="1">
      <alignment shrinkToFit="1"/>
    </xf>
    <xf numFmtId="0" fontId="69" fillId="20" borderId="75" xfId="8" applyFont="1" applyFill="1" applyBorder="1" applyAlignment="1">
      <alignment shrinkToFit="1"/>
    </xf>
    <xf numFmtId="0" fontId="98" fillId="20" borderId="56" xfId="8" applyFont="1" applyFill="1" applyBorder="1" applyAlignment="1">
      <alignment vertical="center" wrapText="1"/>
    </xf>
    <xf numFmtId="0" fontId="98" fillId="20" borderId="0" xfId="8" applyFont="1" applyFill="1" applyAlignment="1">
      <alignment vertical="center" wrapText="1"/>
    </xf>
    <xf numFmtId="0" fontId="98" fillId="20" borderId="41" xfId="8" applyFont="1" applyFill="1" applyBorder="1" applyAlignment="1">
      <alignment vertical="center" wrapText="1"/>
    </xf>
    <xf numFmtId="0" fontId="28" fillId="2" borderId="308" xfId="8" applyFont="1" applyFill="1" applyBorder="1" applyAlignment="1" applyProtection="1">
      <alignment horizontal="center" vertical="center" shrinkToFit="1"/>
      <protection locked="0"/>
    </xf>
    <xf numFmtId="0" fontId="40" fillId="33" borderId="70" xfId="8" applyFont="1" applyFill="1" applyBorder="1" applyAlignment="1" applyProtection="1">
      <alignment horizontal="left" vertical="center" shrinkToFit="1"/>
      <protection hidden="1"/>
    </xf>
    <xf numFmtId="0" fontId="40" fillId="33" borderId="51" xfId="8" applyFont="1" applyFill="1" applyBorder="1" applyAlignment="1" applyProtection="1">
      <alignment horizontal="left" vertical="center" shrinkToFit="1"/>
      <protection hidden="1"/>
    </xf>
    <xf numFmtId="0" fontId="40" fillId="33" borderId="52" xfId="8" applyFont="1" applyFill="1" applyBorder="1" applyAlignment="1" applyProtection="1">
      <alignment horizontal="left" vertical="center" shrinkToFit="1"/>
      <protection hidden="1"/>
    </xf>
    <xf numFmtId="0" fontId="40" fillId="33" borderId="456" xfId="8" applyFont="1" applyFill="1" applyBorder="1" applyAlignment="1" applyProtection="1">
      <alignment horizontal="left" vertical="center" shrinkToFit="1"/>
      <protection hidden="1"/>
    </xf>
    <xf numFmtId="0" fontId="40" fillId="33" borderId="289" xfId="8" applyFont="1" applyFill="1" applyBorder="1" applyAlignment="1" applyProtection="1">
      <alignment horizontal="left" vertical="center" shrinkToFit="1"/>
      <protection hidden="1"/>
    </xf>
    <xf numFmtId="0" fontId="40" fillId="33" borderId="0" xfId="8" applyFont="1" applyFill="1" applyAlignment="1" applyProtection="1">
      <alignment horizontal="left" vertical="center" shrinkToFit="1"/>
      <protection hidden="1"/>
    </xf>
    <xf numFmtId="0" fontId="40" fillId="33" borderId="614" xfId="8" applyFont="1" applyFill="1" applyBorder="1" applyAlignment="1" applyProtection="1">
      <alignment horizontal="left" vertical="center" shrinkToFit="1"/>
      <protection hidden="1"/>
    </xf>
    <xf numFmtId="0" fontId="42" fillId="55" borderId="418" xfId="8" applyFont="1" applyFill="1" applyBorder="1" applyAlignment="1">
      <alignment horizontal="center" vertical="center" shrinkToFit="1"/>
    </xf>
    <xf numFmtId="0" fontId="42" fillId="55" borderId="46" xfId="8" applyFont="1" applyFill="1" applyBorder="1" applyAlignment="1">
      <alignment horizontal="center" vertical="center" shrinkToFit="1"/>
    </xf>
    <xf numFmtId="0" fontId="42" fillId="55" borderId="419" xfId="8" applyFont="1" applyFill="1" applyBorder="1" applyAlignment="1">
      <alignment horizontal="center" vertical="center" shrinkToFit="1"/>
    </xf>
    <xf numFmtId="0" fontId="42" fillId="55" borderId="0" xfId="8" applyFont="1" applyFill="1" applyAlignment="1">
      <alignment horizontal="center" vertical="center" shrinkToFit="1"/>
    </xf>
    <xf numFmtId="0" fontId="42" fillId="2" borderId="104" xfId="8" applyFont="1" applyFill="1" applyBorder="1" applyAlignment="1" applyProtection="1">
      <alignment horizontal="center" vertical="center" shrinkToFit="1"/>
      <protection locked="0"/>
    </xf>
    <xf numFmtId="0" fontId="42" fillId="2" borderId="415" xfId="8" applyFont="1" applyFill="1" applyBorder="1" applyAlignment="1" applyProtection="1">
      <alignment horizontal="center" vertical="center" shrinkToFit="1"/>
      <protection locked="0"/>
    </xf>
    <xf numFmtId="0" fontId="31" fillId="11" borderId="64" xfId="8" applyFont="1" applyFill="1" applyBorder="1" applyAlignment="1" applyProtection="1">
      <alignment horizontal="center" vertical="center" wrapText="1" shrinkToFit="1"/>
      <protection hidden="1"/>
    </xf>
    <xf numFmtId="0" fontId="44" fillId="11" borderId="424" xfId="0" applyFont="1" applyFill="1" applyBorder="1" applyAlignment="1">
      <alignment horizontal="center" vertical="center" wrapText="1"/>
    </xf>
    <xf numFmtId="0" fontId="44" fillId="11" borderId="425" xfId="0" applyFont="1" applyFill="1" applyBorder="1" applyAlignment="1">
      <alignment horizontal="center" vertical="center" wrapText="1"/>
    </xf>
    <xf numFmtId="0" fontId="31" fillId="11" borderId="715" xfId="8" applyFont="1" applyFill="1" applyBorder="1" applyAlignment="1" applyProtection="1">
      <alignment horizontal="center" vertical="center" wrapText="1" shrinkToFit="1"/>
      <protection hidden="1"/>
    </xf>
    <xf numFmtId="0" fontId="31" fillId="11" borderId="722" xfId="8" applyFont="1" applyFill="1" applyBorder="1" applyAlignment="1" applyProtection="1">
      <alignment horizontal="center" vertical="center" wrapText="1" shrinkToFit="1"/>
      <protection hidden="1"/>
    </xf>
    <xf numFmtId="0" fontId="31" fillId="11" borderId="305" xfId="8" applyFont="1" applyFill="1" applyBorder="1" applyAlignment="1" applyProtection="1">
      <alignment horizontal="left" vertical="center" wrapText="1" shrinkToFit="1"/>
      <protection hidden="1"/>
    </xf>
    <xf numFmtId="0" fontId="31" fillId="11" borderId="0" xfId="8" applyFont="1" applyFill="1" applyAlignment="1" applyProtection="1">
      <alignment horizontal="left" vertical="center" wrapText="1" shrinkToFit="1"/>
      <protection hidden="1"/>
    </xf>
    <xf numFmtId="0" fontId="31" fillId="11" borderId="406" xfId="8" applyFont="1" applyFill="1" applyBorder="1" applyAlignment="1" applyProtection="1">
      <alignment horizontal="left" vertical="center" wrapText="1" shrinkToFit="1"/>
      <protection hidden="1"/>
    </xf>
    <xf numFmtId="0" fontId="31" fillId="11" borderId="53" xfId="8" applyFont="1" applyFill="1" applyBorder="1" applyAlignment="1" applyProtection="1">
      <alignment horizontal="left" vertical="center" wrapText="1" shrinkToFit="1"/>
      <protection hidden="1"/>
    </xf>
    <xf numFmtId="0" fontId="127" fillId="57" borderId="331" xfId="0" applyFont="1" applyFill="1" applyBorder="1" applyAlignment="1" applyProtection="1">
      <alignment horizontal="center" vertical="center" shrinkToFit="1"/>
      <protection hidden="1"/>
    </xf>
    <xf numFmtId="0" fontId="127" fillId="57" borderId="332" xfId="0" applyFont="1" applyFill="1" applyBorder="1" applyAlignment="1" applyProtection="1">
      <alignment horizontal="center" vertical="center" shrinkToFit="1"/>
      <protection hidden="1"/>
    </xf>
    <xf numFmtId="0" fontId="127" fillId="57" borderId="526" xfId="0" applyFont="1" applyFill="1" applyBorder="1" applyAlignment="1" applyProtection="1">
      <alignment horizontal="center" vertical="center" shrinkToFit="1"/>
      <protection hidden="1"/>
    </xf>
    <xf numFmtId="0" fontId="127" fillId="57" borderId="527" xfId="0" applyFont="1" applyFill="1" applyBorder="1" applyAlignment="1" applyProtection="1">
      <alignment horizontal="center" vertical="center" shrinkToFit="1"/>
      <protection hidden="1"/>
    </xf>
    <xf numFmtId="0" fontId="127" fillId="57" borderId="0" xfId="0" applyFont="1" applyFill="1" applyAlignment="1" applyProtection="1">
      <alignment horizontal="center" vertical="center" shrinkToFit="1"/>
      <protection hidden="1"/>
    </xf>
    <xf numFmtId="0" fontId="127" fillId="57" borderId="97" xfId="0" applyFont="1" applyFill="1" applyBorder="1" applyAlignment="1" applyProtection="1">
      <alignment horizontal="center" vertical="center" shrinkToFit="1"/>
      <protection hidden="1"/>
    </xf>
    <xf numFmtId="0" fontId="35" fillId="15" borderId="99" xfId="0" applyFont="1" applyFill="1" applyBorder="1" applyAlignment="1" applyProtection="1">
      <alignment horizontal="left" vertical="center" wrapText="1"/>
      <protection hidden="1"/>
    </xf>
    <xf numFmtId="0" fontId="35" fillId="15" borderId="0" xfId="0" applyFont="1" applyFill="1" applyAlignment="1" applyProtection="1">
      <alignment horizontal="left" vertical="center" wrapText="1"/>
      <protection hidden="1"/>
    </xf>
    <xf numFmtId="0" fontId="35" fillId="15" borderId="513" xfId="0" applyFont="1" applyFill="1" applyBorder="1" applyAlignment="1" applyProtection="1">
      <alignment horizontal="left" vertical="center" wrapText="1"/>
      <protection hidden="1"/>
    </xf>
    <xf numFmtId="0" fontId="35" fillId="15" borderId="520" xfId="0" applyFont="1" applyFill="1" applyBorder="1" applyAlignment="1" applyProtection="1">
      <alignment horizontal="left" vertical="center" wrapText="1"/>
      <protection hidden="1"/>
    </xf>
    <xf numFmtId="0" fontId="35" fillId="15" borderId="516" xfId="0" applyFont="1" applyFill="1" applyBorder="1" applyAlignment="1" applyProtection="1">
      <alignment horizontal="left" vertical="center" wrapText="1"/>
      <protection hidden="1"/>
    </xf>
    <xf numFmtId="0" fontId="35" fillId="15" borderId="518" xfId="0" applyFont="1" applyFill="1" applyBorder="1" applyAlignment="1" applyProtection="1">
      <alignment horizontal="left" vertical="center" wrapText="1"/>
      <protection hidden="1"/>
    </xf>
    <xf numFmtId="0" fontId="72" fillId="2" borderId="104" xfId="8" applyFont="1" applyFill="1" applyBorder="1" applyAlignment="1" applyProtection="1">
      <alignment horizontal="center" vertical="center" shrinkToFit="1"/>
      <protection locked="0"/>
    </xf>
    <xf numFmtId="0" fontId="72" fillId="2" borderId="48" xfId="8" applyFont="1" applyFill="1" applyBorder="1" applyAlignment="1" applyProtection="1">
      <alignment horizontal="center" vertical="center" shrinkToFit="1"/>
      <protection locked="0"/>
    </xf>
    <xf numFmtId="0" fontId="72" fillId="2" borderId="196" xfId="8" applyFont="1" applyFill="1" applyBorder="1" applyAlignment="1" applyProtection="1">
      <alignment horizontal="center" vertical="center" shrinkToFit="1"/>
      <protection locked="0"/>
    </xf>
    <xf numFmtId="0" fontId="72" fillId="2" borderId="62" xfId="8" applyFont="1" applyFill="1" applyBorder="1" applyAlignment="1" applyProtection="1">
      <alignment horizontal="center" vertical="center" shrinkToFit="1"/>
      <protection locked="0"/>
    </xf>
    <xf numFmtId="0" fontId="29" fillId="8" borderId="56" xfId="0" applyFont="1" applyFill="1" applyBorder="1" applyAlignment="1" applyProtection="1">
      <alignment horizontal="center" vertical="center" wrapText="1" shrinkToFit="1"/>
      <protection locked="0" hidden="1"/>
    </xf>
    <xf numFmtId="0" fontId="29" fillId="8" borderId="0" xfId="0" applyFont="1" applyFill="1" applyAlignment="1" applyProtection="1">
      <alignment horizontal="center" vertical="center" wrapText="1" shrinkToFit="1"/>
      <protection locked="0" hidden="1"/>
    </xf>
    <xf numFmtId="0" fontId="29" fillId="8" borderId="64" xfId="0" applyFont="1" applyFill="1" applyBorder="1" applyAlignment="1" applyProtection="1">
      <alignment horizontal="center" vertical="center" wrapText="1" shrinkToFit="1"/>
      <protection locked="0" hidden="1"/>
    </xf>
    <xf numFmtId="0" fontId="29" fillId="8" borderId="448" xfId="0" applyFont="1" applyFill="1" applyBorder="1" applyAlignment="1" applyProtection="1">
      <alignment horizontal="center" vertical="center" wrapText="1" shrinkToFit="1"/>
      <protection locked="0" hidden="1"/>
    </xf>
    <xf numFmtId="0" fontId="29" fillId="8" borderId="449" xfId="0" applyFont="1" applyFill="1" applyBorder="1" applyAlignment="1" applyProtection="1">
      <alignment horizontal="center" vertical="center" wrapText="1" shrinkToFit="1"/>
      <protection locked="0" hidden="1"/>
    </xf>
    <xf numFmtId="0" fontId="29" fillId="8" borderId="521" xfId="0" applyFont="1" applyFill="1" applyBorder="1" applyAlignment="1" applyProtection="1">
      <alignment horizontal="center" vertical="center" wrapText="1" shrinkToFit="1"/>
      <protection locked="0" hidden="1"/>
    </xf>
    <xf numFmtId="0" fontId="43" fillId="30" borderId="56" xfId="0" applyFont="1" applyFill="1" applyBorder="1" applyAlignment="1" applyProtection="1">
      <alignment horizontal="center" vertical="center" wrapText="1" shrinkToFit="1"/>
      <protection hidden="1"/>
    </xf>
    <xf numFmtId="0" fontId="43" fillId="30" borderId="0" xfId="0" applyFont="1" applyFill="1" applyAlignment="1" applyProtection="1">
      <alignment horizontal="center" vertical="center" wrapText="1" shrinkToFit="1"/>
      <protection hidden="1"/>
    </xf>
    <xf numFmtId="0" fontId="43" fillId="30" borderId="448" xfId="0" applyFont="1" applyFill="1" applyBorder="1" applyAlignment="1" applyProtection="1">
      <alignment horizontal="center" vertical="center" wrapText="1" shrinkToFit="1"/>
      <protection hidden="1"/>
    </xf>
    <xf numFmtId="0" fontId="43" fillId="30" borderId="449" xfId="0" applyFont="1" applyFill="1" applyBorder="1" applyAlignment="1" applyProtection="1">
      <alignment horizontal="center" vertical="center" wrapText="1" shrinkToFit="1"/>
      <protection hidden="1"/>
    </xf>
    <xf numFmtId="0" fontId="29" fillId="8" borderId="453" xfId="0" applyFont="1" applyFill="1" applyBorder="1" applyAlignment="1" applyProtection="1">
      <alignment horizontal="center" vertical="center" wrapText="1" shrinkToFit="1"/>
      <protection locked="0" hidden="1"/>
    </xf>
    <xf numFmtId="0" fontId="29" fillId="8" borderId="96" xfId="0" applyFont="1" applyFill="1" applyBorder="1" applyAlignment="1" applyProtection="1">
      <alignment horizontal="center" vertical="center" wrapText="1" shrinkToFit="1"/>
      <protection locked="0" hidden="1"/>
    </xf>
    <xf numFmtId="0" fontId="29" fillId="8" borderId="458" xfId="0" applyFont="1" applyFill="1" applyBorder="1" applyAlignment="1" applyProtection="1">
      <alignment horizontal="center" vertical="center" wrapText="1" shrinkToFit="1"/>
      <protection locked="0" hidden="1"/>
    </xf>
    <xf numFmtId="0" fontId="29" fillId="8" borderId="520" xfId="0" applyFont="1" applyFill="1" applyBorder="1" applyAlignment="1" applyProtection="1">
      <alignment horizontal="center" vertical="center" wrapText="1" shrinkToFit="1"/>
      <protection locked="0" hidden="1"/>
    </xf>
    <xf numFmtId="0" fontId="29" fillId="8" borderId="516" xfId="0" applyFont="1" applyFill="1" applyBorder="1" applyAlignment="1" applyProtection="1">
      <alignment horizontal="center" vertical="center" wrapText="1" shrinkToFit="1"/>
      <protection locked="0" hidden="1"/>
    </xf>
    <xf numFmtId="0" fontId="29" fillId="8" borderId="522" xfId="0" applyFont="1" applyFill="1" applyBorder="1" applyAlignment="1" applyProtection="1">
      <alignment horizontal="center" vertical="center" wrapText="1" shrinkToFit="1"/>
      <protection locked="0" hidden="1"/>
    </xf>
    <xf numFmtId="0" fontId="43" fillId="30" borderId="516" xfId="0" applyFont="1" applyFill="1" applyBorder="1" applyAlignment="1" applyProtection="1">
      <alignment horizontal="center" vertical="center" wrapText="1" shrinkToFit="1"/>
      <protection hidden="1"/>
    </xf>
    <xf numFmtId="0" fontId="18" fillId="0" borderId="524" xfId="1" applyBorder="1" applyAlignment="1" applyProtection="1">
      <alignment horizontal="center" vertical="center" wrapText="1" shrinkToFit="1"/>
      <protection locked="0" hidden="1"/>
    </xf>
    <xf numFmtId="0" fontId="43" fillId="0" borderId="96" xfId="0" applyFont="1" applyBorder="1" applyAlignment="1" applyProtection="1">
      <alignment horizontal="center" vertical="center" wrapText="1" shrinkToFit="1"/>
      <protection locked="0" hidden="1"/>
    </xf>
    <xf numFmtId="0" fontId="43" fillId="0" borderId="525" xfId="0" applyFont="1" applyBorder="1" applyAlignment="1" applyProtection="1">
      <alignment horizontal="center" vertical="center" wrapText="1" shrinkToFit="1"/>
      <protection locked="0" hidden="1"/>
    </xf>
    <xf numFmtId="0" fontId="43" fillId="0" borderId="516" xfId="0" applyFont="1" applyBorder="1" applyAlignment="1" applyProtection="1">
      <alignment horizontal="center" vertical="center" wrapText="1" shrinkToFit="1"/>
      <protection locked="0" hidden="1"/>
    </xf>
    <xf numFmtId="49" fontId="29" fillId="0" borderId="317" xfId="0" applyNumberFormat="1" applyFont="1" applyBorder="1" applyAlignment="1" applyProtection="1">
      <alignment horizontal="center" vertical="center" shrinkToFit="1"/>
      <protection locked="0"/>
    </xf>
    <xf numFmtId="49" fontId="29" fillId="0" borderId="235" xfId="0" applyNumberFormat="1" applyFont="1" applyBorder="1" applyAlignment="1" applyProtection="1">
      <alignment horizontal="center" vertical="center" shrinkToFit="1"/>
      <protection locked="0"/>
    </xf>
    <xf numFmtId="0" fontId="40" fillId="35" borderId="70" xfId="8" applyFont="1" applyFill="1" applyBorder="1" applyAlignment="1" applyProtection="1">
      <alignment horizontal="left" vertical="center" shrinkToFit="1"/>
      <protection hidden="1"/>
    </xf>
    <xf numFmtId="0" fontId="40" fillId="35" borderId="51" xfId="8" applyFont="1" applyFill="1" applyBorder="1" applyAlignment="1" applyProtection="1">
      <alignment horizontal="left" vertical="center" shrinkToFit="1"/>
      <protection hidden="1"/>
    </xf>
    <xf numFmtId="0" fontId="40" fillId="35" borderId="52" xfId="8" applyFont="1" applyFill="1" applyBorder="1" applyAlignment="1" applyProtection="1">
      <alignment horizontal="left" vertical="center" shrinkToFit="1"/>
      <protection hidden="1"/>
    </xf>
    <xf numFmtId="0" fontId="40" fillId="35" borderId="47" xfId="8" applyFont="1" applyFill="1" applyBorder="1" applyAlignment="1" applyProtection="1">
      <alignment horizontal="left" vertical="center" shrinkToFit="1"/>
      <protection hidden="1"/>
    </xf>
    <xf numFmtId="0" fontId="40" fillId="35" borderId="0" xfId="8" applyFont="1" applyFill="1" applyAlignment="1" applyProtection="1">
      <alignment horizontal="left" vertical="center" shrinkToFit="1"/>
      <protection hidden="1"/>
    </xf>
    <xf numFmtId="0" fontId="40" fillId="35" borderId="39" xfId="8" applyFont="1" applyFill="1" applyBorder="1" applyAlignment="1" applyProtection="1">
      <alignment horizontal="left" vertical="center" shrinkToFit="1"/>
      <protection hidden="1"/>
    </xf>
    <xf numFmtId="0" fontId="37" fillId="20" borderId="519" xfId="0" applyFont="1" applyFill="1" applyBorder="1" applyAlignment="1" applyProtection="1">
      <alignment horizontal="left" vertical="center" wrapText="1" shrinkToFit="1"/>
      <protection hidden="1"/>
    </xf>
    <xf numFmtId="0" fontId="37" fillId="20" borderId="332" xfId="0" applyFont="1" applyFill="1" applyBorder="1" applyAlignment="1" applyProtection="1">
      <alignment horizontal="left" vertical="center" wrapText="1" shrinkToFit="1"/>
      <protection hidden="1"/>
    </xf>
    <xf numFmtId="0" fontId="37" fillId="20" borderId="0" xfId="0" applyFont="1" applyFill="1" applyAlignment="1" applyProtection="1">
      <alignment horizontal="left" vertical="center" wrapText="1" shrinkToFit="1"/>
      <protection hidden="1"/>
    </xf>
    <xf numFmtId="0" fontId="37" fillId="20" borderId="99" xfId="0" applyFont="1" applyFill="1" applyBorder="1" applyAlignment="1" applyProtection="1">
      <alignment horizontal="left" vertical="center" wrapText="1" shrinkToFit="1"/>
      <protection hidden="1"/>
    </xf>
    <xf numFmtId="0" fontId="37" fillId="20" borderId="520" xfId="0" applyFont="1" applyFill="1" applyBorder="1" applyAlignment="1" applyProtection="1">
      <alignment horizontal="left" vertical="center" wrapText="1" shrinkToFit="1"/>
      <protection hidden="1"/>
    </xf>
    <xf numFmtId="0" fontId="37" fillId="20" borderId="516" xfId="0" applyFont="1" applyFill="1" applyBorder="1" applyAlignment="1" applyProtection="1">
      <alignment horizontal="left" vertical="center" wrapText="1" shrinkToFit="1"/>
      <protection hidden="1"/>
    </xf>
    <xf numFmtId="0" fontId="18" fillId="0" borderId="574" xfId="1" applyFill="1" applyBorder="1" applyAlignment="1" applyProtection="1">
      <alignment horizontal="center" vertical="center" wrapText="1" shrinkToFit="1"/>
      <protection locked="0" hidden="1"/>
    </xf>
    <xf numFmtId="0" fontId="43" fillId="0" borderId="0" xfId="0" applyFont="1" applyAlignment="1" applyProtection="1">
      <alignment horizontal="center" vertical="center" wrapText="1" shrinkToFit="1"/>
      <protection locked="0" hidden="1"/>
    </xf>
    <xf numFmtId="0" fontId="43" fillId="0" borderId="97" xfId="0" applyFont="1" applyBorder="1" applyAlignment="1" applyProtection="1">
      <alignment horizontal="center" vertical="center" wrapText="1" shrinkToFit="1"/>
      <protection locked="0" hidden="1"/>
    </xf>
    <xf numFmtId="0" fontId="43" fillId="0" borderId="523" xfId="0" applyFont="1" applyBorder="1" applyAlignment="1" applyProtection="1">
      <alignment horizontal="center" vertical="center" wrapText="1" shrinkToFit="1"/>
      <protection locked="0" hidden="1"/>
    </xf>
    <xf numFmtId="0" fontId="43" fillId="0" borderId="449" xfId="0" applyFont="1" applyBorder="1" applyAlignment="1" applyProtection="1">
      <alignment horizontal="center" vertical="center" wrapText="1" shrinkToFit="1"/>
      <protection locked="0" hidden="1"/>
    </xf>
    <xf numFmtId="0" fontId="43" fillId="0" borderId="478" xfId="0" applyFont="1" applyBorder="1" applyAlignment="1" applyProtection="1">
      <alignment horizontal="center" vertical="center" wrapText="1" shrinkToFit="1"/>
      <protection locked="0" hidden="1"/>
    </xf>
    <xf numFmtId="0" fontId="116" fillId="57" borderId="514" xfId="0" applyFont="1" applyFill="1" applyBorder="1" applyAlignment="1" applyProtection="1">
      <alignment horizontal="center" vertical="center" shrinkToFit="1"/>
      <protection hidden="1"/>
    </xf>
    <xf numFmtId="0" fontId="116" fillId="57" borderId="0" xfId="0" applyFont="1" applyFill="1" applyAlignment="1" applyProtection="1">
      <alignment horizontal="center" vertical="center" shrinkToFit="1"/>
      <protection hidden="1"/>
    </xf>
    <xf numFmtId="0" fontId="116" fillId="57" borderId="515" xfId="0" applyFont="1" applyFill="1" applyBorder="1" applyAlignment="1" applyProtection="1">
      <alignment horizontal="center" vertical="center" shrinkToFit="1"/>
      <protection hidden="1"/>
    </xf>
    <xf numFmtId="0" fontId="116" fillId="57" borderId="516" xfId="0" applyFont="1" applyFill="1" applyBorder="1" applyAlignment="1" applyProtection="1">
      <alignment horizontal="center" vertical="center" shrinkToFit="1"/>
      <protection hidden="1"/>
    </xf>
    <xf numFmtId="0" fontId="18" fillId="57" borderId="0" xfId="1" applyFill="1" applyBorder="1" applyAlignment="1" applyProtection="1">
      <alignment horizontal="center" vertical="center" shrinkToFit="1"/>
      <protection locked="0" hidden="1"/>
    </xf>
    <xf numFmtId="0" fontId="117" fillId="57" borderId="0" xfId="1" applyFont="1" applyFill="1" applyBorder="1" applyAlignment="1" applyProtection="1">
      <alignment horizontal="center" vertical="center" shrinkToFit="1"/>
      <protection locked="0" hidden="1"/>
    </xf>
    <xf numFmtId="0" fontId="117" fillId="57" borderId="516" xfId="1" applyFont="1" applyFill="1" applyBorder="1" applyAlignment="1" applyProtection="1">
      <alignment horizontal="center" vertical="center" shrinkToFit="1"/>
      <protection locked="0" hidden="1"/>
    </xf>
    <xf numFmtId="0" fontId="99" fillId="2" borderId="194" xfId="1" applyFont="1" applyFill="1" applyBorder="1" applyAlignment="1" applyProtection="1">
      <alignment horizontal="center" vertical="center" shrinkToFit="1"/>
      <protection locked="0"/>
    </xf>
    <xf numFmtId="0" fontId="99" fillId="2" borderId="46" xfId="1" applyFont="1" applyFill="1" applyBorder="1" applyAlignment="1" applyProtection="1">
      <alignment horizontal="center" vertical="center" shrinkToFit="1"/>
      <protection locked="0"/>
    </xf>
    <xf numFmtId="0" fontId="99" fillId="2" borderId="359" xfId="1" applyFont="1" applyFill="1" applyBorder="1" applyAlignment="1" applyProtection="1">
      <alignment horizontal="center" vertical="center" shrinkToFit="1"/>
      <protection locked="0"/>
    </xf>
    <xf numFmtId="0" fontId="18" fillId="15" borderId="99" xfId="1" applyFill="1" applyBorder="1" applyAlignment="1" applyProtection="1">
      <alignment horizontal="center" vertical="center" wrapText="1"/>
      <protection locked="0" hidden="1"/>
    </xf>
    <xf numFmtId="0" fontId="18" fillId="15" borderId="0" xfId="1" applyFill="1" applyBorder="1" applyAlignment="1" applyProtection="1">
      <alignment horizontal="center" vertical="center" wrapText="1"/>
      <protection locked="0" hidden="1"/>
    </xf>
    <xf numFmtId="0" fontId="18" fillId="15" borderId="528" xfId="1" applyFill="1" applyBorder="1" applyAlignment="1" applyProtection="1">
      <alignment horizontal="center" vertical="center" wrapText="1"/>
      <protection locked="0" hidden="1"/>
    </xf>
    <xf numFmtId="0" fontId="0" fillId="55" borderId="99" xfId="0" applyFill="1" applyBorder="1" applyAlignment="1">
      <alignment horizontal="center" vertical="center"/>
    </xf>
    <xf numFmtId="0" fontId="0" fillId="55" borderId="308" xfId="0" applyFill="1" applyBorder="1" applyAlignment="1">
      <alignment horizontal="center" vertical="center"/>
    </xf>
    <xf numFmtId="0" fontId="0" fillId="55" borderId="454" xfId="0" applyFill="1" applyBorder="1" applyAlignment="1">
      <alignment horizontal="center" vertical="center"/>
    </xf>
    <xf numFmtId="0" fontId="0" fillId="55" borderId="449" xfId="0" applyFill="1" applyBorder="1" applyAlignment="1">
      <alignment horizontal="center" vertical="center"/>
    </xf>
    <xf numFmtId="0" fontId="0" fillId="55" borderId="555" xfId="0" applyFill="1" applyBorder="1" applyAlignment="1">
      <alignment horizontal="center" vertical="center"/>
    </xf>
    <xf numFmtId="0" fontId="55" fillId="8" borderId="0" xfId="0" applyFont="1" applyFill="1" applyAlignment="1" applyProtection="1">
      <alignment horizontal="left"/>
      <protection hidden="1"/>
    </xf>
    <xf numFmtId="0" fontId="31" fillId="55" borderId="453" xfId="8" applyFont="1" applyFill="1" applyBorder="1" applyAlignment="1" applyProtection="1">
      <alignment horizontal="center" vertical="center" wrapText="1" shrinkToFit="1"/>
      <protection hidden="1"/>
    </xf>
    <xf numFmtId="0" fontId="31" fillId="55" borderId="96" xfId="8" applyFont="1" applyFill="1" applyBorder="1" applyAlignment="1" applyProtection="1">
      <alignment horizontal="center" vertical="center" wrapText="1" shrinkToFit="1"/>
      <protection hidden="1"/>
    </xf>
    <xf numFmtId="0" fontId="31" fillId="55" borderId="99" xfId="8" applyFont="1" applyFill="1" applyBorder="1" applyAlignment="1" applyProtection="1">
      <alignment horizontal="center" vertical="center" wrapText="1" shrinkToFit="1"/>
      <protection hidden="1"/>
    </xf>
    <xf numFmtId="0" fontId="31" fillId="55" borderId="0" xfId="8" applyFont="1" applyFill="1" applyAlignment="1" applyProtection="1">
      <alignment horizontal="center" vertical="center" wrapText="1" shrinkToFit="1"/>
      <protection hidden="1"/>
    </xf>
    <xf numFmtId="0" fontId="31" fillId="55" borderId="454" xfId="8" applyFont="1" applyFill="1" applyBorder="1" applyAlignment="1" applyProtection="1">
      <alignment horizontal="center" vertical="center" wrapText="1" shrinkToFit="1"/>
      <protection hidden="1"/>
    </xf>
    <xf numFmtId="0" fontId="31" fillId="55" borderId="449" xfId="8" applyFont="1" applyFill="1" applyBorder="1" applyAlignment="1" applyProtection="1">
      <alignment horizontal="center" vertical="center" wrapText="1" shrinkToFit="1"/>
      <protection hidden="1"/>
    </xf>
    <xf numFmtId="0" fontId="31" fillId="11" borderId="303" xfId="8" applyFont="1" applyFill="1" applyBorder="1" applyAlignment="1" applyProtection="1">
      <alignment horizontal="center" vertical="center" wrapText="1" shrinkToFit="1"/>
      <protection hidden="1"/>
    </xf>
    <xf numFmtId="0" fontId="31" fillId="11" borderId="1" xfId="8" applyFont="1" applyFill="1" applyBorder="1" applyAlignment="1" applyProtection="1">
      <alignment horizontal="center" vertical="center" wrapText="1" shrinkToFit="1"/>
      <protection hidden="1"/>
    </xf>
    <xf numFmtId="0" fontId="37" fillId="2" borderId="661" xfId="8" applyFont="1" applyFill="1" applyBorder="1" applyAlignment="1" applyProtection="1">
      <alignment horizontal="center" vertical="center" wrapText="1" shrinkToFit="1"/>
      <protection locked="0" hidden="1"/>
    </xf>
    <xf numFmtId="0" fontId="37" fillId="2" borderId="1" xfId="8" applyFont="1" applyFill="1" applyBorder="1" applyAlignment="1" applyProtection="1">
      <alignment horizontal="center" vertical="center" wrapText="1" shrinkToFit="1"/>
      <protection locked="0" hidden="1"/>
    </xf>
    <xf numFmtId="0" fontId="37" fillId="2" borderId="662" xfId="8" applyFont="1" applyFill="1" applyBorder="1" applyAlignment="1" applyProtection="1">
      <alignment horizontal="center" vertical="center" wrapText="1" shrinkToFit="1"/>
      <protection locked="0" hidden="1"/>
    </xf>
    <xf numFmtId="0" fontId="37" fillId="2" borderId="589" xfId="8" applyFont="1" applyFill="1" applyBorder="1" applyAlignment="1" applyProtection="1">
      <alignment horizontal="center" vertical="center" wrapText="1" shrinkToFit="1"/>
      <protection locked="0" hidden="1"/>
    </xf>
    <xf numFmtId="0" fontId="37" fillId="2" borderId="449" xfId="8" applyFont="1" applyFill="1" applyBorder="1" applyAlignment="1" applyProtection="1">
      <alignment horizontal="center" vertical="center" wrapText="1" shrinkToFit="1"/>
      <protection locked="0" hidden="1"/>
    </xf>
    <xf numFmtId="0" fontId="37" fillId="2" borderId="478" xfId="8" applyFont="1" applyFill="1" applyBorder="1" applyAlignment="1" applyProtection="1">
      <alignment horizontal="center" vertical="center" wrapText="1" shrinkToFit="1"/>
      <protection locked="0" hidden="1"/>
    </xf>
    <xf numFmtId="0" fontId="31" fillId="11" borderId="657" xfId="8" applyFont="1" applyFill="1" applyBorder="1" applyAlignment="1" applyProtection="1">
      <alignment horizontal="center" vertical="center" wrapText="1" shrinkToFit="1"/>
      <protection hidden="1"/>
    </xf>
    <xf numFmtId="0" fontId="31" fillId="2" borderId="661" xfId="8" applyFont="1" applyFill="1" applyBorder="1" applyAlignment="1" applyProtection="1">
      <alignment horizontal="center" vertical="center" wrapText="1" shrinkToFit="1"/>
      <protection locked="0"/>
    </xf>
    <xf numFmtId="0" fontId="31" fillId="2" borderId="1" xfId="8" applyFont="1" applyFill="1" applyBorder="1" applyAlignment="1" applyProtection="1">
      <alignment horizontal="center" vertical="center" wrapText="1" shrinkToFit="1"/>
      <protection locked="0"/>
    </xf>
    <xf numFmtId="0" fontId="31" fillId="2" borderId="662" xfId="8" applyFont="1" applyFill="1" applyBorder="1" applyAlignment="1" applyProtection="1">
      <alignment horizontal="center" vertical="center" wrapText="1" shrinkToFit="1"/>
      <protection locked="0"/>
    </xf>
    <xf numFmtId="0" fontId="31" fillId="11" borderId="276" xfId="0" applyFont="1" applyFill="1" applyBorder="1" applyAlignment="1">
      <alignment horizontal="center" vertical="center" wrapText="1"/>
    </xf>
    <xf numFmtId="0" fontId="31" fillId="11" borderId="46" xfId="0" applyFont="1" applyFill="1" applyBorder="1" applyAlignment="1">
      <alignment horizontal="center" vertical="center" wrapText="1"/>
    </xf>
    <xf numFmtId="0" fontId="150" fillId="2" borderId="469" xfId="0" applyFont="1" applyFill="1" applyBorder="1" applyAlignment="1" applyProtection="1">
      <alignment horizontal="center" vertical="center" wrapText="1"/>
      <protection locked="0" hidden="1"/>
    </xf>
    <xf numFmtId="0" fontId="150" fillId="2" borderId="461" xfId="0" applyFont="1" applyFill="1" applyBorder="1" applyAlignment="1" applyProtection="1">
      <alignment horizontal="center" vertical="center" wrapText="1"/>
      <protection locked="0" hidden="1"/>
    </xf>
    <xf numFmtId="0" fontId="150" fillId="2" borderId="465" xfId="0" applyFont="1" applyFill="1" applyBorder="1" applyAlignment="1" applyProtection="1">
      <alignment horizontal="center" vertical="center" wrapText="1"/>
      <protection locked="0" hidden="1"/>
    </xf>
    <xf numFmtId="0" fontId="150" fillId="2" borderId="468" xfId="0" applyFont="1" applyFill="1" applyBorder="1" applyAlignment="1" applyProtection="1">
      <alignment horizontal="center" vertical="center" wrapText="1"/>
      <protection locked="0" hidden="1"/>
    </xf>
    <xf numFmtId="0" fontId="150" fillId="2" borderId="0" xfId="0" applyFont="1" applyFill="1" applyAlignment="1" applyProtection="1">
      <alignment horizontal="center" vertical="center" wrapText="1"/>
      <protection locked="0" hidden="1"/>
    </xf>
    <xf numFmtId="0" fontId="150" fillId="2" borderId="308" xfId="0" applyFont="1" applyFill="1" applyBorder="1" applyAlignment="1" applyProtection="1">
      <alignment horizontal="center" vertical="center" wrapText="1"/>
      <protection locked="0" hidden="1"/>
    </xf>
    <xf numFmtId="0" fontId="44" fillId="53" borderId="752" xfId="1" applyFont="1" applyFill="1" applyBorder="1" applyAlignment="1" applyProtection="1">
      <alignment horizontal="center" vertical="center" wrapText="1" shrinkToFit="1"/>
    </xf>
    <xf numFmtId="0" fontId="44" fillId="53" borderId="753" xfId="1" applyFont="1" applyFill="1" applyBorder="1" applyAlignment="1" applyProtection="1">
      <alignment horizontal="center" vertical="center" shrinkToFit="1"/>
    </xf>
    <xf numFmtId="0" fontId="44" fillId="53" borderId="755" xfId="1" applyFont="1" applyFill="1" applyBorder="1" applyAlignment="1" applyProtection="1">
      <alignment horizontal="center" vertical="center" shrinkToFit="1"/>
    </xf>
    <xf numFmtId="0" fontId="44" fillId="53" borderId="756" xfId="1" applyFont="1" applyFill="1" applyBorder="1" applyAlignment="1" applyProtection="1">
      <alignment horizontal="center" vertical="center" shrinkToFit="1"/>
    </xf>
    <xf numFmtId="0" fontId="44" fillId="53" borderId="758" xfId="1" applyFont="1" applyFill="1" applyBorder="1" applyAlignment="1" applyProtection="1">
      <alignment horizontal="center" vertical="center" shrinkToFit="1"/>
    </xf>
    <xf numFmtId="0" fontId="44" fillId="53" borderId="759" xfId="1" applyFont="1" applyFill="1" applyBorder="1" applyAlignment="1" applyProtection="1">
      <alignment horizontal="center" vertical="center" shrinkToFit="1"/>
    </xf>
    <xf numFmtId="0" fontId="161" fillId="2" borderId="753" xfId="1" applyFont="1" applyFill="1" applyBorder="1" applyAlignment="1" applyProtection="1">
      <alignment horizontal="center" vertical="center" shrinkToFit="1"/>
      <protection locked="0"/>
    </xf>
    <xf numFmtId="0" fontId="161" fillId="2" borderId="754" xfId="1" applyFont="1" applyFill="1" applyBorder="1" applyAlignment="1" applyProtection="1">
      <alignment horizontal="center" vertical="center" shrinkToFit="1"/>
      <protection locked="0"/>
    </xf>
    <xf numFmtId="0" fontId="161" fillId="2" borderId="756" xfId="1" applyFont="1" applyFill="1" applyBorder="1" applyAlignment="1" applyProtection="1">
      <alignment horizontal="center" vertical="center" shrinkToFit="1"/>
      <protection locked="0"/>
    </xf>
    <xf numFmtId="0" fontId="161" fillId="2" borderId="757" xfId="1" applyFont="1" applyFill="1" applyBorder="1" applyAlignment="1" applyProtection="1">
      <alignment horizontal="center" vertical="center" shrinkToFit="1"/>
      <protection locked="0"/>
    </xf>
    <xf numFmtId="0" fontId="161" fillId="2" borderId="759" xfId="1" applyFont="1" applyFill="1" applyBorder="1" applyAlignment="1" applyProtection="1">
      <alignment horizontal="center" vertical="center" shrinkToFit="1"/>
      <protection locked="0"/>
    </xf>
    <xf numFmtId="0" fontId="161" fillId="2" borderId="760" xfId="1" applyFont="1" applyFill="1" applyBorder="1" applyAlignment="1" applyProtection="1">
      <alignment horizontal="center" vertical="center" shrinkToFit="1"/>
      <protection locked="0"/>
    </xf>
    <xf numFmtId="0" fontId="31" fillId="11" borderId="669" xfId="0" applyFont="1" applyFill="1" applyBorder="1" applyAlignment="1" applyProtection="1">
      <alignment horizontal="center" vertical="center" wrapText="1"/>
      <protection hidden="1"/>
    </xf>
    <xf numFmtId="0" fontId="31" fillId="11" borderId="670" xfId="0" applyFont="1" applyFill="1" applyBorder="1" applyAlignment="1" applyProtection="1">
      <alignment horizontal="center" vertical="center" wrapText="1"/>
      <protection hidden="1"/>
    </xf>
    <xf numFmtId="0" fontId="31" fillId="11" borderId="671" xfId="0" applyFont="1" applyFill="1" applyBorder="1" applyAlignment="1" applyProtection="1">
      <alignment horizontal="center" vertical="center" wrapText="1"/>
      <protection hidden="1"/>
    </xf>
    <xf numFmtId="0" fontId="31" fillId="11" borderId="56" xfId="0" applyFont="1" applyFill="1" applyBorder="1" applyAlignment="1" applyProtection="1">
      <alignment horizontal="center" vertical="center" wrapText="1"/>
      <protection hidden="1"/>
    </xf>
    <xf numFmtId="0" fontId="31" fillId="11" borderId="0" xfId="0" applyFont="1" applyFill="1" applyAlignment="1" applyProtection="1">
      <alignment horizontal="center" vertical="center" wrapText="1"/>
      <protection hidden="1"/>
    </xf>
    <xf numFmtId="0" fontId="31" fillId="11" borderId="583" xfId="0" applyFont="1" applyFill="1" applyBorder="1" applyAlignment="1" applyProtection="1">
      <alignment horizontal="center" vertical="center" wrapText="1"/>
      <protection hidden="1"/>
    </xf>
    <xf numFmtId="0" fontId="31" fillId="11" borderId="667" xfId="0" applyFont="1" applyFill="1" applyBorder="1" applyAlignment="1" applyProtection="1">
      <alignment horizontal="center" vertical="center" wrapText="1"/>
      <protection hidden="1"/>
    </xf>
    <xf numFmtId="0" fontId="31" fillId="11" borderId="477" xfId="0" applyFont="1" applyFill="1" applyBorder="1" applyAlignment="1" applyProtection="1">
      <alignment horizontal="center" vertical="center" wrapText="1"/>
      <protection hidden="1"/>
    </xf>
    <xf numFmtId="0" fontId="31" fillId="11" borderId="668" xfId="0" applyFont="1" applyFill="1" applyBorder="1" applyAlignment="1" applyProtection="1">
      <alignment horizontal="center" vertical="center" wrapText="1"/>
      <protection hidden="1"/>
    </xf>
    <xf numFmtId="0" fontId="148" fillId="2" borderId="679" xfId="1" applyFont="1" applyFill="1" applyBorder="1" applyAlignment="1" applyProtection="1">
      <alignment horizontal="center" vertical="center" shrinkToFit="1"/>
      <protection locked="0"/>
    </xf>
    <xf numFmtId="0" fontId="148" fillId="2" borderId="680" xfId="1" applyFont="1" applyFill="1" applyBorder="1" applyAlignment="1" applyProtection="1">
      <alignment horizontal="center" vertical="center" shrinkToFit="1"/>
      <protection locked="0"/>
    </xf>
    <xf numFmtId="0" fontId="148" fillId="2" borderId="419" xfId="1" applyFont="1" applyFill="1" applyBorder="1" applyAlignment="1" applyProtection="1">
      <alignment horizontal="center" vertical="center" shrinkToFit="1"/>
      <protection locked="0"/>
    </xf>
    <xf numFmtId="0" fontId="148" fillId="2" borderId="97" xfId="1" applyFont="1" applyFill="1" applyBorder="1" applyAlignment="1" applyProtection="1">
      <alignment horizontal="center" vertical="center" shrinkToFit="1"/>
      <protection locked="0"/>
    </xf>
    <xf numFmtId="0" fontId="148" fillId="2" borderId="665" xfId="1" applyFont="1" applyFill="1" applyBorder="1" applyAlignment="1" applyProtection="1">
      <alignment horizontal="center" vertical="center" shrinkToFit="1"/>
      <protection locked="0"/>
    </xf>
    <xf numFmtId="0" fontId="148" fillId="2" borderId="666" xfId="1" applyFont="1" applyFill="1" applyBorder="1" applyAlignment="1" applyProtection="1">
      <alignment horizontal="center" vertical="center" shrinkToFit="1"/>
      <protection locked="0"/>
    </xf>
    <xf numFmtId="0" fontId="159" fillId="11" borderId="276" xfId="0" applyFont="1" applyFill="1" applyBorder="1" applyAlignment="1">
      <alignment horizontal="center" vertical="center" wrapText="1"/>
    </xf>
    <xf numFmtId="0" fontId="159" fillId="11" borderId="46" xfId="0" applyFont="1" applyFill="1" applyBorder="1" applyAlignment="1">
      <alignment horizontal="center" vertical="center" wrapText="1"/>
    </xf>
    <xf numFmtId="0" fontId="159" fillId="11" borderId="462" xfId="0" applyFont="1" applyFill="1" applyBorder="1" applyAlignment="1">
      <alignment horizontal="center" vertical="center" wrapText="1"/>
    </xf>
    <xf numFmtId="0" fontId="159" fillId="11" borderId="99" xfId="0" applyFont="1" applyFill="1" applyBorder="1" applyAlignment="1">
      <alignment horizontal="center" vertical="center" wrapText="1"/>
    </xf>
    <xf numFmtId="0" fontId="159" fillId="11" borderId="0" xfId="0" applyFont="1" applyFill="1" applyAlignment="1">
      <alignment horizontal="center" vertical="center" wrapText="1"/>
    </xf>
    <xf numFmtId="0" fontId="159" fillId="11" borderId="97" xfId="0" applyFont="1" applyFill="1" applyBorder="1" applyAlignment="1">
      <alignment horizontal="center" vertical="center" wrapText="1"/>
    </xf>
    <xf numFmtId="0" fontId="159" fillId="11" borderId="573" xfId="0" applyFont="1" applyFill="1" applyBorder="1" applyAlignment="1">
      <alignment horizontal="center" vertical="center" wrapText="1"/>
    </xf>
    <xf numFmtId="0" fontId="159" fillId="11" borderId="53" xfId="0" applyFont="1" applyFill="1" applyBorder="1" applyAlignment="1">
      <alignment horizontal="center" vertical="center" wrapText="1"/>
    </xf>
    <xf numFmtId="0" fontId="159" fillId="11" borderId="597" xfId="0" applyFont="1" applyFill="1" applyBorder="1" applyAlignment="1">
      <alignment horizontal="center" vertical="center" wrapText="1"/>
    </xf>
    <xf numFmtId="0" fontId="46" fillId="0" borderId="241" xfId="0" applyFont="1" applyBorder="1" applyAlignment="1" applyProtection="1">
      <alignment horizontal="center" vertical="center" shrinkToFit="1"/>
      <protection locked="0" hidden="1"/>
    </xf>
    <xf numFmtId="0" fontId="46" fillId="0" borderId="229" xfId="0" applyFont="1" applyBorder="1" applyAlignment="1" applyProtection="1">
      <alignment horizontal="center" vertical="center" shrinkToFit="1"/>
      <protection locked="0" hidden="1"/>
    </xf>
    <xf numFmtId="0" fontId="46" fillId="0" borderId="100" xfId="0" applyFont="1" applyBorder="1" applyAlignment="1" applyProtection="1">
      <alignment horizontal="center" vertical="center" shrinkToFit="1"/>
      <protection locked="0" hidden="1"/>
    </xf>
    <xf numFmtId="0" fontId="46" fillId="0" borderId="242" xfId="0" applyFont="1" applyBorder="1" applyAlignment="1" applyProtection="1">
      <alignment horizontal="center" vertical="center" shrinkToFit="1"/>
      <protection locked="0" hidden="1"/>
    </xf>
    <xf numFmtId="0" fontId="46" fillId="0" borderId="198" xfId="0" applyFont="1" applyBorder="1" applyAlignment="1" applyProtection="1">
      <alignment horizontal="center" vertical="center" shrinkToFit="1"/>
      <protection locked="0" hidden="1"/>
    </xf>
    <xf numFmtId="0" fontId="46" fillId="0" borderId="230" xfId="0" applyFont="1" applyBorder="1" applyAlignment="1" applyProtection="1">
      <alignment horizontal="center" vertical="center" shrinkToFit="1"/>
      <protection locked="0" hidden="1"/>
    </xf>
    <xf numFmtId="0" fontId="22" fillId="11" borderId="55" xfId="0" applyFont="1" applyFill="1" applyBorder="1" applyAlignment="1" applyProtection="1">
      <alignment horizontal="center" vertical="center" wrapText="1"/>
      <protection hidden="1"/>
    </xf>
    <xf numFmtId="0" fontId="22" fillId="11" borderId="46" xfId="0" applyFont="1" applyFill="1" applyBorder="1" applyAlignment="1" applyProtection="1">
      <alignment horizontal="center" vertical="center" wrapText="1"/>
      <protection hidden="1"/>
    </xf>
    <xf numFmtId="0" fontId="22" fillId="11" borderId="62" xfId="0" applyFont="1" applyFill="1" applyBorder="1" applyAlignment="1" applyProtection="1">
      <alignment horizontal="center" vertical="center" wrapText="1"/>
      <protection hidden="1"/>
    </xf>
    <xf numFmtId="0" fontId="22" fillId="11" borderId="56" xfId="0" applyFont="1" applyFill="1" applyBorder="1" applyAlignment="1" applyProtection="1">
      <alignment horizontal="center" vertical="center" wrapText="1"/>
      <protection hidden="1"/>
    </xf>
    <xf numFmtId="0" fontId="22" fillId="11" borderId="0" xfId="0" applyFont="1" applyFill="1" applyAlignment="1" applyProtection="1">
      <alignment horizontal="center" vertical="center" wrapText="1"/>
      <protection hidden="1"/>
    </xf>
    <xf numFmtId="0" fontId="22" fillId="11" borderId="64" xfId="0" applyFont="1" applyFill="1" applyBorder="1" applyAlignment="1" applyProtection="1">
      <alignment horizontal="center" vertical="center" wrapText="1"/>
      <protection hidden="1"/>
    </xf>
    <xf numFmtId="0" fontId="31" fillId="11" borderId="56" xfId="0" applyFont="1" applyFill="1" applyBorder="1" applyAlignment="1" applyProtection="1">
      <alignment horizontal="center" vertical="center" wrapText="1" shrinkToFit="1"/>
      <protection hidden="1"/>
    </xf>
    <xf numFmtId="0" fontId="31" fillId="11" borderId="0" xfId="0" applyFont="1" applyFill="1" applyAlignment="1" applyProtection="1">
      <alignment horizontal="center" vertical="center" wrapText="1" shrinkToFit="1"/>
      <protection hidden="1"/>
    </xf>
    <xf numFmtId="0" fontId="31" fillId="11" borderId="64" xfId="0" applyFont="1" applyFill="1" applyBorder="1" applyAlignment="1" applyProtection="1">
      <alignment horizontal="center" vertical="center" wrapText="1" shrinkToFit="1"/>
      <protection hidden="1"/>
    </xf>
    <xf numFmtId="0" fontId="31" fillId="11" borderId="61" xfId="0" applyFont="1" applyFill="1" applyBorder="1" applyAlignment="1" applyProtection="1">
      <alignment horizontal="center" vertical="center" wrapText="1" shrinkToFit="1"/>
      <protection hidden="1"/>
    </xf>
    <xf numFmtId="0" fontId="31" fillId="11" borderId="53" xfId="0" applyFont="1" applyFill="1" applyBorder="1" applyAlignment="1" applyProtection="1">
      <alignment horizontal="center" vertical="center" wrapText="1" shrinkToFit="1"/>
      <protection hidden="1"/>
    </xf>
    <xf numFmtId="0" fontId="31" fillId="11" borderId="69" xfId="0" applyFont="1" applyFill="1" applyBorder="1" applyAlignment="1" applyProtection="1">
      <alignment horizontal="center" vertical="center" wrapText="1" shrinkToFit="1"/>
      <protection hidden="1"/>
    </xf>
    <xf numFmtId="0" fontId="31" fillId="11" borderId="72" xfId="0" applyFont="1" applyFill="1" applyBorder="1" applyAlignment="1">
      <alignment horizontal="center" vertical="center" wrapText="1" shrinkToFit="1"/>
    </xf>
    <xf numFmtId="0" fontId="31" fillId="11" borderId="46" xfId="0" applyFont="1" applyFill="1" applyBorder="1" applyAlignment="1">
      <alignment horizontal="center" vertical="center" wrapText="1" shrinkToFit="1"/>
    </xf>
    <xf numFmtId="0" fontId="31" fillId="11" borderId="47" xfId="0" applyFont="1" applyFill="1" applyBorder="1" applyAlignment="1">
      <alignment horizontal="center" vertical="center" wrapText="1" shrinkToFit="1"/>
    </xf>
    <xf numFmtId="0" fontId="31" fillId="11" borderId="0" xfId="0" applyFont="1" applyFill="1" applyAlignment="1">
      <alignment horizontal="center" vertical="center" wrapText="1" shrinkToFit="1"/>
    </xf>
    <xf numFmtId="0" fontId="47" fillId="2" borderId="453" xfId="0" applyFont="1" applyFill="1" applyBorder="1" applyAlignment="1" applyProtection="1">
      <alignment horizontal="center" vertical="center" shrinkToFit="1"/>
      <protection locked="0"/>
    </xf>
    <xf numFmtId="0" fontId="47" fillId="2" borderId="458" xfId="0" applyFont="1" applyFill="1" applyBorder="1" applyAlignment="1" applyProtection="1">
      <alignment horizontal="center" vertical="center" shrinkToFit="1"/>
      <protection locked="0"/>
    </xf>
    <xf numFmtId="0" fontId="47" fillId="2" borderId="99" xfId="0" applyFont="1" applyFill="1" applyBorder="1" applyAlignment="1" applyProtection="1">
      <alignment horizontal="center" vertical="center" shrinkToFit="1"/>
      <protection locked="0"/>
    </xf>
    <xf numFmtId="0" fontId="47" fillId="2" borderId="97" xfId="0" applyFont="1" applyFill="1" applyBorder="1" applyAlignment="1" applyProtection="1">
      <alignment horizontal="center" vertical="center" shrinkToFit="1"/>
      <protection locked="0"/>
    </xf>
    <xf numFmtId="0" fontId="47" fillId="2" borderId="454" xfId="0" applyFont="1" applyFill="1" applyBorder="1" applyAlignment="1" applyProtection="1">
      <alignment horizontal="center" vertical="center" shrinkToFit="1"/>
      <protection locked="0"/>
    </xf>
    <xf numFmtId="0" fontId="47" fillId="2" borderId="478" xfId="0" applyFont="1" applyFill="1" applyBorder="1" applyAlignment="1" applyProtection="1">
      <alignment horizontal="center" vertical="center" shrinkToFit="1"/>
      <protection locked="0"/>
    </xf>
    <xf numFmtId="0" fontId="44" fillId="11" borderId="453" xfId="0" applyFont="1" applyFill="1" applyBorder="1" applyAlignment="1">
      <alignment horizontal="center" vertical="center" shrinkToFit="1"/>
    </xf>
    <xf numFmtId="0" fontId="44" fillId="11" borderId="96" xfId="0" applyFont="1" applyFill="1" applyBorder="1" applyAlignment="1">
      <alignment horizontal="center" vertical="center" shrinkToFit="1"/>
    </xf>
    <xf numFmtId="0" fontId="44" fillId="11" borderId="99" xfId="0" applyFont="1" applyFill="1" applyBorder="1" applyAlignment="1">
      <alignment horizontal="center" vertical="center" shrinkToFit="1"/>
    </xf>
    <xf numFmtId="0" fontId="44" fillId="11" borderId="0" xfId="0" applyFont="1" applyFill="1" applyAlignment="1">
      <alignment horizontal="center" vertical="center" shrinkToFit="1"/>
    </xf>
    <xf numFmtId="0" fontId="44" fillId="11" borderId="454" xfId="0" applyFont="1" applyFill="1" applyBorder="1" applyAlignment="1">
      <alignment horizontal="center" vertical="center" shrinkToFit="1"/>
    </xf>
    <xf numFmtId="0" fontId="44" fillId="11" borderId="449" xfId="0" applyFont="1" applyFill="1" applyBorder="1" applyAlignment="1">
      <alignment horizontal="center" vertical="center" shrinkToFit="1"/>
    </xf>
    <xf numFmtId="0" fontId="47" fillId="22" borderId="96" xfId="0" applyFont="1" applyFill="1" applyBorder="1" applyAlignment="1">
      <alignment horizontal="center" vertical="center" shrinkToFit="1"/>
    </xf>
    <xf numFmtId="0" fontId="47" fillId="22" borderId="0" xfId="0" applyFont="1" applyFill="1" applyAlignment="1">
      <alignment horizontal="center" vertical="center" shrinkToFit="1"/>
    </xf>
    <xf numFmtId="0" fontId="47" fillId="22" borderId="449" xfId="0" applyFont="1" applyFill="1" applyBorder="1" applyAlignment="1">
      <alignment horizontal="center" vertical="center" shrinkToFit="1"/>
    </xf>
    <xf numFmtId="0" fontId="45" fillId="9" borderId="70" xfId="0" applyFont="1" applyFill="1" applyBorder="1" applyAlignment="1" applyProtection="1">
      <alignment horizontal="center" vertical="center"/>
      <protection hidden="1"/>
    </xf>
    <xf numFmtId="0" fontId="45" fillId="9" borderId="51" xfId="0" applyFont="1" applyFill="1" applyBorder="1" applyAlignment="1" applyProtection="1">
      <alignment horizontal="center" vertical="center"/>
      <protection hidden="1"/>
    </xf>
    <xf numFmtId="0" fontId="45" fillId="9" borderId="52" xfId="0" applyFont="1" applyFill="1" applyBorder="1" applyAlignment="1" applyProtection="1">
      <alignment horizontal="center" vertical="center"/>
      <protection hidden="1"/>
    </xf>
    <xf numFmtId="0" fontId="45" fillId="9" borderId="47" xfId="0" applyFont="1" applyFill="1" applyBorder="1" applyAlignment="1" applyProtection="1">
      <alignment horizontal="center" vertical="center"/>
      <protection hidden="1"/>
    </xf>
    <xf numFmtId="0" fontId="45" fillId="9" borderId="0" xfId="0" applyFont="1" applyFill="1" applyAlignment="1" applyProtection="1">
      <alignment horizontal="center" vertical="center"/>
      <protection hidden="1"/>
    </xf>
    <xf numFmtId="0" fontId="45" fillId="9" borderId="39" xfId="0" applyFont="1" applyFill="1" applyBorder="1" applyAlignment="1" applyProtection="1">
      <alignment horizontal="center" vertical="center"/>
      <protection hidden="1"/>
    </xf>
    <xf numFmtId="0" fontId="43" fillId="8" borderId="47" xfId="0" applyFont="1" applyFill="1" applyBorder="1" applyAlignment="1" applyProtection="1">
      <alignment horizontal="left" vertical="top" wrapText="1"/>
      <protection hidden="1"/>
    </xf>
    <xf numFmtId="0" fontId="43" fillId="8" borderId="0" xfId="0" applyFont="1" applyFill="1" applyAlignment="1" applyProtection="1">
      <alignment horizontal="left" vertical="top" wrapText="1"/>
      <protection hidden="1"/>
    </xf>
    <xf numFmtId="0" fontId="43" fillId="8" borderId="39" xfId="0" applyFont="1" applyFill="1" applyBorder="1" applyAlignment="1" applyProtection="1">
      <alignment horizontal="left" vertical="top" wrapText="1"/>
      <protection hidden="1"/>
    </xf>
    <xf numFmtId="0" fontId="48" fillId="0" borderId="55" xfId="0" applyFont="1" applyBorder="1" applyAlignment="1" applyProtection="1">
      <alignment horizontal="center" vertical="center" wrapText="1"/>
      <protection locked="0" hidden="1"/>
    </xf>
    <xf numFmtId="0" fontId="48" fillId="0" borderId="46" xfId="0" applyFont="1" applyBorder="1" applyAlignment="1" applyProtection="1">
      <alignment horizontal="center" vertical="center" wrapText="1"/>
      <protection locked="0" hidden="1"/>
    </xf>
    <xf numFmtId="0" fontId="48" fillId="0" borderId="49" xfId="0" applyFont="1" applyBorder="1" applyAlignment="1" applyProtection="1">
      <alignment horizontal="center" vertical="center" wrapText="1"/>
      <protection locked="0" hidden="1"/>
    </xf>
    <xf numFmtId="0" fontId="48" fillId="0" borderId="56" xfId="0" applyFont="1" applyBorder="1" applyAlignment="1" applyProtection="1">
      <alignment horizontal="center" vertical="center" wrapText="1"/>
      <protection locked="0" hidden="1"/>
    </xf>
    <xf numFmtId="0" fontId="48" fillId="0" borderId="0" xfId="0" applyFont="1" applyAlignment="1" applyProtection="1">
      <alignment horizontal="center" vertical="center" wrapText="1"/>
      <protection locked="0" hidden="1"/>
    </xf>
    <xf numFmtId="0" fontId="48" fillId="0" borderId="39" xfId="0" applyFont="1" applyBorder="1" applyAlignment="1" applyProtection="1">
      <alignment horizontal="center" vertical="center" wrapText="1"/>
      <protection locked="0" hidden="1"/>
    </xf>
    <xf numFmtId="0" fontId="48" fillId="0" borderId="57" xfId="0" applyFont="1" applyBorder="1" applyAlignment="1" applyProtection="1">
      <alignment horizontal="center" vertical="center" wrapText="1"/>
      <protection locked="0" hidden="1"/>
    </xf>
    <xf numFmtId="0" fontId="48" fillId="0" borderId="50" xfId="0" applyFont="1" applyBorder="1" applyAlignment="1" applyProtection="1">
      <alignment horizontal="center" vertical="center" wrapText="1"/>
      <protection locked="0" hidden="1"/>
    </xf>
    <xf numFmtId="0" fontId="48" fillId="0" borderId="58" xfId="0" applyFont="1" applyBorder="1" applyAlignment="1" applyProtection="1">
      <alignment horizontal="center" vertical="center" wrapText="1"/>
      <protection locked="0" hidden="1"/>
    </xf>
    <xf numFmtId="0" fontId="47" fillId="2" borderId="99" xfId="0" applyFont="1" applyFill="1" applyBorder="1" applyAlignment="1" applyProtection="1">
      <alignment vertical="center" shrinkToFit="1"/>
      <protection locked="0"/>
    </xf>
    <xf numFmtId="0" fontId="47" fillId="2" borderId="97" xfId="0" applyFont="1" applyFill="1" applyBorder="1" applyAlignment="1" applyProtection="1">
      <alignment vertical="center" shrinkToFit="1"/>
      <protection locked="0"/>
    </xf>
    <xf numFmtId="0" fontId="31" fillId="11" borderId="56" xfId="0" applyFont="1" applyFill="1" applyBorder="1" applyAlignment="1" applyProtection="1">
      <alignment horizontal="center" vertical="top" wrapText="1" shrinkToFit="1"/>
      <protection hidden="1"/>
    </xf>
    <xf numFmtId="0" fontId="31" fillId="11" borderId="0" xfId="0" applyFont="1" applyFill="1" applyAlignment="1" applyProtection="1">
      <alignment horizontal="center" vertical="top" wrapText="1" shrinkToFit="1"/>
      <protection hidden="1"/>
    </xf>
    <xf numFmtId="0" fontId="31" fillId="11" borderId="64" xfId="0" applyFont="1" applyFill="1" applyBorder="1" applyAlignment="1" applyProtection="1">
      <alignment horizontal="center" vertical="top" wrapText="1" shrinkToFit="1"/>
      <protection hidden="1"/>
    </xf>
    <xf numFmtId="0" fontId="31" fillId="11" borderId="61" xfId="0" applyFont="1" applyFill="1" applyBorder="1" applyAlignment="1" applyProtection="1">
      <alignment horizontal="center" vertical="top" wrapText="1" shrinkToFit="1"/>
      <protection hidden="1"/>
    </xf>
    <xf numFmtId="0" fontId="31" fillId="11" borderId="53" xfId="0" applyFont="1" applyFill="1" applyBorder="1" applyAlignment="1" applyProtection="1">
      <alignment horizontal="center" vertical="top" wrapText="1" shrinkToFit="1"/>
      <protection hidden="1"/>
    </xf>
    <xf numFmtId="0" fontId="31" fillId="11" borderId="69" xfId="0" applyFont="1" applyFill="1" applyBorder="1" applyAlignment="1" applyProtection="1">
      <alignment horizontal="center" vertical="top" wrapText="1" shrinkToFit="1"/>
      <protection hidden="1"/>
    </xf>
    <xf numFmtId="182" fontId="47" fillId="2" borderId="0" xfId="0" applyNumberFormat="1" applyFont="1" applyFill="1" applyAlignment="1" applyProtection="1">
      <alignment horizontal="center" vertical="center" shrinkToFit="1"/>
      <protection locked="0" hidden="1"/>
    </xf>
    <xf numFmtId="182" fontId="47" fillId="2" borderId="53" xfId="0" applyNumberFormat="1" applyFont="1" applyFill="1" applyBorder="1" applyAlignment="1" applyProtection="1">
      <alignment horizontal="center" vertical="center" shrinkToFit="1"/>
      <protection locked="0" hidden="1"/>
    </xf>
    <xf numFmtId="0" fontId="47" fillId="2" borderId="252" xfId="0" applyFont="1" applyFill="1" applyBorder="1" applyAlignment="1" applyProtection="1">
      <alignment horizontal="center" vertical="center" wrapText="1" shrinkToFit="1"/>
      <protection locked="0" hidden="1"/>
    </xf>
    <xf numFmtId="0" fontId="47" fillId="2" borderId="190" xfId="0" applyFont="1" applyFill="1" applyBorder="1" applyAlignment="1" applyProtection="1">
      <alignment horizontal="center" vertical="center" wrapText="1" shrinkToFit="1"/>
      <protection locked="0" hidden="1"/>
    </xf>
    <xf numFmtId="0" fontId="31" fillId="11" borderId="55" xfId="0" applyFont="1" applyFill="1" applyBorder="1" applyAlignment="1" applyProtection="1">
      <alignment horizontal="center" vertical="top" wrapText="1" shrinkToFit="1"/>
      <protection hidden="1"/>
    </xf>
    <xf numFmtId="0" fontId="31" fillId="11" borderId="46" xfId="0" applyFont="1" applyFill="1" applyBorder="1" applyAlignment="1" applyProtection="1">
      <alignment horizontal="center" vertical="top" wrapText="1" shrinkToFit="1"/>
      <protection hidden="1"/>
    </xf>
    <xf numFmtId="0" fontId="31" fillId="11" borderId="62" xfId="0" applyFont="1" applyFill="1" applyBorder="1" applyAlignment="1" applyProtection="1">
      <alignment horizontal="center" vertical="top" wrapText="1" shrinkToFit="1"/>
      <protection hidden="1"/>
    </xf>
    <xf numFmtId="0" fontId="31" fillId="11" borderId="57" xfId="0" applyFont="1" applyFill="1" applyBorder="1" applyAlignment="1" applyProtection="1">
      <alignment horizontal="center" vertical="top" wrapText="1" shrinkToFit="1"/>
      <protection hidden="1"/>
    </xf>
    <xf numFmtId="0" fontId="31" fillId="11" borderId="50" xfId="0" applyFont="1" applyFill="1" applyBorder="1" applyAlignment="1" applyProtection="1">
      <alignment horizontal="center" vertical="top" wrapText="1" shrinkToFit="1"/>
      <protection hidden="1"/>
    </xf>
    <xf numFmtId="0" fontId="31" fillId="11" borderId="65" xfId="0" applyFont="1" applyFill="1" applyBorder="1" applyAlignment="1" applyProtection="1">
      <alignment horizontal="center" vertical="top" wrapText="1" shrinkToFit="1"/>
      <protection hidden="1"/>
    </xf>
    <xf numFmtId="182" fontId="47" fillId="2" borderId="46" xfId="0" applyNumberFormat="1" applyFont="1" applyFill="1" applyBorder="1" applyAlignment="1" applyProtection="1">
      <alignment horizontal="center" vertical="center" shrinkToFit="1"/>
      <protection locked="0"/>
    </xf>
    <xf numFmtId="182" fontId="47" fillId="2" borderId="0" xfId="0" applyNumberFormat="1" applyFont="1" applyFill="1" applyAlignment="1" applyProtection="1">
      <alignment horizontal="center" vertical="center" shrinkToFit="1"/>
      <protection locked="0"/>
    </xf>
    <xf numFmtId="182" fontId="47" fillId="2" borderId="50" xfId="0" applyNumberFormat="1" applyFont="1" applyFill="1" applyBorder="1" applyAlignment="1" applyProtection="1">
      <alignment horizontal="center" vertical="center" shrinkToFit="1"/>
      <protection locked="0"/>
    </xf>
    <xf numFmtId="0" fontId="48" fillId="2" borderId="46" xfId="0" applyFont="1" applyFill="1" applyBorder="1" applyAlignment="1" applyProtection="1">
      <alignment horizontal="center" vertical="center" shrinkToFit="1"/>
      <protection locked="0"/>
    </xf>
    <xf numFmtId="0" fontId="48" fillId="2" borderId="62" xfId="0" applyFont="1" applyFill="1" applyBorder="1" applyAlignment="1" applyProtection="1">
      <alignment horizontal="center" vertical="center" shrinkToFit="1"/>
      <protection locked="0"/>
    </xf>
    <xf numFmtId="0" fontId="48" fillId="2" borderId="0" xfId="0" applyFont="1" applyFill="1" applyAlignment="1" applyProtection="1">
      <alignment horizontal="center" vertical="center" shrinkToFit="1"/>
      <protection locked="0"/>
    </xf>
    <xf numFmtId="0" fontId="48" fillId="2" borderId="64" xfId="0" applyFont="1" applyFill="1" applyBorder="1" applyAlignment="1" applyProtection="1">
      <alignment horizontal="center" vertical="center" shrinkToFit="1"/>
      <protection locked="0"/>
    </xf>
    <xf numFmtId="0" fontId="48" fillId="2" borderId="50" xfId="0" applyFont="1" applyFill="1" applyBorder="1" applyAlignment="1" applyProtection="1">
      <alignment horizontal="center" vertical="center" shrinkToFit="1"/>
      <protection locked="0"/>
    </xf>
    <xf numFmtId="0" fontId="48" fillId="2" borderId="65" xfId="0" applyFont="1" applyFill="1" applyBorder="1" applyAlignment="1" applyProtection="1">
      <alignment horizontal="center" vertical="center" shrinkToFit="1"/>
      <protection locked="0"/>
    </xf>
    <xf numFmtId="0" fontId="31" fillId="11" borderId="55" xfId="0" applyFont="1" applyFill="1" applyBorder="1" applyAlignment="1" applyProtection="1">
      <alignment horizontal="center" vertical="center" wrapText="1" shrinkToFit="1"/>
      <protection hidden="1"/>
    </xf>
    <xf numFmtId="0" fontId="31" fillId="11" borderId="46" xfId="0" applyFont="1" applyFill="1" applyBorder="1" applyAlignment="1" applyProtection="1">
      <alignment horizontal="center" vertical="center" wrapText="1" shrinkToFit="1"/>
      <protection hidden="1"/>
    </xf>
    <xf numFmtId="0" fontId="31" fillId="11" borderId="62" xfId="0" applyFont="1" applyFill="1" applyBorder="1" applyAlignment="1" applyProtection="1">
      <alignment horizontal="center" vertical="center" wrapText="1" shrinkToFit="1"/>
      <protection hidden="1"/>
    </xf>
    <xf numFmtId="0" fontId="31" fillId="11" borderId="57" xfId="0" applyFont="1" applyFill="1" applyBorder="1" applyAlignment="1" applyProtection="1">
      <alignment horizontal="center" vertical="center" wrapText="1" shrinkToFit="1"/>
      <protection hidden="1"/>
    </xf>
    <xf numFmtId="0" fontId="31" fillId="11" borderId="50" xfId="0" applyFont="1" applyFill="1" applyBorder="1" applyAlignment="1" applyProtection="1">
      <alignment horizontal="center" vertical="center" wrapText="1" shrinkToFit="1"/>
      <protection hidden="1"/>
    </xf>
    <xf numFmtId="0" fontId="31" fillId="11" borderId="65" xfId="0" applyFont="1" applyFill="1" applyBorder="1" applyAlignment="1" applyProtection="1">
      <alignment horizontal="center" vertical="center" wrapText="1" shrinkToFit="1"/>
      <protection hidden="1"/>
    </xf>
    <xf numFmtId="0" fontId="48" fillId="2" borderId="280" xfId="0" applyFont="1" applyFill="1" applyBorder="1" applyAlignment="1" applyProtection="1">
      <alignment horizontal="center" vertical="center" shrinkToFit="1"/>
      <protection locked="0"/>
    </xf>
    <xf numFmtId="0" fontId="48" fillId="2" borderId="281" xfId="0" applyFont="1" applyFill="1" applyBorder="1" applyAlignment="1" applyProtection="1">
      <alignment horizontal="center" vertical="center" shrinkToFit="1"/>
      <protection locked="0"/>
    </xf>
    <xf numFmtId="0" fontId="48" fillId="2" borderId="287" xfId="0" applyFont="1" applyFill="1" applyBorder="1" applyAlignment="1" applyProtection="1">
      <alignment horizontal="center" vertical="center" shrinkToFit="1"/>
      <protection locked="0"/>
    </xf>
    <xf numFmtId="0" fontId="48" fillId="2" borderId="305" xfId="0" applyFont="1" applyFill="1" applyBorder="1" applyAlignment="1" applyProtection="1">
      <alignment horizontal="center" vertical="center" shrinkToFit="1"/>
      <protection locked="0"/>
    </xf>
    <xf numFmtId="0" fontId="48" fillId="2" borderId="308" xfId="0" applyFont="1" applyFill="1" applyBorder="1" applyAlignment="1" applyProtection="1">
      <alignment horizontal="center" vertical="center" shrinkToFit="1"/>
      <protection locked="0"/>
    </xf>
    <xf numFmtId="0" fontId="48" fillId="2" borderId="288" xfId="0" applyFont="1" applyFill="1" applyBorder="1" applyAlignment="1" applyProtection="1">
      <alignment horizontal="center" vertical="center" shrinkToFit="1"/>
      <protection locked="0"/>
    </xf>
    <xf numFmtId="0" fontId="48" fillId="2" borderId="289" xfId="0" applyFont="1" applyFill="1" applyBorder="1" applyAlignment="1" applyProtection="1">
      <alignment horizontal="center" vertical="center" shrinkToFit="1"/>
      <protection locked="0"/>
    </xf>
    <xf numFmtId="0" fontId="48" fillId="2" borderId="295" xfId="0" applyFont="1" applyFill="1" applyBorder="1" applyAlignment="1" applyProtection="1">
      <alignment horizontal="center" vertical="center" shrinkToFit="1"/>
      <protection locked="0"/>
    </xf>
    <xf numFmtId="0" fontId="31" fillId="11" borderId="51" xfId="0" applyFont="1" applyFill="1" applyBorder="1" applyAlignment="1" applyProtection="1">
      <alignment horizontal="center" vertical="center" wrapText="1" shrinkToFit="1"/>
      <protection hidden="1"/>
    </xf>
    <xf numFmtId="0" fontId="31" fillId="11" borderId="477" xfId="0" applyFont="1" applyFill="1" applyBorder="1" applyAlignment="1" applyProtection="1">
      <alignment horizontal="center" vertical="center" wrapText="1" shrinkToFit="1"/>
      <protection hidden="1"/>
    </xf>
    <xf numFmtId="0" fontId="37" fillId="2" borderId="51" xfId="0" applyFont="1" applyFill="1" applyBorder="1" applyAlignment="1" applyProtection="1">
      <alignment horizontal="center" vertical="center" wrapText="1" shrinkToFit="1"/>
      <protection locked="0" hidden="1"/>
    </xf>
    <xf numFmtId="0" fontId="37" fillId="2" borderId="0" xfId="0" applyFont="1" applyFill="1" applyAlignment="1" applyProtection="1">
      <alignment horizontal="center" vertical="center" wrapText="1" shrinkToFit="1"/>
      <protection locked="0" hidden="1"/>
    </xf>
    <xf numFmtId="0" fontId="37" fillId="2" borderId="477" xfId="0" applyFont="1" applyFill="1" applyBorder="1" applyAlignment="1" applyProtection="1">
      <alignment horizontal="center" vertical="center" wrapText="1" shrinkToFit="1"/>
      <protection locked="0" hidden="1"/>
    </xf>
    <xf numFmtId="0" fontId="31" fillId="2" borderId="51" xfId="0" applyFont="1" applyFill="1" applyBorder="1" applyAlignment="1" applyProtection="1">
      <alignment horizontal="center" vertical="center" wrapText="1" shrinkToFit="1"/>
      <protection locked="0"/>
    </xf>
    <xf numFmtId="0" fontId="31" fillId="2" borderId="0" xfId="0" applyFont="1" applyFill="1" applyAlignment="1" applyProtection="1">
      <alignment horizontal="center" vertical="center" wrapText="1" shrinkToFit="1"/>
      <protection locked="0"/>
    </xf>
    <xf numFmtId="0" fontId="31" fillId="2" borderId="477" xfId="0" applyFont="1" applyFill="1" applyBorder="1" applyAlignment="1" applyProtection="1">
      <alignment horizontal="center" vertical="center" wrapText="1" shrinkToFit="1"/>
      <protection locked="0"/>
    </xf>
    <xf numFmtId="0" fontId="18" fillId="2" borderId="51" xfId="1" applyFill="1" applyBorder="1" applyAlignment="1" applyProtection="1">
      <alignment horizontal="center" vertical="center" wrapText="1" shrinkToFit="1"/>
      <protection locked="0" hidden="1"/>
    </xf>
    <xf numFmtId="0" fontId="31" fillId="2" borderId="51" xfId="0" applyFont="1" applyFill="1" applyBorder="1" applyAlignment="1" applyProtection="1">
      <alignment horizontal="center" vertical="center" wrapText="1" shrinkToFit="1"/>
      <protection locked="0" hidden="1"/>
    </xf>
    <xf numFmtId="0" fontId="31" fillId="2" borderId="0" xfId="0" applyFont="1" applyFill="1" applyAlignment="1" applyProtection="1">
      <alignment horizontal="center" vertical="center" wrapText="1" shrinkToFit="1"/>
      <protection locked="0" hidden="1"/>
    </xf>
    <xf numFmtId="0" fontId="31" fillId="2" borderId="477" xfId="0" applyFont="1" applyFill="1" applyBorder="1" applyAlignment="1" applyProtection="1">
      <alignment horizontal="center" vertical="center" wrapText="1" shrinkToFit="1"/>
      <protection locked="0" hidden="1"/>
    </xf>
    <xf numFmtId="0" fontId="43" fillId="8" borderId="64" xfId="0" applyFont="1" applyFill="1" applyBorder="1" applyAlignment="1" applyProtection="1">
      <alignment horizontal="left" vertical="top" wrapText="1"/>
      <protection hidden="1"/>
    </xf>
    <xf numFmtId="0" fontId="43" fillId="8" borderId="73" xfId="0" applyFont="1" applyFill="1" applyBorder="1" applyAlignment="1" applyProtection="1">
      <alignment horizontal="left" vertical="top" wrapText="1"/>
      <protection hidden="1"/>
    </xf>
    <xf numFmtId="0" fontId="43" fillId="8" borderId="50" xfId="0" applyFont="1" applyFill="1" applyBorder="1" applyAlignment="1" applyProtection="1">
      <alignment horizontal="left" vertical="top" wrapText="1"/>
      <protection hidden="1"/>
    </xf>
    <xf numFmtId="0" fontId="43" fillId="8" borderId="65" xfId="0" applyFont="1" applyFill="1" applyBorder="1" applyAlignment="1" applyProtection="1">
      <alignment horizontal="left" vertical="top" wrapText="1"/>
      <protection hidden="1"/>
    </xf>
    <xf numFmtId="0" fontId="63" fillId="8" borderId="450" xfId="0" applyFont="1" applyFill="1" applyBorder="1" applyAlignment="1" applyProtection="1">
      <alignment horizontal="right" vertical="center" wrapText="1"/>
      <protection hidden="1"/>
    </xf>
    <xf numFmtId="0" fontId="63" fillId="8" borderId="451" xfId="0" applyFont="1" applyFill="1" applyBorder="1" applyAlignment="1" applyProtection="1">
      <alignment horizontal="right" vertical="center" wrapText="1"/>
      <protection hidden="1"/>
    </xf>
    <xf numFmtId="0" fontId="63" fillId="8" borderId="452" xfId="0" applyFont="1" applyFill="1" applyBorder="1" applyAlignment="1" applyProtection="1">
      <alignment horizontal="right" vertical="center" wrapText="1"/>
      <protection hidden="1"/>
    </xf>
    <xf numFmtId="0" fontId="31" fillId="11" borderId="498" xfId="0" applyFont="1" applyFill="1" applyBorder="1" applyAlignment="1" applyProtection="1">
      <alignment horizontal="center" vertical="center" wrapText="1" shrinkToFit="1"/>
      <protection hidden="1"/>
    </xf>
    <xf numFmtId="0" fontId="31" fillId="11" borderId="499" xfId="0" applyFont="1" applyFill="1" applyBorder="1" applyAlignment="1" applyProtection="1">
      <alignment horizontal="center" vertical="center" wrapText="1" shrinkToFit="1"/>
      <protection hidden="1"/>
    </xf>
    <xf numFmtId="0" fontId="31" fillId="11" borderId="500" xfId="0" applyFont="1" applyFill="1" applyBorder="1" applyAlignment="1" applyProtection="1">
      <alignment horizontal="center" vertical="center" wrapText="1" shrinkToFit="1"/>
      <protection hidden="1"/>
    </xf>
    <xf numFmtId="0" fontId="48" fillId="2" borderId="51" xfId="0" applyFont="1" applyFill="1" applyBorder="1" applyAlignment="1" applyProtection="1">
      <alignment horizontal="center" vertical="center" wrapText="1" shrinkToFit="1"/>
      <protection locked="0" hidden="1"/>
    </xf>
    <xf numFmtId="0" fontId="48" fillId="2" borderId="0" xfId="0" applyFont="1" applyFill="1" applyAlignment="1" applyProtection="1">
      <alignment horizontal="center" vertical="center" wrapText="1" shrinkToFit="1"/>
      <protection locked="0" hidden="1"/>
    </xf>
    <xf numFmtId="0" fontId="48" fillId="2" borderId="50" xfId="0" applyFont="1" applyFill="1" applyBorder="1" applyAlignment="1" applyProtection="1">
      <alignment horizontal="center" vertical="center" wrapText="1" shrinkToFit="1"/>
      <protection locked="0" hidden="1"/>
    </xf>
    <xf numFmtId="182" fontId="47" fillId="2" borderId="53" xfId="0" applyNumberFormat="1" applyFont="1" applyFill="1" applyBorder="1" applyAlignment="1" applyProtection="1">
      <alignment horizontal="center" vertical="center" shrinkToFit="1"/>
      <protection locked="0"/>
    </xf>
    <xf numFmtId="182" fontId="47" fillId="8" borderId="46" xfId="0" applyNumberFormat="1" applyFont="1" applyFill="1" applyBorder="1" applyAlignment="1" applyProtection="1">
      <alignment horizontal="center" vertical="center" shrinkToFit="1"/>
      <protection hidden="1"/>
    </xf>
    <xf numFmtId="182" fontId="47" fillId="8" borderId="0" xfId="0" applyNumberFormat="1" applyFont="1" applyFill="1" applyAlignment="1" applyProtection="1">
      <alignment horizontal="center" vertical="center" shrinkToFit="1"/>
      <protection hidden="1"/>
    </xf>
    <xf numFmtId="182" fontId="47" fillId="8" borderId="53" xfId="0" applyNumberFormat="1" applyFont="1" applyFill="1" applyBorder="1" applyAlignment="1" applyProtection="1">
      <alignment horizontal="center" vertical="center" shrinkToFit="1"/>
      <protection hidden="1"/>
    </xf>
    <xf numFmtId="0" fontId="48" fillId="2" borderId="328" xfId="0" applyFont="1" applyFill="1" applyBorder="1" applyAlignment="1" applyProtection="1">
      <alignment horizontal="center" vertical="center" shrinkToFit="1"/>
      <protection locked="0"/>
    </xf>
    <xf numFmtId="0" fontId="48" fillId="2" borderId="327" xfId="0" applyFont="1" applyFill="1" applyBorder="1" applyAlignment="1" applyProtection="1">
      <alignment horizontal="center" vertical="center" shrinkToFit="1"/>
      <protection locked="0"/>
    </xf>
    <xf numFmtId="0" fontId="48" fillId="2" borderId="56" xfId="0" applyFont="1" applyFill="1" applyBorder="1" applyAlignment="1" applyProtection="1">
      <alignment horizontal="center" vertical="center" shrinkToFit="1"/>
      <protection locked="0"/>
    </xf>
    <xf numFmtId="0" fontId="48" fillId="2" borderId="330" xfId="0" applyFont="1" applyFill="1" applyBorder="1" applyAlignment="1" applyProtection="1">
      <alignment horizontal="center" vertical="center" shrinkToFit="1"/>
      <protection locked="0"/>
    </xf>
    <xf numFmtId="0" fontId="48" fillId="2" borderId="329" xfId="0" applyFont="1" applyFill="1" applyBorder="1" applyAlignment="1" applyProtection="1">
      <alignment horizontal="center" vertical="center" shrinkToFit="1"/>
      <protection locked="0"/>
    </xf>
    <xf numFmtId="0" fontId="47" fillId="2" borderId="46" xfId="0" applyFont="1" applyFill="1" applyBorder="1" applyAlignment="1" applyProtection="1">
      <alignment horizontal="center" vertical="center" shrinkToFit="1"/>
      <protection locked="0"/>
    </xf>
    <xf numFmtId="0" fontId="47" fillId="2" borderId="62" xfId="0" applyFont="1" applyFill="1" applyBorder="1" applyAlignment="1" applyProtection="1">
      <alignment horizontal="center" vertical="center" shrinkToFit="1"/>
      <protection locked="0"/>
    </xf>
    <xf numFmtId="0" fontId="47" fillId="2" borderId="0" xfId="0" applyFont="1" applyFill="1" applyAlignment="1" applyProtection="1">
      <alignment horizontal="center" vertical="center" shrinkToFit="1"/>
      <protection locked="0"/>
    </xf>
    <xf numFmtId="0" fontId="47" fillId="2" borderId="64" xfId="0" applyFont="1" applyFill="1" applyBorder="1" applyAlignment="1" applyProtection="1">
      <alignment horizontal="center" vertical="center" shrinkToFit="1"/>
      <protection locked="0"/>
    </xf>
    <xf numFmtId="0" fontId="47" fillId="2" borderId="53" xfId="0" applyFont="1" applyFill="1" applyBorder="1" applyAlignment="1" applyProtection="1">
      <alignment horizontal="center" vertical="center" shrinkToFit="1"/>
      <protection locked="0"/>
    </xf>
    <xf numFmtId="0" fontId="47" fillId="2" borderId="69" xfId="0" applyFont="1" applyFill="1" applyBorder="1" applyAlignment="1" applyProtection="1">
      <alignment horizontal="center" vertical="center" shrinkToFit="1"/>
      <protection locked="0"/>
    </xf>
    <xf numFmtId="0" fontId="47" fillId="2" borderId="48" xfId="0" applyFont="1" applyFill="1" applyBorder="1" applyAlignment="1" applyProtection="1">
      <alignment horizontal="center" vertical="center" shrinkToFit="1"/>
      <protection locked="0"/>
    </xf>
    <xf numFmtId="0" fontId="47" fillId="2" borderId="196" xfId="0" applyFont="1" applyFill="1" applyBorder="1" applyAlignment="1" applyProtection="1">
      <alignment horizontal="center" vertical="center" shrinkToFit="1"/>
      <protection locked="0"/>
    </xf>
    <xf numFmtId="0" fontId="47" fillId="2" borderId="55" xfId="0" applyFont="1" applyFill="1" applyBorder="1" applyAlignment="1" applyProtection="1">
      <alignment horizontal="center" vertical="center" shrinkToFit="1"/>
      <protection locked="0"/>
    </xf>
    <xf numFmtId="0" fontId="47" fillId="2" borderId="49" xfId="0" applyFont="1" applyFill="1" applyBorder="1" applyAlignment="1" applyProtection="1">
      <alignment horizontal="center" vertical="center" shrinkToFit="1"/>
      <protection locked="0"/>
    </xf>
    <xf numFmtId="0" fontId="47" fillId="2" borderId="56" xfId="0" applyFont="1" applyFill="1" applyBorder="1" applyAlignment="1" applyProtection="1">
      <alignment horizontal="center" vertical="center" shrinkToFit="1"/>
      <protection locked="0"/>
    </xf>
    <xf numFmtId="0" fontId="47" fillId="2" borderId="39" xfId="0" applyFont="1" applyFill="1" applyBorder="1" applyAlignment="1" applyProtection="1">
      <alignment horizontal="center" vertical="center" shrinkToFit="1"/>
      <protection locked="0"/>
    </xf>
    <xf numFmtId="0" fontId="47" fillId="2" borderId="61" xfId="0" applyFont="1" applyFill="1" applyBorder="1" applyAlignment="1" applyProtection="1">
      <alignment horizontal="center" vertical="center" shrinkToFit="1"/>
      <protection locked="0"/>
    </xf>
    <xf numFmtId="0" fontId="47" fillId="2" borderId="54" xfId="0" applyFont="1" applyFill="1" applyBorder="1" applyAlignment="1" applyProtection="1">
      <alignment horizontal="center" vertical="center" shrinkToFit="1"/>
      <protection locked="0"/>
    </xf>
    <xf numFmtId="0" fontId="31" fillId="11" borderId="739" xfId="0" applyFont="1" applyFill="1" applyBorder="1" applyAlignment="1" applyProtection="1">
      <alignment horizontal="center" vertical="center" wrapText="1" shrinkToFit="1"/>
      <protection hidden="1"/>
    </xf>
    <xf numFmtId="0" fontId="47" fillId="2" borderId="448" xfId="0" applyFont="1" applyFill="1" applyBorder="1" applyAlignment="1" applyProtection="1">
      <alignment horizontal="center" vertical="center" shrinkToFit="1"/>
      <protection locked="0"/>
    </xf>
    <xf numFmtId="0" fontId="47" fillId="2" borderId="449" xfId="0" applyFont="1" applyFill="1" applyBorder="1" applyAlignment="1" applyProtection="1">
      <alignment horizontal="center" vertical="center" shrinkToFit="1"/>
      <protection locked="0"/>
    </xf>
    <xf numFmtId="0" fontId="31" fillId="11" borderId="72" xfId="0" applyFont="1" applyFill="1" applyBorder="1" applyAlignment="1" applyProtection="1">
      <alignment horizontal="center" vertical="center" wrapText="1" shrinkToFit="1"/>
      <protection hidden="1"/>
    </xf>
    <xf numFmtId="0" fontId="31" fillId="11" borderId="47" xfId="0" applyFont="1" applyFill="1" applyBorder="1" applyAlignment="1" applyProtection="1">
      <alignment horizontal="center" vertical="center" wrapText="1" shrinkToFit="1"/>
      <protection hidden="1"/>
    </xf>
    <xf numFmtId="0" fontId="31" fillId="11" borderId="71" xfId="0" applyFont="1" applyFill="1" applyBorder="1" applyAlignment="1" applyProtection="1">
      <alignment horizontal="center" vertical="center" wrapText="1" shrinkToFit="1"/>
      <protection hidden="1"/>
    </xf>
    <xf numFmtId="0" fontId="35" fillId="0" borderId="72" xfId="0" applyFont="1" applyBorder="1" applyAlignment="1" applyProtection="1">
      <alignment horizontal="left" vertical="center" wrapText="1"/>
      <protection hidden="1"/>
    </xf>
    <xf numFmtId="0" fontId="35" fillId="0" borderId="46" xfId="0" applyFont="1" applyBorder="1" applyAlignment="1" applyProtection="1">
      <alignment horizontal="left" vertical="center" wrapText="1"/>
      <protection hidden="1"/>
    </xf>
    <xf numFmtId="0" fontId="35" fillId="0" borderId="62" xfId="0" applyFont="1" applyBorder="1" applyAlignment="1" applyProtection="1">
      <alignment horizontal="left" vertical="center" wrapText="1"/>
      <protection hidden="1"/>
    </xf>
    <xf numFmtId="0" fontId="35" fillId="0" borderId="47" xfId="0" applyFont="1" applyBorder="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35" fillId="0" borderId="64" xfId="0" applyFont="1" applyBorder="1" applyAlignment="1" applyProtection="1">
      <alignment horizontal="left" vertical="center" wrapText="1"/>
      <protection hidden="1"/>
    </xf>
    <xf numFmtId="0" fontId="35" fillId="0" borderId="71" xfId="0" applyFont="1" applyBorder="1" applyAlignment="1" applyProtection="1">
      <alignment horizontal="left" vertical="center" wrapText="1"/>
      <protection hidden="1"/>
    </xf>
    <xf numFmtId="0" fontId="35" fillId="0" borderId="53" xfId="0" applyFont="1" applyBorder="1" applyAlignment="1" applyProtection="1">
      <alignment horizontal="left" vertical="center" wrapText="1"/>
      <protection hidden="1"/>
    </xf>
    <xf numFmtId="0" fontId="35" fillId="0" borderId="69" xfId="0" applyFont="1" applyBorder="1" applyAlignment="1" applyProtection="1">
      <alignment horizontal="left" vertical="center" wrapText="1"/>
      <protection hidden="1"/>
    </xf>
    <xf numFmtId="0" fontId="48" fillId="2" borderId="55" xfId="0" applyFont="1" applyFill="1" applyBorder="1" applyAlignment="1" applyProtection="1">
      <alignment horizontal="center" vertical="center" shrinkToFit="1"/>
      <protection locked="0"/>
    </xf>
    <xf numFmtId="0" fontId="48" fillId="2" borderId="61" xfId="0" applyFont="1" applyFill="1" applyBorder="1" applyAlignment="1" applyProtection="1">
      <alignment horizontal="center" vertical="center" shrinkToFit="1"/>
      <protection locked="0"/>
    </xf>
    <xf numFmtId="0" fontId="48" fillId="2" borderId="53" xfId="0" applyFont="1" applyFill="1" applyBorder="1" applyAlignment="1" applyProtection="1">
      <alignment horizontal="center" vertical="center" shrinkToFit="1"/>
      <protection locked="0"/>
    </xf>
    <xf numFmtId="0" fontId="48" fillId="2" borderId="69" xfId="0" applyFont="1" applyFill="1" applyBorder="1" applyAlignment="1" applyProtection="1">
      <alignment horizontal="center" vertical="center" shrinkToFit="1"/>
      <protection locked="0"/>
    </xf>
    <xf numFmtId="0" fontId="40" fillId="9" borderId="70" xfId="0" applyFont="1" applyFill="1" applyBorder="1" applyAlignment="1" applyProtection="1">
      <alignment horizontal="left" vertical="center"/>
      <protection hidden="1"/>
    </xf>
    <xf numFmtId="0" fontId="40" fillId="9" borderId="51" xfId="0" applyFont="1" applyFill="1" applyBorder="1" applyAlignment="1" applyProtection="1">
      <alignment horizontal="left" vertical="center"/>
      <protection hidden="1"/>
    </xf>
    <xf numFmtId="0" fontId="40" fillId="9" borderId="71" xfId="0" applyFont="1" applyFill="1" applyBorder="1" applyAlignment="1" applyProtection="1">
      <alignment horizontal="left" vertical="center"/>
      <protection hidden="1"/>
    </xf>
    <xf numFmtId="0" fontId="40" fillId="9" borderId="53" xfId="0" applyFont="1" applyFill="1" applyBorder="1" applyAlignment="1" applyProtection="1">
      <alignment horizontal="left" vertical="center"/>
      <protection hidden="1"/>
    </xf>
    <xf numFmtId="0" fontId="40" fillId="9" borderId="0" xfId="0" applyFont="1" applyFill="1" applyAlignment="1" applyProtection="1">
      <alignment horizontal="left" vertical="center"/>
      <protection hidden="1"/>
    </xf>
    <xf numFmtId="0" fontId="41" fillId="9" borderId="51" xfId="0" applyFont="1" applyFill="1" applyBorder="1" applyAlignment="1" applyProtection="1">
      <alignment horizontal="right" vertical="center"/>
      <protection hidden="1"/>
    </xf>
    <xf numFmtId="0" fontId="41" fillId="9" borderId="52" xfId="0" applyFont="1" applyFill="1" applyBorder="1" applyAlignment="1" applyProtection="1">
      <alignment horizontal="right" vertical="center"/>
      <protection hidden="1"/>
    </xf>
    <xf numFmtId="0" fontId="41" fillId="9" borderId="0" xfId="0" applyFont="1" applyFill="1" applyAlignment="1" applyProtection="1">
      <alignment horizontal="right" vertical="center"/>
      <protection hidden="1"/>
    </xf>
    <xf numFmtId="0" fontId="41" fillId="9" borderId="53" xfId="0" applyFont="1" applyFill="1" applyBorder="1" applyAlignment="1" applyProtection="1">
      <alignment horizontal="right" vertical="center"/>
      <protection hidden="1"/>
    </xf>
    <xf numFmtId="0" fontId="41" fillId="9" borderId="54" xfId="0" applyFont="1" applyFill="1" applyBorder="1" applyAlignment="1" applyProtection="1">
      <alignment horizontal="right" vertical="center"/>
      <protection hidden="1"/>
    </xf>
    <xf numFmtId="0" fontId="66" fillId="2" borderId="55" xfId="0" applyFont="1" applyFill="1" applyBorder="1" applyAlignment="1" applyProtection="1">
      <alignment horizontal="center" vertical="center"/>
      <protection locked="0" hidden="1"/>
    </xf>
    <xf numFmtId="0" fontId="66" fillId="2" borderId="62" xfId="0" applyFont="1" applyFill="1" applyBorder="1" applyAlignment="1" applyProtection="1">
      <alignment horizontal="center" vertical="center"/>
      <protection locked="0" hidden="1"/>
    </xf>
    <xf numFmtId="0" fontId="66" fillId="2" borderId="56" xfId="0" applyFont="1" applyFill="1" applyBorder="1" applyAlignment="1" applyProtection="1">
      <alignment horizontal="center" vertical="center"/>
      <protection locked="0" hidden="1"/>
    </xf>
    <xf numFmtId="0" fontId="66" fillId="2" borderId="64" xfId="0" applyFont="1" applyFill="1" applyBorder="1" applyAlignment="1" applyProtection="1">
      <alignment horizontal="center" vertical="center"/>
      <protection locked="0" hidden="1"/>
    </xf>
    <xf numFmtId="0" fontId="22" fillId="11" borderId="55" xfId="0" applyFont="1" applyFill="1" applyBorder="1" applyAlignment="1" applyProtection="1">
      <alignment horizontal="center" vertical="center"/>
      <protection hidden="1"/>
    </xf>
    <xf numFmtId="0" fontId="22" fillId="11" borderId="46" xfId="0" applyFont="1" applyFill="1" applyBorder="1" applyAlignment="1" applyProtection="1">
      <alignment horizontal="center" vertical="center"/>
      <protection hidden="1"/>
    </xf>
    <xf numFmtId="0" fontId="22" fillId="11" borderId="62" xfId="0" applyFont="1" applyFill="1" applyBorder="1" applyAlignment="1" applyProtection="1">
      <alignment horizontal="center" vertical="center"/>
      <protection hidden="1"/>
    </xf>
    <xf numFmtId="0" fontId="22" fillId="11" borderId="56" xfId="0" applyFont="1" applyFill="1" applyBorder="1" applyAlignment="1" applyProtection="1">
      <alignment horizontal="center" vertical="center"/>
      <protection hidden="1"/>
    </xf>
    <xf numFmtId="0" fontId="22" fillId="11" borderId="0" xfId="0" applyFont="1" applyFill="1" applyAlignment="1" applyProtection="1">
      <alignment horizontal="center" vertical="center"/>
      <protection hidden="1"/>
    </xf>
    <xf numFmtId="0" fontId="22" fillId="11" borderId="64" xfId="0" applyFont="1" applyFill="1" applyBorder="1" applyAlignment="1" applyProtection="1">
      <alignment horizontal="center" vertical="center"/>
      <protection hidden="1"/>
    </xf>
    <xf numFmtId="0" fontId="31" fillId="11" borderId="252" xfId="0" applyFont="1" applyFill="1" applyBorder="1" applyAlignment="1" applyProtection="1">
      <alignment horizontal="center" vertical="center" wrapText="1" shrinkToFit="1"/>
      <protection hidden="1"/>
    </xf>
    <xf numFmtId="0" fontId="31" fillId="11" borderId="190" xfId="0" applyFont="1" applyFill="1" applyBorder="1" applyAlignment="1" applyProtection="1">
      <alignment horizontal="center" vertical="center" wrapText="1" shrinkToFit="1"/>
      <protection hidden="1"/>
    </xf>
    <xf numFmtId="9" fontId="45" fillId="18" borderId="95" xfId="17" applyFont="1" applyFill="1" applyBorder="1" applyAlignment="1" applyProtection="1">
      <alignment vertical="center" shrinkToFit="1"/>
      <protection hidden="1"/>
    </xf>
    <xf numFmtId="9" fontId="45" fillId="18" borderId="48" xfId="17" applyFont="1" applyFill="1" applyBorder="1" applyAlignment="1" applyProtection="1">
      <alignment vertical="center" shrinkToFit="1"/>
      <protection hidden="1"/>
    </xf>
    <xf numFmtId="9" fontId="45" fillId="18" borderId="53" xfId="17" applyFont="1" applyFill="1" applyBorder="1" applyAlignment="1" applyProtection="1">
      <alignment vertical="center" shrinkToFit="1"/>
      <protection hidden="1"/>
    </xf>
    <xf numFmtId="9" fontId="45" fillId="18" borderId="148" xfId="17" applyFont="1" applyFill="1" applyBorder="1" applyAlignment="1" applyProtection="1">
      <alignment vertical="center" shrinkToFit="1"/>
      <protection hidden="1"/>
    </xf>
    <xf numFmtId="180" fontId="47" fillId="8" borderId="138" xfId="0" applyNumberFormat="1" applyFont="1" applyFill="1" applyBorder="1" applyAlignment="1" applyProtection="1">
      <alignment horizontal="right" vertical="center" shrinkToFit="1"/>
      <protection hidden="1"/>
    </xf>
    <xf numFmtId="180" fontId="47" fillId="8" borderId="135" xfId="0" applyNumberFormat="1" applyFont="1" applyFill="1" applyBorder="1" applyAlignment="1" applyProtection="1">
      <alignment horizontal="right" vertical="center" shrinkToFit="1"/>
      <protection hidden="1"/>
    </xf>
    <xf numFmtId="180" fontId="47" fillId="8" borderId="141" xfId="0" applyNumberFormat="1" applyFont="1" applyFill="1" applyBorder="1" applyAlignment="1" applyProtection="1">
      <alignment horizontal="right" vertical="center" shrinkToFit="1"/>
      <protection hidden="1"/>
    </xf>
    <xf numFmtId="180" fontId="47" fillId="8" borderId="136" xfId="0" applyNumberFormat="1" applyFont="1" applyFill="1" applyBorder="1" applyAlignment="1" applyProtection="1">
      <alignment horizontal="right" vertical="center" shrinkToFit="1"/>
      <protection hidden="1"/>
    </xf>
    <xf numFmtId="180" fontId="47" fillId="8" borderId="142" xfId="0" applyNumberFormat="1" applyFont="1" applyFill="1" applyBorder="1" applyAlignment="1" applyProtection="1">
      <alignment horizontal="right" vertical="center" shrinkToFit="1"/>
      <protection hidden="1"/>
    </xf>
    <xf numFmtId="180" fontId="47" fillId="8" borderId="143" xfId="0" applyNumberFormat="1" applyFont="1" applyFill="1" applyBorder="1" applyAlignment="1" applyProtection="1">
      <alignment horizontal="right" vertical="center" shrinkToFit="1"/>
      <protection hidden="1"/>
    </xf>
    <xf numFmtId="180" fontId="47" fillId="8" borderId="135" xfId="0" applyNumberFormat="1" applyFont="1" applyFill="1" applyBorder="1" applyAlignment="1" applyProtection="1">
      <alignment horizontal="center" vertical="center" shrinkToFit="1"/>
      <protection hidden="1"/>
    </xf>
    <xf numFmtId="180" fontId="47" fillId="8" borderId="136" xfId="0" applyNumberFormat="1" applyFont="1" applyFill="1" applyBorder="1" applyAlignment="1" applyProtection="1">
      <alignment horizontal="center" vertical="center" shrinkToFit="1"/>
      <protection hidden="1"/>
    </xf>
    <xf numFmtId="180" fontId="47" fillId="8" borderId="143" xfId="0" applyNumberFormat="1" applyFont="1" applyFill="1" applyBorder="1" applyAlignment="1" applyProtection="1">
      <alignment horizontal="center" vertical="center" shrinkToFit="1"/>
      <protection hidden="1"/>
    </xf>
    <xf numFmtId="0" fontId="47" fillId="2" borderId="55" xfId="0" applyFont="1" applyFill="1" applyBorder="1" applyAlignment="1" applyProtection="1">
      <alignment horizontal="center" vertical="center" shrinkToFit="1"/>
      <protection locked="0" hidden="1"/>
    </xf>
    <xf numFmtId="0" fontId="47" fillId="2" borderId="46" xfId="0" applyFont="1" applyFill="1" applyBorder="1" applyAlignment="1" applyProtection="1">
      <alignment horizontal="center" vertical="center" shrinkToFit="1"/>
      <protection locked="0" hidden="1"/>
    </xf>
    <xf numFmtId="0" fontId="47" fillId="2" borderId="56" xfId="0" applyFont="1" applyFill="1" applyBorder="1" applyAlignment="1" applyProtection="1">
      <alignment horizontal="center" vertical="center" shrinkToFit="1"/>
      <protection locked="0" hidden="1"/>
    </xf>
    <xf numFmtId="0" fontId="47" fillId="2" borderId="0" xfId="0" applyFont="1" applyFill="1" applyAlignment="1" applyProtection="1">
      <alignment horizontal="center" vertical="center" shrinkToFit="1"/>
      <protection locked="0" hidden="1"/>
    </xf>
    <xf numFmtId="0" fontId="20" fillId="0" borderId="55" xfId="0" applyFont="1" applyBorder="1" applyAlignment="1" applyProtection="1">
      <alignment horizontal="center" vertical="center"/>
      <protection locked="0" hidden="1"/>
    </xf>
    <xf numFmtId="0" fontId="20" fillId="0" borderId="46" xfId="0" applyFont="1" applyBorder="1" applyAlignment="1" applyProtection="1">
      <alignment horizontal="center" vertical="center"/>
      <protection locked="0" hidden="1"/>
    </xf>
    <xf numFmtId="0" fontId="20" fillId="0" borderId="49" xfId="0" applyFont="1" applyBorder="1" applyAlignment="1" applyProtection="1">
      <alignment horizontal="center" vertical="center"/>
      <protection locked="0" hidden="1"/>
    </xf>
    <xf numFmtId="0" fontId="20" fillId="0" borderId="56" xfId="0" applyFont="1" applyBorder="1" applyAlignment="1" applyProtection="1">
      <alignment horizontal="center" vertical="center"/>
      <protection locked="0" hidden="1"/>
    </xf>
    <xf numFmtId="0" fontId="20" fillId="0" borderId="0" xfId="0" applyFont="1" applyAlignment="1" applyProtection="1">
      <alignment horizontal="center" vertical="center"/>
      <protection locked="0" hidden="1"/>
    </xf>
    <xf numFmtId="0" fontId="20" fillId="0" borderId="39" xfId="0" applyFont="1" applyBorder="1" applyAlignment="1" applyProtection="1">
      <alignment horizontal="center" vertical="center"/>
      <protection locked="0" hidden="1"/>
    </xf>
    <xf numFmtId="0" fontId="20" fillId="0" borderId="61" xfId="0" applyFont="1" applyBorder="1" applyAlignment="1" applyProtection="1">
      <alignment horizontal="center" vertical="center"/>
      <protection locked="0" hidden="1"/>
    </xf>
    <xf numFmtId="0" fontId="20" fillId="0" borderId="53" xfId="0" applyFont="1" applyBorder="1" applyAlignment="1" applyProtection="1">
      <alignment horizontal="center" vertical="center"/>
      <protection locked="0" hidden="1"/>
    </xf>
    <xf numFmtId="0" fontId="20" fillId="0" borderId="54" xfId="0" applyFont="1" applyBorder="1" applyAlignment="1" applyProtection="1">
      <alignment horizontal="center" vertical="center"/>
      <protection locked="0" hidden="1"/>
    </xf>
    <xf numFmtId="0" fontId="66" fillId="2" borderId="46" xfId="0" applyFont="1" applyFill="1" applyBorder="1" applyAlignment="1" applyProtection="1">
      <alignment horizontal="center" vertical="center" shrinkToFit="1"/>
      <protection locked="0" hidden="1"/>
    </xf>
    <xf numFmtId="0" fontId="66" fillId="2" borderId="49" xfId="0" applyFont="1" applyFill="1" applyBorder="1" applyAlignment="1" applyProtection="1">
      <alignment horizontal="center" vertical="center" shrinkToFit="1"/>
      <protection locked="0" hidden="1"/>
    </xf>
    <xf numFmtId="0" fontId="66" fillId="2" borderId="0" xfId="0" applyFont="1" applyFill="1" applyAlignment="1" applyProtection="1">
      <alignment horizontal="center" vertical="center" shrinkToFit="1"/>
      <protection locked="0" hidden="1"/>
    </xf>
    <xf numFmtId="0" fontId="66" fillId="2" borderId="39" xfId="0" applyFont="1" applyFill="1" applyBorder="1" applyAlignment="1" applyProtection="1">
      <alignment horizontal="center" vertical="center" shrinkToFit="1"/>
      <protection locked="0" hidden="1"/>
    </xf>
    <xf numFmtId="3" fontId="31" fillId="11" borderId="742" xfId="0" applyNumberFormat="1" applyFont="1" applyFill="1" applyBorder="1" applyAlignment="1" applyProtection="1">
      <alignment horizontal="center" vertical="center" wrapText="1"/>
      <protection hidden="1"/>
    </xf>
    <xf numFmtId="3" fontId="31" fillId="11" borderId="96" xfId="0" applyNumberFormat="1" applyFont="1" applyFill="1" applyBorder="1" applyAlignment="1" applyProtection="1">
      <alignment horizontal="center" vertical="center" wrapText="1"/>
      <protection hidden="1"/>
    </xf>
    <xf numFmtId="3" fontId="31" fillId="11" borderId="0" xfId="0" applyNumberFormat="1" applyFont="1" applyFill="1" applyAlignment="1" applyProtection="1">
      <alignment horizontal="center" vertical="center" wrapText="1"/>
      <protection hidden="1"/>
    </xf>
    <xf numFmtId="3" fontId="31" fillId="11" borderId="441" xfId="0" applyNumberFormat="1" applyFont="1" applyFill="1" applyBorder="1" applyAlignment="1" applyProtection="1">
      <alignment horizontal="center" vertical="center" wrapText="1"/>
      <protection hidden="1"/>
    </xf>
    <xf numFmtId="3" fontId="31" fillId="11" borderId="442" xfId="0" applyNumberFormat="1" applyFont="1" applyFill="1" applyBorder="1" applyAlignment="1" applyProtection="1">
      <alignment horizontal="center" vertical="center" wrapText="1"/>
      <protection hidden="1"/>
    </xf>
    <xf numFmtId="3" fontId="31" fillId="11" borderId="50" xfId="0" applyNumberFormat="1" applyFont="1" applyFill="1" applyBorder="1" applyAlignment="1" applyProtection="1">
      <alignment horizontal="center" vertical="center" wrapText="1"/>
      <protection hidden="1"/>
    </xf>
    <xf numFmtId="0" fontId="37" fillId="2" borderId="50" xfId="0" applyFont="1" applyFill="1" applyBorder="1" applyAlignment="1" applyProtection="1">
      <alignment horizontal="center" vertical="center" wrapText="1" shrinkToFit="1"/>
      <protection locked="0" hidden="1"/>
    </xf>
    <xf numFmtId="0" fontId="31" fillId="11" borderId="0" xfId="0" applyFont="1" applyFill="1" applyAlignment="1" applyProtection="1">
      <alignment horizontal="center" vertical="center" shrinkToFit="1"/>
      <protection hidden="1"/>
    </xf>
    <xf numFmtId="0" fontId="31" fillId="11" borderId="50" xfId="0" applyFont="1" applyFill="1" applyBorder="1" applyAlignment="1" applyProtection="1">
      <alignment horizontal="center" vertical="center" shrinkToFit="1"/>
      <protection hidden="1"/>
    </xf>
    <xf numFmtId="0" fontId="28" fillId="2" borderId="51" xfId="0" applyFont="1" applyFill="1" applyBorder="1" applyAlignment="1" applyProtection="1">
      <alignment horizontal="center" vertical="center" shrinkToFit="1"/>
      <protection locked="0"/>
    </xf>
    <xf numFmtId="0" fontId="28" fillId="2" borderId="0" xfId="0" applyFont="1" applyFill="1" applyAlignment="1" applyProtection="1">
      <alignment horizontal="center" vertical="center" shrinkToFit="1"/>
      <protection locked="0"/>
    </xf>
    <xf numFmtId="0" fontId="28" fillId="2" borderId="50" xfId="0" applyFont="1" applyFill="1" applyBorder="1" applyAlignment="1" applyProtection="1">
      <alignment horizontal="center" vertical="center" shrinkToFit="1"/>
      <protection locked="0"/>
    </xf>
    <xf numFmtId="0" fontId="31" fillId="11" borderId="51" xfId="0" applyFont="1" applyFill="1" applyBorder="1" applyAlignment="1" applyProtection="1">
      <alignment horizontal="center" vertical="center" shrinkToFit="1"/>
      <protection hidden="1"/>
    </xf>
    <xf numFmtId="0" fontId="37" fillId="20" borderId="445" xfId="0" applyFont="1" applyFill="1" applyBorder="1" applyAlignment="1" applyProtection="1">
      <alignment vertical="center" wrapText="1" shrinkToFit="1"/>
      <protection hidden="1"/>
    </xf>
    <xf numFmtId="0" fontId="37" fillId="20" borderId="51" xfId="0" applyFont="1" applyFill="1" applyBorder="1" applyAlignment="1" applyProtection="1">
      <alignment vertical="center" wrapText="1" shrinkToFit="1"/>
      <protection hidden="1"/>
    </xf>
    <xf numFmtId="0" fontId="37" fillId="20" borderId="444" xfId="0" applyFont="1" applyFill="1" applyBorder="1" applyAlignment="1" applyProtection="1">
      <alignment vertical="center" wrapText="1" shrinkToFit="1"/>
      <protection hidden="1"/>
    </xf>
    <xf numFmtId="0" fontId="37" fillId="20" borderId="441" xfId="0" applyFont="1" applyFill="1" applyBorder="1" applyAlignment="1" applyProtection="1">
      <alignment vertical="center" wrapText="1" shrinkToFit="1"/>
      <protection hidden="1"/>
    </xf>
    <xf numFmtId="0" fontId="37" fillId="20" borderId="0" xfId="0" applyFont="1" applyFill="1" applyAlignment="1" applyProtection="1">
      <alignment vertical="center" wrapText="1" shrinkToFit="1"/>
      <protection hidden="1"/>
    </xf>
    <xf numFmtId="0" fontId="37" fillId="20" borderId="67" xfId="0" applyFont="1" applyFill="1" applyBorder="1" applyAlignment="1" applyProtection="1">
      <alignment vertical="center" wrapText="1" shrinkToFit="1"/>
      <protection hidden="1"/>
    </xf>
    <xf numFmtId="0" fontId="37" fillId="20" borderId="442" xfId="0" applyFont="1" applyFill="1" applyBorder="1" applyAlignment="1" applyProtection="1">
      <alignment vertical="center" wrapText="1" shrinkToFit="1"/>
      <protection hidden="1"/>
    </xf>
    <xf numFmtId="0" fontId="37" fillId="20" borderId="50" xfId="0" applyFont="1" applyFill="1" applyBorder="1" applyAlignment="1" applyProtection="1">
      <alignment vertical="center" wrapText="1" shrinkToFit="1"/>
      <protection hidden="1"/>
    </xf>
    <xf numFmtId="0" fontId="37" fillId="20" borderId="195" xfId="0" applyFont="1" applyFill="1" applyBorder="1" applyAlignment="1" applyProtection="1">
      <alignment vertical="center" wrapText="1" shrinkToFit="1"/>
      <protection hidden="1"/>
    </xf>
    <xf numFmtId="0" fontId="37" fillId="0" borderId="443" xfId="0" applyFont="1" applyBorder="1" applyAlignment="1" applyProtection="1">
      <alignment horizontal="left" vertical="center" wrapText="1" shrinkToFit="1"/>
      <protection hidden="1"/>
    </xf>
    <xf numFmtId="0" fontId="37" fillId="0" borderId="51" xfId="0" applyFont="1" applyBorder="1" applyAlignment="1" applyProtection="1">
      <alignment horizontal="left" vertical="center" wrapText="1" shrinkToFit="1"/>
      <protection hidden="1"/>
    </xf>
    <xf numFmtId="0" fontId="37" fillId="0" borderId="444" xfId="0" applyFont="1" applyBorder="1" applyAlignment="1" applyProtection="1">
      <alignment horizontal="left" vertical="center" wrapText="1" shrinkToFit="1"/>
      <protection hidden="1"/>
    </xf>
    <xf numFmtId="0" fontId="37" fillId="0" borderId="63" xfId="0" applyFont="1" applyBorder="1" applyAlignment="1" applyProtection="1">
      <alignment horizontal="left" vertical="center" wrapText="1" shrinkToFit="1"/>
      <protection hidden="1"/>
    </xf>
    <xf numFmtId="0" fontId="37" fillId="0" borderId="0" xfId="0" applyFont="1" applyAlignment="1" applyProtection="1">
      <alignment horizontal="left" vertical="center" wrapText="1" shrinkToFit="1"/>
      <protection hidden="1"/>
    </xf>
    <xf numFmtId="0" fontId="37" fillId="0" borderId="67" xfId="0" applyFont="1" applyBorder="1" applyAlignment="1" applyProtection="1">
      <alignment horizontal="left" vertical="center" wrapText="1" shrinkToFit="1"/>
      <protection hidden="1"/>
    </xf>
    <xf numFmtId="0" fontId="37" fillId="0" borderId="192" xfId="0" applyFont="1" applyBorder="1" applyAlignment="1" applyProtection="1">
      <alignment horizontal="left" vertical="center" wrapText="1" shrinkToFit="1"/>
      <protection hidden="1"/>
    </xf>
    <xf numFmtId="0" fontId="37" fillId="0" borderId="50" xfId="0" applyFont="1" applyBorder="1" applyAlignment="1" applyProtection="1">
      <alignment horizontal="left" vertical="center" wrapText="1" shrinkToFit="1"/>
      <protection hidden="1"/>
    </xf>
    <xf numFmtId="0" fontId="37" fillId="0" borderId="195" xfId="0" applyFont="1" applyBorder="1" applyAlignment="1" applyProtection="1">
      <alignment horizontal="left" vertical="center" wrapText="1" shrinkToFit="1"/>
      <protection hidden="1"/>
    </xf>
    <xf numFmtId="0" fontId="37" fillId="20" borderId="243" xfId="0" applyFont="1" applyFill="1" applyBorder="1" applyAlignment="1" applyProtection="1">
      <alignment vertical="center" wrapText="1" shrinkToFit="1"/>
      <protection hidden="1"/>
    </xf>
    <xf numFmtId="0" fontId="37" fillId="20" borderId="241" xfId="0" applyFont="1" applyFill="1" applyBorder="1" applyAlignment="1" applyProtection="1">
      <alignment vertical="center" wrapText="1" shrinkToFit="1"/>
      <protection hidden="1"/>
    </xf>
    <xf numFmtId="0" fontId="37" fillId="20" borderId="259" xfId="0" applyFont="1" applyFill="1" applyBorder="1" applyAlignment="1" applyProtection="1">
      <alignment vertical="center" wrapText="1" shrinkToFit="1"/>
      <protection hidden="1"/>
    </xf>
    <xf numFmtId="0" fontId="37" fillId="20" borderId="100" xfId="0" applyFont="1" applyFill="1" applyBorder="1" applyAlignment="1" applyProtection="1">
      <alignment vertical="center" wrapText="1" shrinkToFit="1"/>
      <protection hidden="1"/>
    </xf>
    <xf numFmtId="0" fontId="37" fillId="20" borderId="244" xfId="0" applyFont="1" applyFill="1" applyBorder="1" applyAlignment="1" applyProtection="1">
      <alignment vertical="center" wrapText="1" shrinkToFit="1"/>
      <protection hidden="1"/>
    </xf>
    <xf numFmtId="0" fontId="37" fillId="20" borderId="198" xfId="0" applyFont="1" applyFill="1" applyBorder="1" applyAlignment="1" applyProtection="1">
      <alignment vertical="center" wrapText="1" shrinkToFit="1"/>
      <protection hidden="1"/>
    </xf>
    <xf numFmtId="0" fontId="37" fillId="0" borderId="241" xfId="0" applyFont="1" applyBorder="1" applyAlignment="1" applyProtection="1">
      <alignment vertical="center" wrapText="1" shrinkToFit="1"/>
      <protection hidden="1"/>
    </xf>
    <xf numFmtId="0" fontId="37" fillId="0" borderId="100" xfId="0" applyFont="1" applyBorder="1" applyAlignment="1" applyProtection="1">
      <alignment vertical="center" wrapText="1" shrinkToFit="1"/>
      <protection hidden="1"/>
    </xf>
    <xf numFmtId="0" fontId="37" fillId="0" borderId="198" xfId="0" applyFont="1" applyBorder="1" applyAlignment="1" applyProtection="1">
      <alignment vertical="center" wrapText="1" shrinkToFit="1"/>
      <protection hidden="1"/>
    </xf>
    <xf numFmtId="0" fontId="18" fillId="2" borderId="0" xfId="1" applyFill="1" applyAlignment="1" applyProtection="1">
      <alignment horizontal="center" vertical="center" shrinkToFit="1"/>
      <protection locked="0"/>
    </xf>
    <xf numFmtId="0" fontId="46" fillId="0" borderId="103" xfId="0" applyFont="1" applyBorder="1" applyAlignment="1" applyProtection="1">
      <alignment horizontal="center" vertical="center" shrinkToFit="1"/>
      <protection locked="0" hidden="1"/>
    </xf>
    <xf numFmtId="0" fontId="46" fillId="0" borderId="245" xfId="0" applyFont="1" applyBorder="1" applyAlignment="1" applyProtection="1">
      <alignment horizontal="center" vertical="center" shrinkToFit="1"/>
      <protection locked="0" hidden="1"/>
    </xf>
    <xf numFmtId="0" fontId="46" fillId="0" borderId="246" xfId="0" applyFont="1" applyBorder="1" applyAlignment="1" applyProtection="1">
      <alignment horizontal="center" vertical="center" shrinkToFit="1"/>
      <protection locked="0" hidden="1"/>
    </xf>
    <xf numFmtId="0" fontId="46" fillId="0" borderId="247" xfId="0" applyFont="1" applyBorder="1" applyAlignment="1" applyProtection="1">
      <alignment horizontal="center" vertical="center" shrinkToFit="1"/>
      <protection locked="0" hidden="1"/>
    </xf>
    <xf numFmtId="0" fontId="43" fillId="0" borderId="145" xfId="0" applyFont="1" applyBorder="1" applyAlignment="1" applyProtection="1">
      <alignment horizontal="right" vertical="center" wrapText="1" shrinkToFit="1"/>
      <protection hidden="1"/>
    </xf>
    <xf numFmtId="0" fontId="43" fillId="0" borderId="146" xfId="0" applyFont="1" applyBorder="1" applyAlignment="1" applyProtection="1">
      <alignment horizontal="right" vertical="center" wrapText="1" shrinkToFit="1"/>
      <protection hidden="1"/>
    </xf>
    <xf numFmtId="0" fontId="43" fillId="0" borderId="147" xfId="0" applyFont="1" applyBorder="1" applyAlignment="1" applyProtection="1">
      <alignment horizontal="right" vertical="center" wrapText="1" shrinkToFit="1"/>
      <protection hidden="1"/>
    </xf>
    <xf numFmtId="180" fontId="47" fillId="8" borderId="0" xfId="0" applyNumberFormat="1" applyFont="1" applyFill="1" applyAlignment="1" applyProtection="1">
      <alignment horizontal="center" vertical="center" shrinkToFit="1"/>
      <protection hidden="1"/>
    </xf>
    <xf numFmtId="180" fontId="47" fillId="8" borderId="64" xfId="0" applyNumberFormat="1" applyFont="1" applyFill="1" applyBorder="1" applyAlignment="1" applyProtection="1">
      <alignment horizontal="center" vertical="center" shrinkToFit="1"/>
      <protection hidden="1"/>
    </xf>
    <xf numFmtId="180" fontId="47" fillId="8" borderId="53" xfId="0" applyNumberFormat="1" applyFont="1" applyFill="1" applyBorder="1" applyAlignment="1" applyProtection="1">
      <alignment horizontal="center" vertical="center" shrinkToFit="1"/>
      <protection hidden="1"/>
    </xf>
    <xf numFmtId="180" fontId="47" fillId="8" borderId="69" xfId="0" applyNumberFormat="1" applyFont="1" applyFill="1" applyBorder="1" applyAlignment="1" applyProtection="1">
      <alignment horizontal="center" vertical="center" shrinkToFit="1"/>
      <protection hidden="1"/>
    </xf>
    <xf numFmtId="38" fontId="47" fillId="2" borderId="56" xfId="2" applyFont="1" applyFill="1" applyBorder="1" applyAlignment="1" applyProtection="1">
      <alignment horizontal="center" vertical="center" shrinkToFit="1"/>
      <protection locked="0"/>
    </xf>
    <xf numFmtId="38" fontId="47" fillId="2" borderId="0" xfId="2" applyFont="1" applyFill="1" applyBorder="1" applyAlignment="1" applyProtection="1">
      <alignment horizontal="center" vertical="center" shrinkToFit="1"/>
      <protection locked="0"/>
    </xf>
    <xf numFmtId="38" fontId="47" fillId="2" borderId="64" xfId="2" applyFont="1" applyFill="1" applyBorder="1" applyAlignment="1" applyProtection="1">
      <alignment horizontal="center" vertical="center" shrinkToFit="1"/>
      <protection locked="0"/>
    </xf>
    <xf numFmtId="38" fontId="47" fillId="2" borderId="61" xfId="2" applyFont="1" applyFill="1" applyBorder="1" applyAlignment="1" applyProtection="1">
      <alignment horizontal="center" vertical="center" shrinkToFit="1"/>
      <protection locked="0"/>
    </xf>
    <xf numFmtId="38" fontId="47" fillId="2" borderId="53" xfId="2" applyFont="1" applyFill="1" applyBorder="1" applyAlignment="1" applyProtection="1">
      <alignment horizontal="center" vertical="center" shrinkToFit="1"/>
      <protection locked="0"/>
    </xf>
    <xf numFmtId="38" fontId="47" fillId="2" borderId="69" xfId="2" applyFont="1" applyFill="1" applyBorder="1" applyAlignment="1" applyProtection="1">
      <alignment horizontal="center" vertical="center" shrinkToFit="1"/>
      <protection locked="0"/>
    </xf>
    <xf numFmtId="0" fontId="41" fillId="9" borderId="51" xfId="0" applyFont="1" applyFill="1" applyBorder="1" applyAlignment="1" applyProtection="1">
      <alignment horizontal="right" vertical="center" shrinkToFit="1"/>
      <protection hidden="1"/>
    </xf>
    <xf numFmtId="0" fontId="41" fillId="9" borderId="52" xfId="0" applyFont="1" applyFill="1" applyBorder="1" applyAlignment="1" applyProtection="1">
      <alignment horizontal="right" vertical="center" shrinkToFit="1"/>
      <protection hidden="1"/>
    </xf>
    <xf numFmtId="0" fontId="41" fillId="9" borderId="0" xfId="0" applyFont="1" applyFill="1" applyAlignment="1" applyProtection="1">
      <alignment horizontal="right" vertical="center" shrinkToFit="1"/>
      <protection hidden="1"/>
    </xf>
    <xf numFmtId="0" fontId="41" fillId="9" borderId="53" xfId="0" applyFont="1" applyFill="1" applyBorder="1" applyAlignment="1" applyProtection="1">
      <alignment horizontal="right" vertical="center" shrinkToFit="1"/>
      <protection hidden="1"/>
    </xf>
    <xf numFmtId="0" fontId="41" fillId="9" borderId="54" xfId="0" applyFont="1" applyFill="1" applyBorder="1" applyAlignment="1" applyProtection="1">
      <alignment horizontal="right" vertical="center" shrinkToFit="1"/>
      <protection hidden="1"/>
    </xf>
    <xf numFmtId="0" fontId="31" fillId="11" borderId="46" xfId="0" applyFont="1" applyFill="1" applyBorder="1" applyAlignment="1" applyProtection="1">
      <alignment horizontal="center" vertical="center" wrapText="1"/>
      <protection hidden="1"/>
    </xf>
    <xf numFmtId="0" fontId="31" fillId="11" borderId="62" xfId="0" applyFont="1" applyFill="1" applyBorder="1" applyAlignment="1" applyProtection="1">
      <alignment horizontal="center" vertical="center" wrapText="1"/>
      <protection hidden="1"/>
    </xf>
    <xf numFmtId="0" fontId="31" fillId="11" borderId="64" xfId="0" applyFont="1" applyFill="1" applyBorder="1" applyAlignment="1" applyProtection="1">
      <alignment horizontal="center" vertical="center" wrapText="1"/>
      <protection hidden="1"/>
    </xf>
    <xf numFmtId="0" fontId="31" fillId="11" borderId="50" xfId="0" applyFont="1" applyFill="1" applyBorder="1" applyAlignment="1" applyProtection="1">
      <alignment horizontal="center" vertical="center" wrapText="1"/>
      <protection hidden="1"/>
    </xf>
    <xf numFmtId="0" fontId="31" fillId="11" borderId="65" xfId="0" applyFont="1" applyFill="1" applyBorder="1" applyAlignment="1" applyProtection="1">
      <alignment horizontal="center" vertical="center" wrapText="1"/>
      <protection hidden="1"/>
    </xf>
    <xf numFmtId="38" fontId="48" fillId="2" borderId="46" xfId="2" applyFont="1" applyFill="1" applyBorder="1" applyAlignment="1" applyProtection="1">
      <alignment horizontal="center" vertical="center"/>
      <protection locked="0"/>
    </xf>
    <xf numFmtId="38" fontId="48" fillId="2" borderId="0" xfId="2" applyFont="1" applyFill="1" applyBorder="1" applyAlignment="1" applyProtection="1">
      <alignment horizontal="center" vertical="center"/>
      <protection locked="0"/>
    </xf>
    <xf numFmtId="38" fontId="48" fillId="2" borderId="50" xfId="2" applyFont="1" applyFill="1" applyBorder="1" applyAlignment="1" applyProtection="1">
      <alignment horizontal="center" vertical="center"/>
      <protection locked="0"/>
    </xf>
    <xf numFmtId="0" fontId="40" fillId="9" borderId="70" xfId="0" applyFont="1" applyFill="1" applyBorder="1" applyAlignment="1" applyProtection="1">
      <alignment horizontal="left" vertical="center" shrinkToFit="1"/>
      <protection hidden="1"/>
    </xf>
    <xf numFmtId="0" fontId="40" fillId="9" borderId="51" xfId="0" applyFont="1" applyFill="1" applyBorder="1" applyAlignment="1" applyProtection="1">
      <alignment horizontal="left" vertical="center" shrinkToFit="1"/>
      <protection hidden="1"/>
    </xf>
    <xf numFmtId="0" fontId="40" fillId="9" borderId="52" xfId="0" applyFont="1" applyFill="1" applyBorder="1" applyAlignment="1" applyProtection="1">
      <alignment horizontal="left" vertical="center" shrinkToFit="1"/>
      <protection hidden="1"/>
    </xf>
    <xf numFmtId="0" fontId="40" fillId="9" borderId="71" xfId="0" applyFont="1" applyFill="1" applyBorder="1" applyAlignment="1" applyProtection="1">
      <alignment horizontal="left" vertical="center" shrinkToFit="1"/>
      <protection hidden="1"/>
    </xf>
    <xf numFmtId="0" fontId="40" fillId="9" borderId="53" xfId="0" applyFont="1" applyFill="1" applyBorder="1" applyAlignment="1" applyProtection="1">
      <alignment horizontal="left" vertical="center" shrinkToFit="1"/>
      <protection hidden="1"/>
    </xf>
    <xf numFmtId="0" fontId="40" fillId="9" borderId="0" xfId="0" applyFont="1" applyFill="1" applyAlignment="1" applyProtection="1">
      <alignment horizontal="left" vertical="center" shrinkToFit="1"/>
      <protection hidden="1"/>
    </xf>
    <xf numFmtId="0" fontId="40" fillId="9" borderId="54" xfId="0" applyFont="1" applyFill="1" applyBorder="1" applyAlignment="1" applyProtection="1">
      <alignment horizontal="left" vertical="center" shrinkToFit="1"/>
      <protection hidden="1"/>
    </xf>
    <xf numFmtId="38" fontId="42" fillId="2" borderId="418" xfId="2" applyFont="1" applyFill="1" applyBorder="1" applyAlignment="1" applyProtection="1">
      <alignment horizontal="center" vertical="center" shrinkToFit="1"/>
      <protection locked="0"/>
    </xf>
    <xf numFmtId="38" fontId="42" fillId="2" borderId="46" xfId="2" applyFont="1" applyFill="1" applyBorder="1" applyAlignment="1" applyProtection="1">
      <alignment horizontal="center" vertical="center" shrinkToFit="1"/>
      <protection locked="0"/>
    </xf>
    <xf numFmtId="38" fontId="42" fillId="2" borderId="419" xfId="2" applyFont="1" applyFill="1" applyBorder="1" applyAlignment="1" applyProtection="1">
      <alignment horizontal="center" vertical="center" shrinkToFit="1"/>
      <protection locked="0"/>
    </xf>
    <xf numFmtId="38" fontId="42" fillId="2" borderId="0" xfId="2" applyFont="1" applyFill="1" applyBorder="1" applyAlignment="1" applyProtection="1">
      <alignment horizontal="center" vertical="center" shrinkToFit="1"/>
      <protection locked="0"/>
    </xf>
    <xf numFmtId="38" fontId="42" fillId="2" borderId="584" xfId="2" applyFont="1" applyFill="1" applyBorder="1" applyAlignment="1" applyProtection="1">
      <alignment horizontal="center" vertical="center" shrinkToFit="1"/>
      <protection locked="0"/>
    </xf>
    <xf numFmtId="38" fontId="42" fillId="2" borderId="53" xfId="2" applyFont="1" applyFill="1" applyBorder="1" applyAlignment="1" applyProtection="1">
      <alignment horizontal="center" vertical="center" shrinkToFit="1"/>
      <protection locked="0"/>
    </xf>
    <xf numFmtId="0" fontId="31" fillId="16" borderId="55" xfId="0" applyFont="1" applyFill="1" applyBorder="1" applyAlignment="1" applyProtection="1">
      <alignment horizontal="center" vertical="top" wrapText="1"/>
      <protection hidden="1"/>
    </xf>
    <xf numFmtId="0" fontId="31" fillId="16" borderId="46" xfId="0" applyFont="1" applyFill="1" applyBorder="1" applyAlignment="1" applyProtection="1">
      <alignment horizontal="center" vertical="top" wrapText="1"/>
      <protection hidden="1"/>
    </xf>
    <xf numFmtId="0" fontId="31" fillId="16" borderId="62" xfId="0" applyFont="1" applyFill="1" applyBorder="1" applyAlignment="1" applyProtection="1">
      <alignment horizontal="center" vertical="top" wrapText="1"/>
      <protection hidden="1"/>
    </xf>
    <xf numFmtId="0" fontId="31" fillId="16" borderId="56" xfId="0" applyFont="1" applyFill="1" applyBorder="1" applyAlignment="1" applyProtection="1">
      <alignment horizontal="center" vertical="top" wrapText="1"/>
      <protection hidden="1"/>
    </xf>
    <xf numFmtId="0" fontId="31" fillId="16" borderId="0" xfId="0" applyFont="1" applyFill="1" applyAlignment="1" applyProtection="1">
      <alignment horizontal="center" vertical="top" wrapText="1"/>
      <protection hidden="1"/>
    </xf>
    <xf numFmtId="0" fontId="31" fillId="16" borderId="64" xfId="0" applyFont="1" applyFill="1" applyBorder="1" applyAlignment="1" applyProtection="1">
      <alignment horizontal="center" vertical="top" wrapText="1"/>
      <protection hidden="1"/>
    </xf>
    <xf numFmtId="0" fontId="31" fillId="16" borderId="57" xfId="0" applyFont="1" applyFill="1" applyBorder="1" applyAlignment="1" applyProtection="1">
      <alignment horizontal="center" vertical="top" wrapText="1"/>
      <protection hidden="1"/>
    </xf>
    <xf numFmtId="0" fontId="31" fillId="16" borderId="50" xfId="0" applyFont="1" applyFill="1" applyBorder="1" applyAlignment="1" applyProtection="1">
      <alignment horizontal="center" vertical="top" wrapText="1"/>
      <protection hidden="1"/>
    </xf>
    <xf numFmtId="0" fontId="31" fillId="16" borderId="65" xfId="0" applyFont="1" applyFill="1" applyBorder="1" applyAlignment="1" applyProtection="1">
      <alignment horizontal="center" vertical="top" wrapText="1"/>
      <protection hidden="1"/>
    </xf>
    <xf numFmtId="180" fontId="47" fillId="8" borderId="46" xfId="0" applyNumberFormat="1" applyFont="1" applyFill="1" applyBorder="1" applyAlignment="1" applyProtection="1">
      <alignment horizontal="right" vertical="center" shrinkToFit="1"/>
      <protection hidden="1"/>
    </xf>
    <xf numFmtId="180" fontId="47" fillId="8" borderId="0" xfId="0" applyNumberFormat="1" applyFont="1" applyFill="1" applyAlignment="1" applyProtection="1">
      <alignment horizontal="right" vertical="center" shrinkToFit="1"/>
      <protection hidden="1"/>
    </xf>
    <xf numFmtId="180" fontId="47" fillId="8" borderId="50" xfId="0" applyNumberFormat="1" applyFont="1" applyFill="1" applyBorder="1" applyAlignment="1" applyProtection="1">
      <alignment horizontal="right" vertical="center" shrinkToFit="1"/>
      <protection hidden="1"/>
    </xf>
    <xf numFmtId="182" fontId="47" fillId="8" borderId="50" xfId="0" applyNumberFormat="1" applyFont="1" applyFill="1" applyBorder="1" applyAlignment="1" applyProtection="1">
      <alignment horizontal="center" vertical="center" shrinkToFit="1"/>
      <protection hidden="1"/>
    </xf>
    <xf numFmtId="0" fontId="47" fillId="2" borderId="57" xfId="0" applyFont="1" applyFill="1" applyBorder="1" applyAlignment="1" applyProtection="1">
      <alignment horizontal="center" vertical="center" shrinkToFit="1"/>
      <protection locked="0"/>
    </xf>
    <xf numFmtId="0" fontId="47" fillId="2" borderId="50" xfId="0" applyFont="1" applyFill="1" applyBorder="1" applyAlignment="1" applyProtection="1">
      <alignment horizontal="center" vertical="center" shrinkToFit="1"/>
      <protection locked="0"/>
    </xf>
    <xf numFmtId="0" fontId="47" fillId="2" borderId="58" xfId="0" applyFont="1" applyFill="1" applyBorder="1" applyAlignment="1" applyProtection="1">
      <alignment horizontal="center" vertical="center" shrinkToFit="1"/>
      <protection locked="0"/>
    </xf>
    <xf numFmtId="38" fontId="47" fillId="2" borderId="46" xfId="2" applyFont="1" applyFill="1" applyBorder="1" applyAlignment="1" applyProtection="1">
      <alignment horizontal="center" vertical="center" shrinkToFit="1"/>
      <protection locked="0"/>
    </xf>
    <xf numFmtId="38" fontId="47" fillId="2" borderId="50" xfId="2" applyFont="1" applyFill="1" applyBorder="1" applyAlignment="1" applyProtection="1">
      <alignment horizontal="center" vertical="center" shrinkToFit="1"/>
      <protection locked="0"/>
    </xf>
    <xf numFmtId="0" fontId="48" fillId="2" borderId="46" xfId="0" applyFont="1" applyFill="1" applyBorder="1" applyAlignment="1" applyProtection="1">
      <alignment horizontal="center" vertical="center"/>
      <protection locked="0"/>
    </xf>
    <xf numFmtId="0" fontId="48" fillId="2" borderId="62"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8" fillId="2" borderId="64" xfId="0" applyFont="1" applyFill="1" applyBorder="1" applyAlignment="1" applyProtection="1">
      <alignment horizontal="center" vertical="center"/>
      <protection locked="0"/>
    </xf>
    <xf numFmtId="0" fontId="48" fillId="2" borderId="5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0" fontId="31" fillId="11" borderId="99" xfId="0" applyFont="1" applyFill="1" applyBorder="1" applyAlignment="1" applyProtection="1">
      <alignment horizontal="center" vertical="center" wrapText="1"/>
      <protection hidden="1"/>
    </xf>
    <xf numFmtId="0" fontId="31" fillId="11" borderId="102" xfId="0" applyFont="1" applyFill="1" applyBorder="1" applyAlignment="1" applyProtection="1">
      <alignment horizontal="center" vertical="center" wrapText="1"/>
      <protection hidden="1"/>
    </xf>
    <xf numFmtId="0" fontId="44" fillId="11" borderId="0" xfId="0" applyFont="1" applyFill="1" applyAlignment="1" applyProtection="1">
      <alignment horizontal="center" vertical="center" wrapText="1" shrinkToFit="1"/>
      <protection hidden="1"/>
    </xf>
    <xf numFmtId="0" fontId="44" fillId="11" borderId="64" xfId="0" applyFont="1" applyFill="1" applyBorder="1" applyAlignment="1" applyProtection="1">
      <alignment horizontal="center" vertical="center" wrapText="1" shrinkToFit="1"/>
      <protection hidden="1"/>
    </xf>
    <xf numFmtId="0" fontId="44" fillId="11" borderId="50" xfId="0" applyFont="1" applyFill="1" applyBorder="1" applyAlignment="1" applyProtection="1">
      <alignment horizontal="center" vertical="center" wrapText="1" shrinkToFit="1"/>
      <protection hidden="1"/>
    </xf>
    <xf numFmtId="0" fontId="44" fillId="11" borderId="65" xfId="0" applyFont="1" applyFill="1" applyBorder="1" applyAlignment="1" applyProtection="1">
      <alignment horizontal="center" vertical="center" wrapText="1" shrinkToFit="1"/>
      <protection hidden="1"/>
    </xf>
    <xf numFmtId="0" fontId="42" fillId="2" borderId="252" xfId="0" applyFont="1" applyFill="1" applyBorder="1" applyAlignment="1" applyProtection="1">
      <alignment horizontal="center" vertical="center"/>
      <protection locked="0" hidden="1"/>
    </xf>
    <xf numFmtId="0" fontId="42" fillId="2" borderId="190" xfId="0" applyFont="1" applyFill="1" applyBorder="1" applyAlignment="1" applyProtection="1">
      <alignment horizontal="center" vertical="center"/>
      <protection locked="0" hidden="1"/>
    </xf>
    <xf numFmtId="0" fontId="42" fillId="2" borderId="260" xfId="0" applyFont="1" applyFill="1" applyBorder="1" applyAlignment="1" applyProtection="1">
      <alignment horizontal="center" vertical="center"/>
      <protection locked="0" hidden="1"/>
    </xf>
    <xf numFmtId="0" fontId="44" fillId="11" borderId="99" xfId="0" applyFont="1" applyFill="1" applyBorder="1" applyAlignment="1" applyProtection="1">
      <alignment horizontal="center" vertical="center" wrapText="1"/>
      <protection hidden="1"/>
    </xf>
    <xf numFmtId="0" fontId="44" fillId="11" borderId="0" xfId="0" applyFont="1" applyFill="1" applyAlignment="1" applyProtection="1">
      <alignment horizontal="center" vertical="center" wrapText="1"/>
      <protection hidden="1"/>
    </xf>
    <xf numFmtId="0" fontId="44" fillId="11" borderId="64" xfId="0" applyFont="1" applyFill="1" applyBorder="1" applyAlignment="1" applyProtection="1">
      <alignment horizontal="center" vertical="center" wrapText="1"/>
      <protection hidden="1"/>
    </xf>
    <xf numFmtId="0" fontId="44" fillId="11" borderId="102" xfId="0" applyFont="1" applyFill="1" applyBorder="1" applyAlignment="1" applyProtection="1">
      <alignment horizontal="center" vertical="center" wrapText="1"/>
      <protection hidden="1"/>
    </xf>
    <xf numFmtId="0" fontId="44" fillId="11" borderId="50" xfId="0" applyFont="1" applyFill="1" applyBorder="1" applyAlignment="1" applyProtection="1">
      <alignment horizontal="center" vertical="center" wrapText="1"/>
      <protection hidden="1"/>
    </xf>
    <xf numFmtId="0" fontId="44" fillId="11" borderId="65" xfId="0" applyFont="1" applyFill="1" applyBorder="1" applyAlignment="1" applyProtection="1">
      <alignment horizontal="center" vertical="center" wrapText="1"/>
      <protection hidden="1"/>
    </xf>
    <xf numFmtId="180" fontId="47" fillId="8" borderId="53" xfId="0" applyNumberFormat="1" applyFont="1" applyFill="1" applyBorder="1" applyAlignment="1" applyProtection="1">
      <alignment horizontal="right" vertical="center" shrinkToFit="1"/>
      <protection hidden="1"/>
    </xf>
    <xf numFmtId="38" fontId="48" fillId="2" borderId="55" xfId="2" applyFont="1" applyFill="1" applyBorder="1" applyAlignment="1" applyProtection="1">
      <alignment horizontal="center" vertical="center" shrinkToFit="1"/>
      <protection locked="0"/>
    </xf>
    <xf numFmtId="38" fontId="48" fillId="2" borderId="46" xfId="2" applyFont="1" applyFill="1" applyBorder="1" applyAlignment="1" applyProtection="1">
      <alignment horizontal="center" vertical="center" shrinkToFit="1"/>
      <protection locked="0"/>
    </xf>
    <xf numFmtId="38" fontId="48" fillId="2" borderId="62" xfId="2" applyFont="1" applyFill="1" applyBorder="1" applyAlignment="1" applyProtection="1">
      <alignment horizontal="center" vertical="center" shrinkToFit="1"/>
      <protection locked="0"/>
    </xf>
    <xf numFmtId="38" fontId="48" fillId="2" borderId="56" xfId="2" applyFont="1" applyFill="1" applyBorder="1" applyAlignment="1" applyProtection="1">
      <alignment horizontal="center" vertical="center" shrinkToFit="1"/>
      <protection locked="0"/>
    </xf>
    <xf numFmtId="38" fontId="48" fillId="2" borderId="0" xfId="2" applyFont="1" applyFill="1" applyBorder="1" applyAlignment="1" applyProtection="1">
      <alignment horizontal="center" vertical="center" shrinkToFit="1"/>
      <protection locked="0"/>
    </xf>
    <xf numFmtId="38" fontId="48" fillId="2" borderId="64" xfId="2" applyFont="1" applyFill="1" applyBorder="1" applyAlignment="1" applyProtection="1">
      <alignment horizontal="center" vertical="center" shrinkToFit="1"/>
      <protection locked="0"/>
    </xf>
    <xf numFmtId="38" fontId="48" fillId="2" borderId="61" xfId="2" applyFont="1" applyFill="1" applyBorder="1" applyAlignment="1" applyProtection="1">
      <alignment horizontal="center" vertical="center" shrinkToFit="1"/>
      <protection locked="0"/>
    </xf>
    <xf numFmtId="38" fontId="48" fillId="2" borderId="53" xfId="2" applyFont="1" applyFill="1" applyBorder="1" applyAlignment="1" applyProtection="1">
      <alignment horizontal="center" vertical="center" shrinkToFit="1"/>
      <protection locked="0"/>
    </xf>
    <xf numFmtId="38" fontId="48" fillId="2" borderId="69" xfId="2" applyFont="1" applyFill="1" applyBorder="1" applyAlignment="1" applyProtection="1">
      <alignment horizontal="center" vertical="center" shrinkToFit="1"/>
      <protection locked="0"/>
    </xf>
    <xf numFmtId="0" fontId="31" fillId="11" borderId="328" xfId="0" applyFont="1" applyFill="1" applyBorder="1" applyAlignment="1" applyProtection="1">
      <alignment horizontal="center" vertical="center" wrapText="1" shrinkToFit="1"/>
      <protection hidden="1"/>
    </xf>
    <xf numFmtId="0" fontId="31" fillId="11" borderId="281" xfId="0" applyFont="1" applyFill="1" applyBorder="1" applyAlignment="1" applyProtection="1">
      <alignment horizontal="center" vertical="center" wrapText="1" shrinkToFit="1"/>
      <protection hidden="1"/>
    </xf>
    <xf numFmtId="0" fontId="31" fillId="11" borderId="327" xfId="0" applyFont="1" applyFill="1" applyBorder="1" applyAlignment="1" applyProtection="1">
      <alignment horizontal="center" vertical="center" wrapText="1" shrinkToFit="1"/>
      <protection hidden="1"/>
    </xf>
    <xf numFmtId="0" fontId="31" fillId="11" borderId="330" xfId="0" applyFont="1" applyFill="1" applyBorder="1" applyAlignment="1" applyProtection="1">
      <alignment horizontal="center" vertical="center" wrapText="1" shrinkToFit="1"/>
      <protection hidden="1"/>
    </xf>
    <xf numFmtId="0" fontId="31" fillId="11" borderId="289" xfId="0" applyFont="1" applyFill="1" applyBorder="1" applyAlignment="1" applyProtection="1">
      <alignment horizontal="center" vertical="center" wrapText="1" shrinkToFit="1"/>
      <protection hidden="1"/>
    </xf>
    <xf numFmtId="0" fontId="31" fillId="11" borderId="329" xfId="0" applyFont="1" applyFill="1" applyBorder="1" applyAlignment="1" applyProtection="1">
      <alignment horizontal="center" vertical="center" wrapText="1" shrinkToFit="1"/>
      <protection hidden="1"/>
    </xf>
    <xf numFmtId="0" fontId="45" fillId="18" borderId="71" xfId="0" applyFont="1" applyFill="1" applyBorder="1" applyAlignment="1" applyProtection="1">
      <alignment horizontal="left" vertical="center" shrinkToFit="1"/>
      <protection hidden="1"/>
    </xf>
    <xf numFmtId="0" fontId="45" fillId="18" borderId="53" xfId="0" applyFont="1" applyFill="1" applyBorder="1" applyAlignment="1" applyProtection="1">
      <alignment horizontal="left" vertical="center" shrinkToFit="1"/>
      <protection hidden="1"/>
    </xf>
    <xf numFmtId="0" fontId="31" fillId="11" borderId="73" xfId="0" applyFont="1" applyFill="1" applyBorder="1" applyAlignment="1" applyProtection="1">
      <alignment horizontal="center" vertical="center" wrapText="1" shrinkToFit="1"/>
      <protection hidden="1"/>
    </xf>
    <xf numFmtId="0" fontId="47" fillId="2" borderId="97" xfId="0" applyFont="1" applyFill="1" applyBorder="1" applyAlignment="1" applyProtection="1">
      <alignment horizontal="center" vertical="center" shrinkToFit="1"/>
      <protection locked="0" hidden="1"/>
    </xf>
    <xf numFmtId="0" fontId="47" fillId="2" borderId="50" xfId="0" applyFont="1" applyFill="1" applyBorder="1" applyAlignment="1" applyProtection="1">
      <alignment horizontal="center" vertical="center" shrinkToFit="1"/>
      <protection locked="0" hidden="1"/>
    </xf>
    <xf numFmtId="0" fontId="47" fillId="2" borderId="98" xfId="0" applyFont="1" applyFill="1" applyBorder="1" applyAlignment="1" applyProtection="1">
      <alignment horizontal="center" vertical="center" shrinkToFit="1"/>
      <protection locked="0" hidden="1"/>
    </xf>
    <xf numFmtId="0" fontId="32" fillId="18" borderId="53" xfId="0" applyFont="1" applyFill="1" applyBorder="1" applyAlignment="1" applyProtection="1">
      <alignment horizontal="center" vertical="center" shrinkToFit="1"/>
      <protection hidden="1"/>
    </xf>
    <xf numFmtId="0" fontId="32" fillId="18" borderId="48" xfId="0" applyFont="1" applyFill="1" applyBorder="1" applyAlignment="1" applyProtection="1">
      <alignment horizontal="center" vertical="center" shrinkToFit="1"/>
      <protection hidden="1"/>
    </xf>
    <xf numFmtId="0" fontId="32" fillId="18" borderId="148" xfId="0" applyFont="1" applyFill="1" applyBorder="1" applyAlignment="1" applyProtection="1">
      <alignment horizontal="center" vertical="center" shrinkToFit="1"/>
      <protection hidden="1"/>
    </xf>
    <xf numFmtId="0" fontId="31" fillId="18" borderId="55" xfId="0" applyFont="1" applyFill="1" applyBorder="1" applyAlignment="1" applyProtection="1">
      <alignment horizontal="center" vertical="center" wrapText="1"/>
      <protection hidden="1"/>
    </xf>
    <xf numFmtId="0" fontId="31" fillId="18" borderId="46" xfId="0" applyFont="1" applyFill="1" applyBorder="1" applyAlignment="1" applyProtection="1">
      <alignment horizontal="center" vertical="center" wrapText="1"/>
      <protection hidden="1"/>
    </xf>
    <xf numFmtId="0" fontId="31" fillId="18" borderId="62" xfId="0" applyFont="1" applyFill="1" applyBorder="1" applyAlignment="1" applyProtection="1">
      <alignment horizontal="center" vertical="center" wrapText="1"/>
      <protection hidden="1"/>
    </xf>
    <xf numFmtId="0" fontId="31" fillId="18" borderId="56" xfId="0" applyFont="1" applyFill="1" applyBorder="1" applyAlignment="1" applyProtection="1">
      <alignment horizontal="center" vertical="center" wrapText="1"/>
      <protection hidden="1"/>
    </xf>
    <xf numFmtId="0" fontId="31" fillId="18" borderId="0" xfId="0" applyFont="1" applyFill="1" applyAlignment="1" applyProtection="1">
      <alignment horizontal="center" vertical="center" wrapText="1"/>
      <protection hidden="1"/>
    </xf>
    <xf numFmtId="0" fontId="31" fillId="18" borderId="64" xfId="0" applyFont="1" applyFill="1" applyBorder="1" applyAlignment="1" applyProtection="1">
      <alignment horizontal="center" vertical="center" wrapText="1"/>
      <protection hidden="1"/>
    </xf>
    <xf numFmtId="0" fontId="31" fillId="18" borderId="57" xfId="0" applyFont="1" applyFill="1" applyBorder="1" applyAlignment="1" applyProtection="1">
      <alignment horizontal="center" vertical="center" wrapText="1"/>
      <protection hidden="1"/>
    </xf>
    <xf numFmtId="0" fontId="31" fillId="18" borderId="50" xfId="0" applyFont="1" applyFill="1" applyBorder="1" applyAlignment="1" applyProtection="1">
      <alignment horizontal="center" vertical="center" wrapText="1"/>
      <protection hidden="1"/>
    </xf>
    <xf numFmtId="0" fontId="31" fillId="18" borderId="65" xfId="0" applyFont="1" applyFill="1" applyBorder="1" applyAlignment="1" applyProtection="1">
      <alignment horizontal="center" vertical="center" wrapText="1"/>
      <protection hidden="1"/>
    </xf>
    <xf numFmtId="0" fontId="47" fillId="2" borderId="57" xfId="0" applyFont="1" applyFill="1" applyBorder="1" applyAlignment="1" applyProtection="1">
      <alignment horizontal="center" vertical="center" shrinkToFit="1"/>
      <protection locked="0" hidden="1"/>
    </xf>
    <xf numFmtId="38" fontId="48" fillId="2" borderId="0" xfId="2" applyFont="1" applyFill="1" applyBorder="1" applyAlignment="1" applyProtection="1">
      <alignment horizontal="center" vertical="center" wrapText="1" shrinkToFit="1"/>
      <protection locked="0"/>
    </xf>
    <xf numFmtId="38" fontId="48" fillId="2" borderId="97" xfId="2" applyFont="1" applyFill="1" applyBorder="1" applyAlignment="1" applyProtection="1">
      <alignment horizontal="center" vertical="center" wrapText="1" shrinkToFit="1"/>
      <protection locked="0"/>
    </xf>
    <xf numFmtId="38" fontId="48" fillId="2" borderId="50" xfId="2" applyFont="1" applyFill="1" applyBorder="1" applyAlignment="1" applyProtection="1">
      <alignment horizontal="center" vertical="center" wrapText="1" shrinkToFit="1"/>
      <protection locked="0"/>
    </xf>
    <xf numFmtId="38" fontId="48" fillId="2" borderId="98" xfId="2" applyFont="1" applyFill="1" applyBorder="1" applyAlignment="1" applyProtection="1">
      <alignment horizontal="center" vertical="center" wrapText="1" shrinkToFit="1"/>
      <protection locked="0"/>
    </xf>
    <xf numFmtId="0" fontId="48" fillId="2" borderId="0" xfId="0" applyFont="1" applyFill="1" applyAlignment="1" applyProtection="1">
      <alignment horizontal="center" vertical="center"/>
      <protection locked="0" hidden="1"/>
    </xf>
    <xf numFmtId="0" fontId="48" fillId="2" borderId="97" xfId="0" applyFont="1" applyFill="1" applyBorder="1" applyAlignment="1" applyProtection="1">
      <alignment horizontal="center" vertical="center"/>
      <protection locked="0" hidden="1"/>
    </xf>
    <xf numFmtId="0" fontId="48" fillId="2" borderId="50" xfId="0" applyFont="1" applyFill="1" applyBorder="1" applyAlignment="1" applyProtection="1">
      <alignment horizontal="center" vertical="center"/>
      <protection locked="0" hidden="1"/>
    </xf>
    <xf numFmtId="0" fontId="48" fillId="2" borderId="98" xfId="0" applyFont="1" applyFill="1" applyBorder="1" applyAlignment="1" applyProtection="1">
      <alignment horizontal="center" vertical="center"/>
      <protection locked="0" hidden="1"/>
    </xf>
    <xf numFmtId="0" fontId="31" fillId="11" borderId="99" xfId="0" applyFont="1" applyFill="1" applyBorder="1" applyAlignment="1" applyProtection="1">
      <alignment horizontal="center" vertical="center" wrapText="1" shrinkToFit="1"/>
      <protection hidden="1"/>
    </xf>
    <xf numFmtId="0" fontId="31" fillId="11" borderId="102" xfId="0" applyFont="1" applyFill="1" applyBorder="1" applyAlignment="1" applyProtection="1">
      <alignment horizontal="center" vertical="center" wrapText="1" shrinkToFit="1"/>
      <protection hidden="1"/>
    </xf>
    <xf numFmtId="0" fontId="31" fillId="11" borderId="280" xfId="0" applyFont="1" applyFill="1" applyBorder="1" applyAlignment="1" applyProtection="1">
      <alignment horizontal="center" vertical="center" wrapText="1" shrinkToFit="1"/>
      <protection hidden="1"/>
    </xf>
    <xf numFmtId="0" fontId="31" fillId="11" borderId="305" xfId="0" applyFont="1" applyFill="1" applyBorder="1" applyAlignment="1" applyProtection="1">
      <alignment horizontal="center" vertical="center" wrapText="1" shrinkToFit="1"/>
      <protection hidden="1"/>
    </xf>
    <xf numFmtId="0" fontId="31" fillId="11" borderId="288" xfId="0" applyFont="1" applyFill="1" applyBorder="1" applyAlignment="1" applyProtection="1">
      <alignment horizontal="center" vertical="center" wrapText="1" shrinkToFit="1"/>
      <protection hidden="1"/>
    </xf>
    <xf numFmtId="0" fontId="44" fillId="11" borderId="252" xfId="0" applyFont="1" applyFill="1" applyBorder="1" applyAlignment="1" applyProtection="1">
      <alignment horizontal="center" vertical="center" wrapText="1"/>
      <protection hidden="1"/>
    </xf>
    <xf numFmtId="0" fontId="44" fillId="11" borderId="190" xfId="0" applyFont="1" applyFill="1" applyBorder="1" applyAlignment="1" applyProtection="1">
      <alignment horizontal="center" vertical="center" wrapText="1"/>
      <protection hidden="1"/>
    </xf>
    <xf numFmtId="0" fontId="44" fillId="11" borderId="260" xfId="0" applyFont="1" applyFill="1" applyBorder="1" applyAlignment="1" applyProtection="1">
      <alignment horizontal="center" vertical="center" wrapText="1"/>
      <protection hidden="1"/>
    </xf>
    <xf numFmtId="0" fontId="47" fillId="2" borderId="64" xfId="0" applyFont="1" applyFill="1" applyBorder="1" applyAlignment="1" applyProtection="1">
      <alignment horizontal="center" vertical="center" shrinkToFit="1"/>
      <protection locked="0" hidden="1"/>
    </xf>
    <xf numFmtId="0" fontId="47" fillId="2" borderId="65" xfId="0" applyFont="1" applyFill="1" applyBorder="1" applyAlignment="1" applyProtection="1">
      <alignment horizontal="center" vertical="center" shrinkToFit="1"/>
      <protection locked="0" hidden="1"/>
    </xf>
    <xf numFmtId="0" fontId="44" fillId="22" borderId="62" xfId="0" applyFont="1" applyFill="1" applyBorder="1" applyAlignment="1" applyProtection="1">
      <alignment horizontal="center" vertical="center" wrapText="1"/>
      <protection hidden="1"/>
    </xf>
    <xf numFmtId="0" fontId="44" fillId="22" borderId="64" xfId="0" applyFont="1" applyFill="1" applyBorder="1" applyAlignment="1" applyProtection="1">
      <alignment horizontal="center" vertical="center" wrapText="1"/>
      <protection hidden="1"/>
    </xf>
    <xf numFmtId="0" fontId="44" fillId="22" borderId="65" xfId="0" applyFont="1" applyFill="1" applyBorder="1" applyAlignment="1" applyProtection="1">
      <alignment horizontal="center" vertical="center" wrapText="1"/>
      <protection hidden="1"/>
    </xf>
    <xf numFmtId="0" fontId="44" fillId="22" borderId="55" xfId="0" applyFont="1" applyFill="1" applyBorder="1" applyAlignment="1" applyProtection="1">
      <alignment horizontal="center" vertical="center" wrapText="1"/>
      <protection hidden="1"/>
    </xf>
    <xf numFmtId="0" fontId="44" fillId="22" borderId="46" xfId="0" applyFont="1" applyFill="1" applyBorder="1" applyAlignment="1" applyProtection="1">
      <alignment horizontal="center" vertical="center" wrapText="1"/>
      <protection hidden="1"/>
    </xf>
    <xf numFmtId="0" fontId="44" fillId="22" borderId="56" xfId="0" applyFont="1" applyFill="1" applyBorder="1" applyAlignment="1" applyProtection="1">
      <alignment horizontal="center" vertical="center" wrapText="1"/>
      <protection hidden="1"/>
    </xf>
    <xf numFmtId="0" fontId="44" fillId="22" borderId="57" xfId="0" applyFont="1" applyFill="1" applyBorder="1" applyAlignment="1" applyProtection="1">
      <alignment horizontal="center" vertical="center" wrapText="1"/>
      <protection hidden="1"/>
    </xf>
    <xf numFmtId="0" fontId="44" fillId="22" borderId="50" xfId="0" applyFont="1" applyFill="1" applyBorder="1" applyAlignment="1" applyProtection="1">
      <alignment horizontal="center" vertical="center" wrapText="1"/>
      <protection hidden="1"/>
    </xf>
    <xf numFmtId="0" fontId="45" fillId="18" borderId="47" xfId="0" applyFont="1" applyFill="1" applyBorder="1" applyAlignment="1" applyProtection="1">
      <alignment horizontal="left" vertical="center" shrinkToFit="1"/>
      <protection hidden="1"/>
    </xf>
    <xf numFmtId="0" fontId="45" fillId="18" borderId="0" xfId="0" applyFont="1" applyFill="1" applyAlignment="1" applyProtection="1">
      <alignment horizontal="left" vertical="center" shrinkToFit="1"/>
      <protection hidden="1"/>
    </xf>
    <xf numFmtId="0" fontId="45" fillId="18" borderId="39" xfId="0" applyFont="1" applyFill="1" applyBorder="1" applyAlignment="1" applyProtection="1">
      <alignment horizontal="left" vertical="center" shrinkToFit="1"/>
      <protection hidden="1"/>
    </xf>
    <xf numFmtId="0" fontId="31" fillId="11" borderId="276" xfId="0" applyFont="1" applyFill="1" applyBorder="1" applyAlignment="1" applyProtection="1">
      <alignment horizontal="center" vertical="center" wrapText="1" shrinkToFit="1"/>
      <protection hidden="1"/>
    </xf>
    <xf numFmtId="0" fontId="31" fillId="11" borderId="595" xfId="0" applyFont="1" applyFill="1" applyBorder="1" applyAlignment="1" applyProtection="1">
      <alignment horizontal="center" vertical="center" wrapText="1" shrinkToFit="1"/>
      <protection hidden="1"/>
    </xf>
    <xf numFmtId="0" fontId="31" fillId="11" borderId="583" xfId="0" applyFont="1" applyFill="1" applyBorder="1" applyAlignment="1" applyProtection="1">
      <alignment horizontal="center" vertical="center" wrapText="1" shrinkToFit="1"/>
      <protection hidden="1"/>
    </xf>
    <xf numFmtId="0" fontId="31" fillId="11" borderId="573" xfId="0" applyFont="1" applyFill="1" applyBorder="1" applyAlignment="1" applyProtection="1">
      <alignment horizontal="center" vertical="center" wrapText="1" shrinkToFit="1"/>
      <protection hidden="1"/>
    </xf>
    <xf numFmtId="0" fontId="31" fillId="11" borderId="585" xfId="0" applyFont="1" applyFill="1" applyBorder="1" applyAlignment="1" applyProtection="1">
      <alignment horizontal="center" vertical="center" wrapText="1" shrinkToFit="1"/>
      <protection hidden="1"/>
    </xf>
    <xf numFmtId="0" fontId="28" fillId="2" borderId="418" xfId="0" applyFont="1" applyFill="1" applyBorder="1" applyAlignment="1" applyProtection="1">
      <alignment horizontal="center" vertical="center" shrinkToFit="1"/>
      <protection locked="0"/>
    </xf>
    <xf numFmtId="0" fontId="28" fillId="2" borderId="46" xfId="0" applyFont="1" applyFill="1" applyBorder="1" applyAlignment="1" applyProtection="1">
      <alignment horizontal="center" vertical="center" shrinkToFit="1"/>
      <protection locked="0"/>
    </xf>
    <xf numFmtId="0" fontId="28" fillId="2" borderId="462" xfId="0" applyFont="1" applyFill="1" applyBorder="1" applyAlignment="1" applyProtection="1">
      <alignment horizontal="center" vertical="center" shrinkToFit="1"/>
      <protection locked="0"/>
    </xf>
    <xf numFmtId="0" fontId="28" fillId="2" borderId="419" xfId="0" applyFont="1" applyFill="1" applyBorder="1" applyAlignment="1" applyProtection="1">
      <alignment horizontal="center" vertical="center" shrinkToFit="1"/>
      <protection locked="0"/>
    </xf>
    <xf numFmtId="0" fontId="28" fillId="2" borderId="97" xfId="0" applyFont="1" applyFill="1" applyBorder="1" applyAlignment="1" applyProtection="1">
      <alignment horizontal="center" vertical="center" shrinkToFit="1"/>
      <protection locked="0"/>
    </xf>
    <xf numFmtId="0" fontId="28" fillId="2" borderId="584" xfId="0" applyFont="1" applyFill="1" applyBorder="1" applyAlignment="1" applyProtection="1">
      <alignment horizontal="center" vertical="center" shrinkToFit="1"/>
      <protection locked="0"/>
    </xf>
    <xf numFmtId="0" fontId="28" fillId="2" borderId="53" xfId="0" applyFont="1" applyFill="1" applyBorder="1" applyAlignment="1" applyProtection="1">
      <alignment horizontal="center" vertical="center" shrinkToFit="1"/>
      <protection locked="0"/>
    </xf>
    <xf numFmtId="0" fontId="28" fillId="2" borderId="597" xfId="0" applyFont="1" applyFill="1" applyBorder="1" applyAlignment="1" applyProtection="1">
      <alignment horizontal="center" vertical="center" shrinkToFit="1"/>
      <protection locked="0"/>
    </xf>
    <xf numFmtId="0" fontId="31" fillId="53" borderId="672" xfId="0" applyFont="1" applyFill="1" applyBorder="1" applyAlignment="1" applyProtection="1">
      <alignment horizontal="center" vertical="center" wrapText="1"/>
      <protection hidden="1"/>
    </xf>
    <xf numFmtId="0" fontId="31" fillId="53" borderId="252" xfId="0" applyFont="1" applyFill="1" applyBorder="1" applyAlignment="1" applyProtection="1">
      <alignment horizontal="center" vertical="center" wrapText="1"/>
      <protection hidden="1"/>
    </xf>
    <xf numFmtId="0" fontId="31" fillId="53" borderId="673" xfId="0" applyFont="1" applyFill="1" applyBorder="1" applyAlignment="1" applyProtection="1">
      <alignment horizontal="center" vertical="center" wrapText="1"/>
      <protection hidden="1"/>
    </xf>
    <xf numFmtId="0" fontId="31" fillId="53" borderId="674" xfId="0" applyFont="1" applyFill="1" applyBorder="1" applyAlignment="1" applyProtection="1">
      <alignment horizontal="center" vertical="center" wrapText="1"/>
      <protection hidden="1"/>
    </xf>
    <xf numFmtId="0" fontId="31" fillId="53" borderId="190" xfId="0" applyFont="1" applyFill="1" applyBorder="1" applyAlignment="1" applyProtection="1">
      <alignment horizontal="center" vertical="center" wrapText="1"/>
      <protection hidden="1"/>
    </xf>
    <xf numFmtId="0" fontId="31" fillId="53" borderId="675" xfId="0" applyFont="1" applyFill="1" applyBorder="1" applyAlignment="1" applyProtection="1">
      <alignment horizontal="center" vertical="center" wrapText="1"/>
      <protection hidden="1"/>
    </xf>
    <xf numFmtId="0" fontId="31" fillId="53" borderId="676" xfId="0" applyFont="1" applyFill="1" applyBorder="1" applyAlignment="1" applyProtection="1">
      <alignment horizontal="center" vertical="center" wrapText="1"/>
      <protection hidden="1"/>
    </xf>
    <xf numFmtId="0" fontId="31" fillId="53" borderId="260" xfId="0" applyFont="1" applyFill="1" applyBorder="1" applyAlignment="1" applyProtection="1">
      <alignment horizontal="center" vertical="center" wrapText="1"/>
      <protection hidden="1"/>
    </xf>
    <xf numFmtId="0" fontId="31" fillId="53" borderId="677" xfId="0" applyFont="1" applyFill="1" applyBorder="1" applyAlignment="1" applyProtection="1">
      <alignment horizontal="center" vertical="center" wrapText="1"/>
      <protection hidden="1"/>
    </xf>
    <xf numFmtId="0" fontId="29" fillId="2" borderId="418" xfId="0" applyFont="1" applyFill="1" applyBorder="1" applyAlignment="1" applyProtection="1">
      <alignment horizontal="center" vertical="center" shrinkToFit="1"/>
      <protection locked="0" hidden="1"/>
    </xf>
    <xf numFmtId="0" fontId="29" fillId="2" borderId="46" xfId="0" applyFont="1" applyFill="1" applyBorder="1" applyAlignment="1" applyProtection="1">
      <alignment horizontal="center" vertical="center" shrinkToFit="1"/>
      <protection locked="0" hidden="1"/>
    </xf>
    <xf numFmtId="0" fontId="29" fillId="2" borderId="419" xfId="0" applyFont="1" applyFill="1" applyBorder="1" applyAlignment="1" applyProtection="1">
      <alignment horizontal="center" vertical="center" shrinkToFit="1"/>
      <protection locked="0" hidden="1"/>
    </xf>
    <xf numFmtId="0" fontId="29" fillId="2" borderId="0" xfId="0" applyFont="1" applyFill="1" applyAlignment="1" applyProtection="1">
      <alignment horizontal="center" vertical="center" shrinkToFit="1"/>
      <protection locked="0" hidden="1"/>
    </xf>
    <xf numFmtId="0" fontId="29" fillId="2" borderId="596" xfId="0" applyFont="1" applyFill="1" applyBorder="1" applyAlignment="1" applyProtection="1">
      <alignment horizontal="center" vertical="center" shrinkToFit="1"/>
      <protection locked="0" hidden="1"/>
    </xf>
    <xf numFmtId="0" fontId="29" fillId="2" borderId="50" xfId="0" applyFont="1" applyFill="1" applyBorder="1" applyAlignment="1" applyProtection="1">
      <alignment horizontal="center" vertical="center" shrinkToFit="1"/>
      <protection locked="0" hidden="1"/>
    </xf>
    <xf numFmtId="0" fontId="18" fillId="2" borderId="678" xfId="1" applyFill="1" applyBorder="1" applyAlignment="1" applyProtection="1">
      <alignment horizontal="center" vertical="center" shrinkToFit="1"/>
      <protection locked="0"/>
    </xf>
    <xf numFmtId="0" fontId="18" fillId="2" borderId="670" xfId="1" applyFill="1" applyBorder="1" applyAlignment="1" applyProtection="1">
      <alignment horizontal="center" vertical="center" shrinkToFit="1"/>
      <protection locked="0"/>
    </xf>
    <xf numFmtId="0" fontId="18" fillId="2" borderId="99" xfId="1" applyFill="1" applyBorder="1" applyAlignment="1" applyProtection="1">
      <alignment horizontal="center" vertical="center" shrinkToFit="1"/>
      <protection locked="0"/>
    </xf>
    <xf numFmtId="0" fontId="18" fillId="2" borderId="0" xfId="1" applyFill="1" applyBorder="1" applyAlignment="1" applyProtection="1">
      <alignment horizontal="center" vertical="center" shrinkToFit="1"/>
      <protection locked="0"/>
    </xf>
    <xf numFmtId="0" fontId="18" fillId="2" borderId="482" xfId="1" applyFill="1" applyBorder="1" applyAlignment="1" applyProtection="1">
      <alignment horizontal="center" vertical="center" shrinkToFit="1"/>
      <protection locked="0"/>
    </xf>
    <xf numFmtId="0" fontId="18" fillId="2" borderId="477" xfId="1" applyFill="1" applyBorder="1" applyAlignment="1" applyProtection="1">
      <alignment horizontal="center" vertical="center" shrinkToFit="1"/>
      <protection locked="0"/>
    </xf>
    <xf numFmtId="0" fontId="31" fillId="53" borderId="46" xfId="0" applyFont="1" applyFill="1" applyBorder="1" applyAlignment="1" applyProtection="1">
      <alignment horizontal="center" vertical="center" wrapText="1"/>
      <protection hidden="1"/>
    </xf>
    <xf numFmtId="0" fontId="31" fillId="53" borderId="462" xfId="0" applyFont="1" applyFill="1" applyBorder="1" applyAlignment="1" applyProtection="1">
      <alignment horizontal="center" vertical="center" wrapText="1"/>
      <protection hidden="1"/>
    </xf>
    <xf numFmtId="0" fontId="31" fillId="53" borderId="0" xfId="0" applyFont="1" applyFill="1" applyAlignment="1" applyProtection="1">
      <alignment horizontal="center" vertical="center" wrapText="1"/>
      <protection hidden="1"/>
    </xf>
    <xf numFmtId="0" fontId="31" fillId="53" borderId="97" xfId="0" applyFont="1" applyFill="1" applyBorder="1" applyAlignment="1" applyProtection="1">
      <alignment horizontal="center" vertical="center" wrapText="1"/>
      <protection hidden="1"/>
    </xf>
    <xf numFmtId="0" fontId="31" fillId="53" borderId="50" xfId="0" applyFont="1" applyFill="1" applyBorder="1" applyAlignment="1" applyProtection="1">
      <alignment horizontal="center" vertical="center" wrapText="1"/>
      <protection hidden="1"/>
    </xf>
    <xf numFmtId="0" fontId="31" fillId="53" borderId="98" xfId="0" applyFont="1" applyFill="1" applyBorder="1" applyAlignment="1" applyProtection="1">
      <alignment horizontal="center" vertical="center" wrapText="1"/>
      <protection hidden="1"/>
    </xf>
    <xf numFmtId="3" fontId="31" fillId="30" borderId="55" xfId="0" applyNumberFormat="1" applyFont="1" applyFill="1" applyBorder="1" applyAlignment="1" applyProtection="1">
      <alignment horizontal="center" vertical="center" wrapText="1"/>
      <protection hidden="1"/>
    </xf>
    <xf numFmtId="3" fontId="31" fillId="30" borderId="46" xfId="0" applyNumberFormat="1" applyFont="1" applyFill="1" applyBorder="1" applyAlignment="1" applyProtection="1">
      <alignment horizontal="center" vertical="center" wrapText="1"/>
      <protection hidden="1"/>
    </xf>
    <xf numFmtId="3" fontId="31" fillId="30" borderId="595" xfId="0" applyNumberFormat="1" applyFont="1" applyFill="1" applyBorder="1" applyAlignment="1" applyProtection="1">
      <alignment horizontal="center" vertical="center" wrapText="1"/>
      <protection hidden="1"/>
    </xf>
    <xf numFmtId="3" fontId="31" fillId="30" borderId="56" xfId="0" applyNumberFormat="1" applyFont="1" applyFill="1" applyBorder="1" applyAlignment="1" applyProtection="1">
      <alignment horizontal="center" vertical="center" wrapText="1"/>
      <protection hidden="1"/>
    </xf>
    <xf numFmtId="3" fontId="31" fillId="30" borderId="0" xfId="0" applyNumberFormat="1" applyFont="1" applyFill="1" applyAlignment="1" applyProtection="1">
      <alignment horizontal="center" vertical="center" wrapText="1"/>
      <protection hidden="1"/>
    </xf>
    <xf numFmtId="3" fontId="31" fillId="30" borderId="583" xfId="0" applyNumberFormat="1" applyFont="1" applyFill="1" applyBorder="1" applyAlignment="1" applyProtection="1">
      <alignment horizontal="center" vertical="center" wrapText="1"/>
      <protection hidden="1"/>
    </xf>
    <xf numFmtId="3" fontId="31" fillId="30" borderId="57" xfId="0" applyNumberFormat="1" applyFont="1" applyFill="1" applyBorder="1" applyAlignment="1" applyProtection="1">
      <alignment horizontal="center" vertical="center" wrapText="1"/>
      <protection hidden="1"/>
    </xf>
    <xf numFmtId="3" fontId="31" fillId="30" borderId="50" xfId="0" applyNumberFormat="1" applyFont="1" applyFill="1" applyBorder="1" applyAlignment="1" applyProtection="1">
      <alignment horizontal="center" vertical="center" wrapText="1"/>
      <protection hidden="1"/>
    </xf>
    <xf numFmtId="3" fontId="31" fillId="30" borderId="599" xfId="0" applyNumberFormat="1" applyFont="1" applyFill="1" applyBorder="1" applyAlignment="1" applyProtection="1">
      <alignment horizontal="center" vertical="center" wrapText="1"/>
      <protection hidden="1"/>
    </xf>
    <xf numFmtId="0" fontId="161" fillId="2" borderId="418" xfId="1" applyFont="1" applyFill="1" applyBorder="1" applyAlignment="1" applyProtection="1">
      <alignment horizontal="center" vertical="center" shrinkToFit="1"/>
      <protection locked="0"/>
    </xf>
    <xf numFmtId="0" fontId="47" fillId="2" borderId="419" xfId="0" applyFont="1" applyFill="1" applyBorder="1" applyAlignment="1" applyProtection="1">
      <alignment horizontal="center" vertical="center" shrinkToFit="1"/>
      <protection locked="0"/>
    </xf>
    <xf numFmtId="0" fontId="47" fillId="2" borderId="596" xfId="0" applyFont="1" applyFill="1" applyBorder="1" applyAlignment="1" applyProtection="1">
      <alignment horizontal="center" vertical="center" shrinkToFit="1"/>
      <protection locked="0"/>
    </xf>
    <xf numFmtId="0" fontId="47" fillId="2" borderId="65" xfId="0" applyFont="1" applyFill="1" applyBorder="1" applyAlignment="1" applyProtection="1">
      <alignment horizontal="center" vertical="center" shrinkToFit="1"/>
      <protection locked="0"/>
    </xf>
    <xf numFmtId="182" fontId="47" fillId="2" borderId="418" xfId="0" applyNumberFormat="1" applyFont="1" applyFill="1" applyBorder="1" applyAlignment="1" applyProtection="1">
      <alignment horizontal="center" vertical="center" shrinkToFit="1"/>
      <protection locked="0"/>
    </xf>
    <xf numFmtId="182" fontId="47" fillId="2" borderId="419" xfId="0" applyNumberFormat="1" applyFont="1" applyFill="1" applyBorder="1" applyAlignment="1" applyProtection="1">
      <alignment horizontal="center" vertical="center" shrinkToFit="1"/>
      <protection locked="0"/>
    </xf>
    <xf numFmtId="182" fontId="47" fillId="2" borderId="584" xfId="0" applyNumberFormat="1" applyFont="1" applyFill="1" applyBorder="1" applyAlignment="1" applyProtection="1">
      <alignment horizontal="center" vertical="center" shrinkToFit="1"/>
      <protection locked="0"/>
    </xf>
    <xf numFmtId="0" fontId="31" fillId="11" borderId="68" xfId="0" applyFont="1" applyFill="1" applyBorder="1" applyAlignment="1" applyProtection="1">
      <alignment horizontal="center" vertical="center" wrapText="1" shrinkToFit="1"/>
      <protection hidden="1"/>
    </xf>
    <xf numFmtId="0" fontId="31" fillId="11" borderId="101" xfId="0" applyFont="1" applyFill="1" applyBorder="1" applyAlignment="1" applyProtection="1">
      <alignment horizontal="center" vertical="center" wrapText="1" shrinkToFit="1"/>
      <protection hidden="1"/>
    </xf>
    <xf numFmtId="0" fontId="31" fillId="11" borderId="134" xfId="0" applyFont="1" applyFill="1" applyBorder="1" applyAlignment="1" applyProtection="1">
      <alignment horizontal="center" vertical="center" wrapText="1" shrinkToFit="1"/>
      <protection hidden="1"/>
    </xf>
    <xf numFmtId="0" fontId="31" fillId="11" borderId="139" xfId="0" applyFont="1" applyFill="1" applyBorder="1" applyAlignment="1" applyProtection="1">
      <alignment horizontal="center" vertical="center" wrapText="1" shrinkToFit="1"/>
      <protection hidden="1"/>
    </xf>
    <xf numFmtId="0" fontId="31" fillId="11" borderId="103" xfId="0" applyFont="1" applyFill="1" applyBorder="1" applyAlignment="1" applyProtection="1">
      <alignment horizontal="center" vertical="center" wrapText="1" shrinkToFit="1"/>
      <protection hidden="1"/>
    </xf>
    <xf numFmtId="0" fontId="31" fillId="11" borderId="140" xfId="0" applyFont="1" applyFill="1" applyBorder="1" applyAlignment="1" applyProtection="1">
      <alignment horizontal="center" vertical="center" wrapText="1" shrinkToFit="1"/>
      <protection hidden="1"/>
    </xf>
    <xf numFmtId="0" fontId="28" fillId="2" borderId="280" xfId="0" applyFont="1" applyFill="1" applyBorder="1" applyAlignment="1" applyProtection="1">
      <alignment horizontal="center" vertical="center" shrinkToFit="1"/>
      <protection locked="0"/>
    </xf>
    <xf numFmtId="0" fontId="28" fillId="2" borderId="281" xfId="0" applyFont="1" applyFill="1" applyBorder="1" applyAlignment="1" applyProtection="1">
      <alignment horizontal="center" vertical="center" shrinkToFit="1"/>
      <protection locked="0"/>
    </xf>
    <xf numFmtId="0" fontId="28" fillId="2" borderId="287" xfId="0" applyFont="1" applyFill="1" applyBorder="1" applyAlignment="1" applyProtection="1">
      <alignment horizontal="center" vertical="center" shrinkToFit="1"/>
      <protection locked="0"/>
    </xf>
    <xf numFmtId="0" fontId="28" fillId="2" borderId="305" xfId="0" applyFont="1" applyFill="1" applyBorder="1" applyAlignment="1" applyProtection="1">
      <alignment horizontal="center" vertical="center" shrinkToFit="1"/>
      <protection locked="0"/>
    </xf>
    <xf numFmtId="0" fontId="28" fillId="2" borderId="308" xfId="0" applyFont="1" applyFill="1" applyBorder="1" applyAlignment="1" applyProtection="1">
      <alignment horizontal="center" vertical="center" shrinkToFit="1"/>
      <protection locked="0"/>
    </xf>
    <xf numFmtId="0" fontId="28" fillId="2" borderId="288" xfId="0" applyFont="1" applyFill="1" applyBorder="1" applyAlignment="1" applyProtection="1">
      <alignment horizontal="center" vertical="center" shrinkToFit="1"/>
      <protection locked="0"/>
    </xf>
    <xf numFmtId="0" fontId="28" fillId="2" borderId="289" xfId="0" applyFont="1" applyFill="1" applyBorder="1" applyAlignment="1" applyProtection="1">
      <alignment horizontal="center" vertical="center" shrinkToFit="1"/>
      <protection locked="0"/>
    </xf>
    <xf numFmtId="0" fontId="28" fillId="2" borderId="295" xfId="0" applyFont="1" applyFill="1" applyBorder="1" applyAlignment="1" applyProtection="1">
      <alignment horizontal="center" vertical="center" shrinkToFit="1"/>
      <protection locked="0"/>
    </xf>
    <xf numFmtId="0" fontId="31" fillId="11" borderId="55" xfId="0" applyFont="1" applyFill="1" applyBorder="1" applyAlignment="1" applyProtection="1">
      <alignment horizontal="center" vertical="center" wrapText="1"/>
      <protection hidden="1"/>
    </xf>
    <xf numFmtId="0" fontId="31" fillId="11" borderId="595" xfId="0" applyFont="1" applyFill="1" applyBorder="1" applyAlignment="1" applyProtection="1">
      <alignment horizontal="center" vertical="center" wrapText="1"/>
      <protection hidden="1"/>
    </xf>
    <xf numFmtId="0" fontId="31" fillId="11" borderId="448" xfId="0" applyFont="1" applyFill="1" applyBorder="1" applyAlignment="1" applyProtection="1">
      <alignment horizontal="center" vertical="center" wrapText="1"/>
      <protection hidden="1"/>
    </xf>
    <xf numFmtId="0" fontId="31" fillId="11" borderId="449" xfId="0" applyFont="1" applyFill="1" applyBorder="1" applyAlignment="1" applyProtection="1">
      <alignment horizontal="center" vertical="center" wrapText="1"/>
      <protection hidden="1"/>
    </xf>
    <xf numFmtId="0" fontId="31" fillId="11" borderId="598" xfId="0" applyFont="1" applyFill="1" applyBorder="1" applyAlignment="1" applyProtection="1">
      <alignment horizontal="center" vertical="center" wrapText="1"/>
      <protection hidden="1"/>
    </xf>
    <xf numFmtId="0" fontId="28" fillId="8" borderId="46" xfId="0" applyFont="1" applyFill="1" applyBorder="1" applyAlignment="1" applyProtection="1">
      <alignment horizontal="center" vertical="center"/>
      <protection locked="0"/>
    </xf>
    <xf numFmtId="0" fontId="28" fillId="8" borderId="0" xfId="0" applyFont="1" applyFill="1" applyAlignment="1" applyProtection="1">
      <alignment horizontal="center" vertical="center"/>
      <protection locked="0"/>
    </xf>
    <xf numFmtId="0" fontId="28" fillId="8" borderId="53" xfId="0" applyFont="1" applyFill="1" applyBorder="1" applyAlignment="1" applyProtection="1">
      <alignment horizontal="center" vertical="center"/>
      <protection locked="0"/>
    </xf>
    <xf numFmtId="0" fontId="28" fillId="0" borderId="418" xfId="0" applyFont="1" applyBorder="1" applyAlignment="1" applyProtection="1">
      <alignment horizontal="center" vertical="center"/>
      <protection locked="0"/>
    </xf>
    <xf numFmtId="0" fontId="28" fillId="0" borderId="46" xfId="0" applyFont="1" applyBorder="1" applyAlignment="1" applyProtection="1">
      <alignment horizontal="center" vertical="center"/>
      <protection locked="0"/>
    </xf>
    <xf numFmtId="0" fontId="28" fillId="0" borderId="49" xfId="0" applyFont="1" applyBorder="1" applyAlignment="1" applyProtection="1">
      <alignment horizontal="center" vertical="center"/>
      <protection locked="0"/>
    </xf>
    <xf numFmtId="0" fontId="28" fillId="0" borderId="419"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0" borderId="584" xfId="0" applyFont="1" applyBorder="1" applyAlignment="1" applyProtection="1">
      <alignment horizontal="center" vertical="center"/>
      <protection locked="0"/>
    </xf>
    <xf numFmtId="0" fontId="28" fillId="0" borderId="53" xfId="0" applyFont="1" applyBorder="1" applyAlignment="1" applyProtection="1">
      <alignment horizontal="center" vertical="center"/>
      <protection locked="0"/>
    </xf>
    <xf numFmtId="0" fontId="28" fillId="0" borderId="54" xfId="0" applyFont="1" applyBorder="1" applyAlignment="1" applyProtection="1">
      <alignment horizontal="center" vertical="center"/>
      <protection locked="0"/>
    </xf>
    <xf numFmtId="0" fontId="31" fillId="11" borderId="53" xfId="0" applyFont="1" applyFill="1" applyBorder="1" applyAlignment="1">
      <alignment horizontal="center" vertical="center" wrapText="1"/>
    </xf>
    <xf numFmtId="0" fontId="60" fillId="4" borderId="286" xfId="0" applyFont="1" applyFill="1" applyBorder="1" applyAlignment="1" applyProtection="1">
      <alignment horizontal="center" vertical="center" shrinkToFit="1"/>
      <protection hidden="1"/>
    </xf>
    <xf numFmtId="0" fontId="60" fillId="4" borderId="281" xfId="0" applyFont="1" applyFill="1" applyBorder="1" applyAlignment="1" applyProtection="1">
      <alignment horizontal="center" vertical="center" shrinkToFit="1"/>
      <protection hidden="1"/>
    </xf>
    <xf numFmtId="0" fontId="60" fillId="4" borderId="287" xfId="0" applyFont="1" applyFill="1" applyBorder="1" applyAlignment="1" applyProtection="1">
      <alignment horizontal="center" vertical="center" shrinkToFit="1"/>
      <protection hidden="1"/>
    </xf>
    <xf numFmtId="0" fontId="60" fillId="4" borderId="298" xfId="0" applyFont="1" applyFill="1" applyBorder="1" applyAlignment="1" applyProtection="1">
      <alignment horizontal="center" vertical="center" shrinkToFit="1"/>
      <protection hidden="1"/>
    </xf>
    <xf numFmtId="0" fontId="30" fillId="8" borderId="0" xfId="0" applyFont="1" applyFill="1" applyAlignment="1" applyProtection="1">
      <alignment vertical="center" wrapText="1"/>
      <protection hidden="1"/>
    </xf>
    <xf numFmtId="0" fontId="45" fillId="18" borderId="55" xfId="0" applyFont="1" applyFill="1" applyBorder="1" applyAlignment="1" applyProtection="1">
      <alignment horizontal="center" vertical="center" wrapText="1"/>
      <protection hidden="1"/>
    </xf>
    <xf numFmtId="0" fontId="45" fillId="18" borderId="46" xfId="0" applyFont="1" applyFill="1" applyBorder="1" applyAlignment="1" applyProtection="1">
      <alignment horizontal="center" vertical="center" wrapText="1"/>
      <protection hidden="1"/>
    </xf>
    <xf numFmtId="0" fontId="45" fillId="18" borderId="56" xfId="0" applyFont="1" applyFill="1" applyBorder="1" applyAlignment="1" applyProtection="1">
      <alignment horizontal="center" vertical="center" wrapText="1"/>
      <protection hidden="1"/>
    </xf>
    <xf numFmtId="0" fontId="45" fillId="18" borderId="0" xfId="0" applyFont="1" applyFill="1" applyAlignment="1" applyProtection="1">
      <alignment horizontal="center" vertical="center" wrapText="1"/>
      <protection hidden="1"/>
    </xf>
    <xf numFmtId="0" fontId="45" fillId="18" borderId="57" xfId="0" applyFont="1" applyFill="1" applyBorder="1" applyAlignment="1" applyProtection="1">
      <alignment horizontal="center" vertical="center" wrapText="1"/>
      <protection hidden="1"/>
    </xf>
    <xf numFmtId="0" fontId="45" fillId="18" borderId="50" xfId="0" applyFont="1" applyFill="1" applyBorder="1" applyAlignment="1" applyProtection="1">
      <alignment horizontal="center" vertical="center" wrapText="1"/>
      <protection hidden="1"/>
    </xf>
    <xf numFmtId="49" fontId="29" fillId="0" borderId="318" xfId="0" applyNumberFormat="1" applyFont="1" applyBorder="1" applyAlignment="1" applyProtection="1">
      <alignment horizontal="center" vertical="center" shrinkToFit="1"/>
      <protection locked="0"/>
    </xf>
    <xf numFmtId="49" fontId="29" fillId="0" borderId="319" xfId="0" applyNumberFormat="1" applyFont="1" applyBorder="1" applyAlignment="1" applyProtection="1">
      <alignment horizontal="center" vertical="center" shrinkToFit="1"/>
      <protection locked="0"/>
    </xf>
    <xf numFmtId="0" fontId="40" fillId="9" borderId="70" xfId="0" applyFont="1" applyFill="1" applyBorder="1" applyAlignment="1" applyProtection="1">
      <alignment vertical="center" shrinkToFit="1"/>
      <protection hidden="1"/>
    </xf>
    <xf numFmtId="0" fontId="40" fillId="9" borderId="51" xfId="0" applyFont="1" applyFill="1" applyBorder="1" applyAlignment="1" applyProtection="1">
      <alignment vertical="center" shrinkToFit="1"/>
      <protection hidden="1"/>
    </xf>
    <xf numFmtId="0" fontId="40" fillId="9" borderId="47" xfId="0" applyFont="1" applyFill="1" applyBorder="1" applyAlignment="1" applyProtection="1">
      <alignment vertical="center" shrinkToFit="1"/>
      <protection hidden="1"/>
    </xf>
    <xf numFmtId="0" fontId="40" fillId="9" borderId="0" xfId="0" applyFont="1" applyFill="1" applyAlignment="1" applyProtection="1">
      <alignment vertical="center" shrinkToFit="1"/>
      <protection hidden="1"/>
    </xf>
    <xf numFmtId="0" fontId="52" fillId="8" borderId="0" xfId="0" applyFont="1" applyFill="1" applyProtection="1">
      <alignment vertical="center"/>
      <protection hidden="1"/>
    </xf>
    <xf numFmtId="0" fontId="31" fillId="11" borderId="57" xfId="0" applyFont="1" applyFill="1" applyBorder="1" applyAlignment="1" applyProtection="1">
      <alignment horizontal="center" vertical="center" wrapText="1"/>
      <protection hidden="1"/>
    </xf>
    <xf numFmtId="0" fontId="31" fillId="11" borderId="276" xfId="0" applyFont="1" applyFill="1" applyBorder="1" applyAlignment="1" applyProtection="1">
      <alignment horizontal="center" vertical="center" wrapText="1"/>
      <protection hidden="1"/>
    </xf>
    <xf numFmtId="0" fontId="29" fillId="23" borderId="235" xfId="0" applyFont="1" applyFill="1" applyBorder="1" applyAlignment="1" applyProtection="1">
      <alignment horizontal="center" vertical="center" shrinkToFit="1"/>
      <protection locked="0"/>
    </xf>
    <xf numFmtId="0" fontId="29" fillId="23" borderId="236" xfId="0" applyFont="1" applyFill="1" applyBorder="1" applyAlignment="1" applyProtection="1">
      <alignment horizontal="center" vertical="center" shrinkToFit="1"/>
      <protection locked="0"/>
    </xf>
    <xf numFmtId="0" fontId="53" fillId="18" borderId="0" xfId="0" applyFont="1" applyFill="1" applyAlignment="1" applyProtection="1">
      <alignment horizontal="left" vertical="center"/>
      <protection hidden="1"/>
    </xf>
    <xf numFmtId="0" fontId="51" fillId="8" borderId="0" xfId="0" applyFont="1" applyFill="1" applyAlignment="1" applyProtection="1">
      <alignment horizontal="right" vertical="center" wrapText="1"/>
      <protection hidden="1"/>
    </xf>
    <xf numFmtId="0" fontId="48" fillId="2" borderId="280" xfId="0" applyFont="1" applyFill="1" applyBorder="1" applyAlignment="1" applyProtection="1">
      <alignment horizontal="center" vertical="center" shrinkToFit="1"/>
      <protection locked="0" hidden="1"/>
    </xf>
    <xf numFmtId="0" fontId="48" fillId="2" borderId="281" xfId="0" applyFont="1" applyFill="1" applyBorder="1" applyAlignment="1" applyProtection="1">
      <alignment horizontal="center" vertical="center" shrinkToFit="1"/>
      <protection locked="0" hidden="1"/>
    </xf>
    <xf numFmtId="0" fontId="48" fillId="2" borderId="287" xfId="0" applyFont="1" applyFill="1" applyBorder="1" applyAlignment="1" applyProtection="1">
      <alignment horizontal="center" vertical="center" shrinkToFit="1"/>
      <protection locked="0" hidden="1"/>
    </xf>
    <xf numFmtId="0" fontId="48" fillId="2" borderId="305" xfId="0" applyFont="1" applyFill="1" applyBorder="1" applyAlignment="1" applyProtection="1">
      <alignment horizontal="center" vertical="center" shrinkToFit="1"/>
      <protection locked="0" hidden="1"/>
    </xf>
    <xf numFmtId="0" fontId="48" fillId="2" borderId="0" xfId="0" applyFont="1" applyFill="1" applyAlignment="1" applyProtection="1">
      <alignment horizontal="center" vertical="center" shrinkToFit="1"/>
      <protection locked="0" hidden="1"/>
    </xf>
    <xf numFmtId="0" fontId="48" fillId="2" borderId="308" xfId="0" applyFont="1" applyFill="1" applyBorder="1" applyAlignment="1" applyProtection="1">
      <alignment horizontal="center" vertical="center" shrinkToFit="1"/>
      <protection locked="0" hidden="1"/>
    </xf>
    <xf numFmtId="0" fontId="48" fillId="2" borderId="288" xfId="0" applyFont="1" applyFill="1" applyBorder="1" applyAlignment="1" applyProtection="1">
      <alignment horizontal="center" vertical="center" shrinkToFit="1"/>
      <protection locked="0" hidden="1"/>
    </xf>
    <xf numFmtId="0" fontId="48" fillId="2" borderId="289" xfId="0" applyFont="1" applyFill="1" applyBorder="1" applyAlignment="1" applyProtection="1">
      <alignment horizontal="center" vertical="center" shrinkToFit="1"/>
      <protection locked="0" hidden="1"/>
    </xf>
    <xf numFmtId="0" fontId="48" fillId="2" borderId="295" xfId="0" applyFont="1" applyFill="1" applyBorder="1" applyAlignment="1" applyProtection="1">
      <alignment horizontal="center" vertical="center" shrinkToFit="1"/>
      <protection locked="0" hidden="1"/>
    </xf>
    <xf numFmtId="180" fontId="47" fillId="8" borderId="55" xfId="0" applyNumberFormat="1" applyFont="1" applyFill="1" applyBorder="1" applyAlignment="1" applyProtection="1">
      <alignment horizontal="right" vertical="center" shrinkToFit="1"/>
      <protection hidden="1"/>
    </xf>
    <xf numFmtId="180" fontId="47" fillId="8" borderId="56" xfId="0" applyNumberFormat="1" applyFont="1" applyFill="1" applyBorder="1" applyAlignment="1" applyProtection="1">
      <alignment horizontal="right" vertical="center" shrinkToFit="1"/>
      <protection hidden="1"/>
    </xf>
    <xf numFmtId="180" fontId="47" fillId="8" borderId="61" xfId="0" applyNumberFormat="1" applyFont="1" applyFill="1" applyBorder="1" applyAlignment="1" applyProtection="1">
      <alignment horizontal="right" vertical="center" shrinkToFit="1"/>
      <protection hidden="1"/>
    </xf>
    <xf numFmtId="0" fontId="37" fillId="8" borderId="50" xfId="0" applyFont="1" applyFill="1" applyBorder="1" applyAlignment="1" applyProtection="1">
      <alignment horizontal="left" vertical="center"/>
      <protection hidden="1"/>
    </xf>
    <xf numFmtId="0" fontId="31" fillId="17" borderId="70" xfId="0" applyFont="1" applyFill="1" applyBorder="1" applyAlignment="1" applyProtection="1">
      <alignment horizontal="center" vertical="center"/>
      <protection hidden="1"/>
    </xf>
    <xf numFmtId="0" fontId="31" fillId="17" borderId="51" xfId="0" applyFont="1" applyFill="1" applyBorder="1" applyAlignment="1" applyProtection="1">
      <alignment horizontal="center" vertical="center"/>
      <protection hidden="1"/>
    </xf>
    <xf numFmtId="0" fontId="31" fillId="17" borderId="52" xfId="0" applyFont="1" applyFill="1" applyBorder="1" applyAlignment="1" applyProtection="1">
      <alignment horizontal="center" vertical="center"/>
      <protection hidden="1"/>
    </xf>
    <xf numFmtId="0" fontId="31" fillId="17" borderId="47" xfId="0" applyFont="1" applyFill="1" applyBorder="1" applyAlignment="1" applyProtection="1">
      <alignment horizontal="center" vertical="center"/>
      <protection hidden="1"/>
    </xf>
    <xf numFmtId="0" fontId="31" fillId="17" borderId="0" xfId="0" applyFont="1" applyFill="1" applyAlignment="1" applyProtection="1">
      <alignment horizontal="center" vertical="center"/>
      <protection hidden="1"/>
    </xf>
    <xf numFmtId="0" fontId="31" fillId="17" borderId="39" xfId="0" applyFont="1" applyFill="1" applyBorder="1" applyAlignment="1" applyProtection="1">
      <alignment horizontal="center" vertical="center"/>
      <protection hidden="1"/>
    </xf>
    <xf numFmtId="38" fontId="66" fillId="2" borderId="252" xfId="2" applyFont="1" applyFill="1" applyBorder="1" applyAlignment="1" applyProtection="1">
      <alignment horizontal="center" vertical="center"/>
      <protection locked="0" hidden="1"/>
    </xf>
    <xf numFmtId="38" fontId="66" fillId="2" borderId="190" xfId="2" applyFont="1" applyFill="1" applyBorder="1" applyAlignment="1" applyProtection="1">
      <alignment horizontal="center" vertical="center"/>
      <protection locked="0" hidden="1"/>
    </xf>
    <xf numFmtId="0" fontId="22" fillId="11" borderId="252" xfId="0" applyFont="1" applyFill="1" applyBorder="1" applyAlignment="1" applyProtection="1">
      <alignment horizontal="center" vertical="center" wrapText="1"/>
      <protection hidden="1"/>
    </xf>
    <xf numFmtId="0" fontId="22" fillId="11" borderId="190" xfId="0" applyFont="1" applyFill="1" applyBorder="1" applyAlignment="1" applyProtection="1">
      <alignment horizontal="center" vertical="center" wrapText="1"/>
      <protection hidden="1"/>
    </xf>
    <xf numFmtId="0" fontId="20" fillId="4" borderId="286" xfId="0" applyFont="1" applyFill="1" applyBorder="1" applyAlignment="1" applyProtection="1">
      <alignment horizontal="center" vertical="center" shrinkToFit="1"/>
      <protection hidden="1"/>
    </xf>
    <xf numFmtId="0" fontId="20" fillId="4" borderId="281" xfId="0" applyFont="1" applyFill="1" applyBorder="1" applyAlignment="1" applyProtection="1">
      <alignment horizontal="center" vertical="center" shrinkToFit="1"/>
      <protection hidden="1"/>
    </xf>
    <xf numFmtId="0" fontId="20" fillId="4" borderId="296" xfId="0" applyFont="1" applyFill="1" applyBorder="1" applyAlignment="1" applyProtection="1">
      <alignment horizontal="center" vertical="center" shrinkToFit="1"/>
      <protection hidden="1"/>
    </xf>
    <xf numFmtId="0" fontId="20" fillId="4" borderId="33" xfId="0" applyFont="1" applyFill="1" applyBorder="1" applyAlignment="1" applyProtection="1">
      <alignment horizontal="center" vertical="center" shrinkToFit="1"/>
      <protection hidden="1"/>
    </xf>
    <xf numFmtId="0" fontId="106" fillId="4" borderId="282" xfId="0" applyFont="1" applyFill="1" applyBorder="1" applyAlignment="1" applyProtection="1">
      <alignment vertical="center" shrinkToFit="1"/>
      <protection hidden="1"/>
    </xf>
    <xf numFmtId="0" fontId="106" fillId="4" borderId="10" xfId="0" applyFont="1" applyFill="1" applyBorder="1" applyAlignment="1" applyProtection="1">
      <alignment vertical="center" shrinkToFit="1"/>
      <protection hidden="1"/>
    </xf>
    <xf numFmtId="49" fontId="29" fillId="0" borderId="34" xfId="0" applyNumberFormat="1" applyFont="1" applyBorder="1" applyAlignment="1" applyProtection="1">
      <alignment horizontal="center" vertical="center" shrinkToFit="1"/>
      <protection locked="0"/>
    </xf>
    <xf numFmtId="49" fontId="29" fillId="0" borderId="6" xfId="0" applyNumberFormat="1" applyFont="1" applyBorder="1" applyAlignment="1" applyProtection="1">
      <alignment horizontal="center" vertical="center" shrinkToFit="1"/>
      <protection locked="0"/>
    </xf>
    <xf numFmtId="49" fontId="29" fillId="0" borderId="111" xfId="0" applyNumberFormat="1" applyFont="1" applyBorder="1" applyAlignment="1" applyProtection="1">
      <alignment horizontal="center" vertical="center" shrinkToFit="1"/>
      <protection locked="0"/>
    </xf>
    <xf numFmtId="49" fontId="29" fillId="0" borderId="180" xfId="0" applyNumberFormat="1" applyFont="1" applyBorder="1" applyAlignment="1" applyProtection="1">
      <alignment horizontal="center" vertical="center" shrinkToFit="1"/>
      <protection locked="0"/>
    </xf>
    <xf numFmtId="49" fontId="29" fillId="0" borderId="14" xfId="0" applyNumberFormat="1" applyFont="1" applyBorder="1" applyAlignment="1" applyProtection="1">
      <alignment horizontal="center" vertical="center" shrinkToFit="1"/>
      <protection locked="0"/>
    </xf>
    <xf numFmtId="49" fontId="29" fillId="0" borderId="23" xfId="0" applyNumberFormat="1" applyFont="1" applyBorder="1" applyAlignment="1" applyProtection="1">
      <alignment horizontal="center" vertical="center" shrinkToFit="1"/>
      <protection locked="0"/>
    </xf>
    <xf numFmtId="0" fontId="74" fillId="4" borderId="280" xfId="0" applyFont="1" applyFill="1" applyBorder="1" applyAlignment="1" applyProtection="1">
      <alignment horizontal="center" vertical="center" shrinkToFit="1"/>
      <protection hidden="1"/>
    </xf>
    <xf numFmtId="0" fontId="74" fillId="4" borderId="281" xfId="0" applyFont="1" applyFill="1" applyBorder="1" applyAlignment="1" applyProtection="1">
      <alignment horizontal="center" vertical="center" shrinkToFit="1"/>
      <protection hidden="1"/>
    </xf>
    <xf numFmtId="0" fontId="74" fillId="4" borderId="282" xfId="0" applyFont="1" applyFill="1" applyBorder="1" applyAlignment="1" applyProtection="1">
      <alignment horizontal="center" vertical="center" shrinkToFit="1"/>
      <protection hidden="1"/>
    </xf>
    <xf numFmtId="0" fontId="74" fillId="4" borderId="288" xfId="0" applyFont="1" applyFill="1" applyBorder="1" applyAlignment="1" applyProtection="1">
      <alignment horizontal="center" vertical="center" shrinkToFit="1"/>
      <protection hidden="1"/>
    </xf>
    <xf numFmtId="0" fontId="74" fillId="4" borderId="289" xfId="0" applyFont="1" applyFill="1" applyBorder="1" applyAlignment="1" applyProtection="1">
      <alignment horizontal="center" vertical="center" shrinkToFit="1"/>
      <protection hidden="1"/>
    </xf>
    <xf numFmtId="0" fontId="74" fillId="4" borderId="290" xfId="0" applyFont="1" applyFill="1" applyBorder="1" applyAlignment="1" applyProtection="1">
      <alignment horizontal="center" vertical="center" shrinkToFit="1"/>
      <protection hidden="1"/>
    </xf>
    <xf numFmtId="0" fontId="41" fillId="7" borderId="91" xfId="0" applyFont="1" applyFill="1" applyBorder="1" applyAlignment="1" applyProtection="1">
      <alignment horizontal="left" vertical="top" wrapText="1"/>
      <protection hidden="1"/>
    </xf>
    <xf numFmtId="0" fontId="41" fillId="7" borderId="92" xfId="0" applyFont="1" applyFill="1" applyBorder="1" applyAlignment="1" applyProtection="1">
      <alignment horizontal="left" vertical="top" wrapText="1"/>
      <protection hidden="1"/>
    </xf>
    <xf numFmtId="0" fontId="41" fillId="7" borderId="0" xfId="0" applyFont="1" applyFill="1" applyAlignment="1" applyProtection="1">
      <alignment horizontal="left" vertical="top" wrapText="1"/>
      <protection hidden="1"/>
    </xf>
    <xf numFmtId="0" fontId="41" fillId="7" borderId="94" xfId="0" applyFont="1" applyFill="1" applyBorder="1" applyAlignment="1" applyProtection="1">
      <alignment horizontal="left" vertical="top" wrapText="1"/>
      <protection hidden="1"/>
    </xf>
    <xf numFmtId="0" fontId="36" fillId="4" borderId="281" xfId="0" applyFont="1" applyFill="1" applyBorder="1" applyAlignment="1" applyProtection="1">
      <alignment horizontal="center" vertical="center" shrinkToFit="1"/>
      <protection hidden="1"/>
    </xf>
    <xf numFmtId="0" fontId="36" fillId="4" borderId="289" xfId="0" applyFont="1" applyFill="1" applyBorder="1" applyAlignment="1" applyProtection="1">
      <alignment horizontal="center" vertical="center" shrinkToFit="1"/>
      <protection hidden="1"/>
    </xf>
    <xf numFmtId="0" fontId="18" fillId="2" borderId="286" xfId="1" applyFill="1" applyBorder="1" applyAlignment="1" applyProtection="1">
      <alignment horizontal="center" vertical="center" shrinkToFit="1"/>
      <protection locked="0"/>
    </xf>
    <xf numFmtId="0" fontId="18" fillId="2" borderId="281" xfId="1" applyFill="1" applyBorder="1" applyAlignment="1" applyProtection="1">
      <alignment horizontal="center" vertical="center" shrinkToFit="1"/>
      <protection locked="0"/>
    </xf>
    <xf numFmtId="0" fontId="18" fillId="2" borderId="287" xfId="1" applyFill="1" applyBorder="1" applyAlignment="1" applyProtection="1">
      <alignment horizontal="center" vertical="center" shrinkToFit="1"/>
      <protection locked="0"/>
    </xf>
    <xf numFmtId="0" fontId="18" fillId="2" borderId="294" xfId="1" applyFill="1" applyBorder="1" applyAlignment="1" applyProtection="1">
      <alignment horizontal="center" vertical="center" shrinkToFit="1"/>
      <protection locked="0"/>
    </xf>
    <xf numFmtId="0" fontId="18" fillId="2" borderId="289" xfId="1" applyFill="1" applyBorder="1" applyAlignment="1" applyProtection="1">
      <alignment horizontal="center" vertical="center" shrinkToFit="1"/>
      <protection locked="0"/>
    </xf>
    <xf numFmtId="0" fontId="18" fillId="2" borderId="295" xfId="1" applyFill="1" applyBorder="1" applyAlignment="1" applyProtection="1">
      <alignment horizontal="center" vertical="center" shrinkToFit="1"/>
      <protection locked="0"/>
    </xf>
    <xf numFmtId="0" fontId="28" fillId="4" borderId="37" xfId="0" applyFont="1" applyFill="1" applyBorder="1" applyAlignment="1">
      <alignment horizontal="center" vertical="center" shrinkToFit="1"/>
    </xf>
    <xf numFmtId="0" fontId="28" fillId="4" borderId="33" xfId="0" applyFont="1" applyFill="1" applyBorder="1" applyAlignment="1">
      <alignment horizontal="center" vertical="center" shrinkToFit="1"/>
    </xf>
    <xf numFmtId="0" fontId="18" fillId="15" borderId="335" xfId="1" applyFill="1" applyBorder="1" applyAlignment="1" applyProtection="1">
      <alignment horizontal="center" vertical="center" wrapText="1"/>
      <protection locked="0" hidden="1"/>
    </xf>
    <xf numFmtId="0" fontId="18" fillId="15" borderId="332" xfId="1" applyFill="1" applyBorder="1" applyAlignment="1" applyProtection="1">
      <alignment horizontal="center" vertical="center" wrapText="1"/>
      <protection locked="0" hidden="1"/>
    </xf>
    <xf numFmtId="0" fontId="18" fillId="15" borderId="337" xfId="1" applyFill="1" applyBorder="1" applyAlignment="1" applyProtection="1">
      <alignment horizontal="center" vertical="center" wrapText="1"/>
      <protection locked="0" hidden="1"/>
    </xf>
    <xf numFmtId="0" fontId="18" fillId="15" borderId="56" xfId="1" applyFill="1" applyBorder="1" applyAlignment="1" applyProtection="1">
      <alignment horizontal="center" vertical="center" wrapText="1"/>
      <protection locked="0" hidden="1"/>
    </xf>
    <xf numFmtId="0" fontId="31" fillId="30" borderId="55" xfId="0" applyFont="1" applyFill="1" applyBorder="1" applyAlignment="1" applyProtection="1">
      <alignment horizontal="center" vertical="center" wrapText="1"/>
      <protection hidden="1"/>
    </xf>
    <xf numFmtId="0" fontId="31" fillId="30" borderId="46" xfId="0" applyFont="1" applyFill="1" applyBorder="1" applyAlignment="1" applyProtection="1">
      <alignment horizontal="center" vertical="center" wrapText="1"/>
      <protection hidden="1"/>
    </xf>
    <xf numFmtId="0" fontId="31" fillId="30" borderId="62" xfId="0" applyFont="1" applyFill="1" applyBorder="1" applyAlignment="1" applyProtection="1">
      <alignment horizontal="center" vertical="center" wrapText="1"/>
      <protection hidden="1"/>
    </xf>
    <xf numFmtId="0" fontId="31" fillId="30" borderId="56" xfId="0" applyFont="1" applyFill="1" applyBorder="1" applyAlignment="1" applyProtection="1">
      <alignment horizontal="center" vertical="center" wrapText="1"/>
      <protection hidden="1"/>
    </xf>
    <xf numFmtId="0" fontId="31" fillId="30" borderId="0" xfId="0" applyFont="1" applyFill="1" applyAlignment="1" applyProtection="1">
      <alignment horizontal="center" vertical="center" wrapText="1"/>
      <protection hidden="1"/>
    </xf>
    <xf numFmtId="0" fontId="31" fillId="30" borderId="64" xfId="0" applyFont="1" applyFill="1" applyBorder="1" applyAlignment="1" applyProtection="1">
      <alignment horizontal="center" vertical="center" wrapText="1"/>
      <protection hidden="1"/>
    </xf>
    <xf numFmtId="0" fontId="31" fillId="11" borderId="189" xfId="0" applyFont="1" applyFill="1" applyBorder="1" applyAlignment="1" applyProtection="1">
      <alignment horizontal="center" vertical="center" wrapText="1" shrinkToFit="1"/>
      <protection hidden="1"/>
    </xf>
    <xf numFmtId="0" fontId="31" fillId="11" borderId="48" xfId="0" applyFont="1" applyFill="1" applyBorder="1" applyAlignment="1" applyProtection="1">
      <alignment horizontal="center" vertical="center" wrapText="1" shrinkToFit="1"/>
      <protection hidden="1"/>
    </xf>
    <xf numFmtId="0" fontId="31" fillId="11" borderId="196" xfId="0" applyFont="1" applyFill="1" applyBorder="1" applyAlignment="1" applyProtection="1">
      <alignment horizontal="center" vertical="center" wrapText="1" shrinkToFit="1"/>
      <protection hidden="1"/>
    </xf>
    <xf numFmtId="0" fontId="31" fillId="11" borderId="189" xfId="0" applyFont="1" applyFill="1" applyBorder="1" applyAlignment="1" applyProtection="1">
      <alignment horizontal="center" vertical="center" wrapText="1"/>
      <protection hidden="1"/>
    </xf>
    <xf numFmtId="0" fontId="31" fillId="11" borderId="48" xfId="0" applyFont="1" applyFill="1" applyBorder="1" applyAlignment="1" applyProtection="1">
      <alignment horizontal="center" vertical="center" wrapText="1"/>
      <protection hidden="1"/>
    </xf>
    <xf numFmtId="0" fontId="31" fillId="11" borderId="196" xfId="0" applyFont="1" applyFill="1" applyBorder="1" applyAlignment="1" applyProtection="1">
      <alignment horizontal="center" vertical="center" wrapText="1"/>
      <protection hidden="1"/>
    </xf>
    <xf numFmtId="0" fontId="45" fillId="18" borderId="71" xfId="0" applyFont="1" applyFill="1" applyBorder="1" applyAlignment="1" applyProtection="1">
      <alignment vertical="center" shrinkToFit="1"/>
      <protection hidden="1"/>
    </xf>
    <xf numFmtId="0" fontId="45" fillId="18" borderId="53" xfId="0" applyFont="1" applyFill="1" applyBorder="1" applyAlignment="1" applyProtection="1">
      <alignment vertical="center" shrinkToFit="1"/>
      <protection hidden="1"/>
    </xf>
    <xf numFmtId="0" fontId="45" fillId="18" borderId="48" xfId="0" applyFont="1" applyFill="1" applyBorder="1" applyAlignment="1" applyProtection="1">
      <alignment vertical="center" shrinkToFit="1"/>
      <protection hidden="1"/>
    </xf>
    <xf numFmtId="0" fontId="45" fillId="18" borderId="148" xfId="0" applyFont="1" applyFill="1" applyBorder="1" applyAlignment="1" applyProtection="1">
      <alignment vertical="center" shrinkToFit="1"/>
      <protection hidden="1"/>
    </xf>
    <xf numFmtId="0" fontId="48" fillId="8" borderId="453" xfId="0" applyFont="1" applyFill="1" applyBorder="1" applyAlignment="1" applyProtection="1">
      <alignment horizontal="center" vertical="center" wrapText="1"/>
      <protection locked="0" hidden="1"/>
    </xf>
    <xf numFmtId="0" fontId="48" fillId="8" borderId="96" xfId="0" applyFont="1" applyFill="1" applyBorder="1" applyAlignment="1" applyProtection="1">
      <alignment horizontal="center" vertical="center" wrapText="1"/>
      <protection locked="0" hidden="1"/>
    </xf>
    <xf numFmtId="0" fontId="48" fillId="8" borderId="531" xfId="0" applyFont="1" applyFill="1" applyBorder="1" applyAlignment="1" applyProtection="1">
      <alignment horizontal="center" vertical="center" wrapText="1"/>
      <protection locked="0" hidden="1"/>
    </xf>
    <xf numFmtId="0" fontId="48" fillId="8" borderId="532" xfId="0" applyFont="1" applyFill="1" applyBorder="1" applyAlignment="1" applyProtection="1">
      <alignment horizontal="center" vertical="center" wrapText="1"/>
      <protection locked="0" hidden="1"/>
    </xf>
    <xf numFmtId="0" fontId="48" fillId="8" borderId="339" xfId="0" applyFont="1" applyFill="1" applyBorder="1" applyAlignment="1" applyProtection="1">
      <alignment horizontal="center" vertical="center" wrapText="1"/>
      <protection locked="0" hidden="1"/>
    </xf>
    <xf numFmtId="0" fontId="48" fillId="8" borderId="343" xfId="0" applyFont="1" applyFill="1" applyBorder="1" applyAlignment="1" applyProtection="1">
      <alignment horizontal="center" vertical="center" wrapText="1"/>
      <protection locked="0" hidden="1"/>
    </xf>
    <xf numFmtId="0" fontId="28" fillId="23" borderId="2" xfId="0" applyFont="1" applyFill="1" applyBorder="1" applyAlignment="1" applyProtection="1">
      <alignment vertical="center" shrinkToFit="1"/>
      <protection locked="0"/>
    </xf>
    <xf numFmtId="0" fontId="28" fillId="23" borderId="10" xfId="0" applyFont="1" applyFill="1" applyBorder="1" applyAlignment="1" applyProtection="1">
      <alignment vertical="center" shrinkToFit="1"/>
      <protection locked="0"/>
    </xf>
    <xf numFmtId="0" fontId="28" fillId="23" borderId="38" xfId="0" applyFont="1" applyFill="1" applyBorder="1" applyAlignment="1" applyProtection="1">
      <alignment vertical="center" shrinkToFit="1"/>
      <protection locked="0"/>
    </xf>
    <xf numFmtId="0" fontId="28" fillId="23" borderId="36" xfId="0" applyFont="1" applyFill="1" applyBorder="1" applyAlignment="1" applyProtection="1">
      <alignment vertical="center" shrinkToFit="1"/>
      <protection locked="0"/>
    </xf>
    <xf numFmtId="0" fontId="28" fillId="23" borderId="37" xfId="0" applyFont="1" applyFill="1" applyBorder="1" applyAlignment="1" applyProtection="1">
      <alignment vertical="center" shrinkToFit="1"/>
      <protection locked="0"/>
    </xf>
    <xf numFmtId="0" fontId="28" fillId="23" borderId="33" xfId="0" applyFont="1" applyFill="1" applyBorder="1" applyAlignment="1" applyProtection="1">
      <alignment vertical="center" shrinkToFit="1"/>
      <protection locked="0"/>
    </xf>
    <xf numFmtId="0" fontId="41" fillId="56" borderId="527" xfId="0" applyFont="1" applyFill="1" applyBorder="1" applyAlignment="1" applyProtection="1">
      <alignment horizontal="center" vertical="center" wrapText="1"/>
      <protection hidden="1"/>
    </xf>
    <xf numFmtId="0" fontId="41" fillId="56" borderId="0" xfId="0" applyFont="1" applyFill="1" applyAlignment="1" applyProtection="1">
      <alignment horizontal="center" vertical="center" wrapText="1"/>
      <protection hidden="1"/>
    </xf>
    <xf numFmtId="0" fontId="41" fillId="56" borderId="338" xfId="0" applyFont="1" applyFill="1" applyBorder="1" applyAlignment="1" applyProtection="1">
      <alignment horizontal="center" vertical="center" wrapText="1"/>
      <protection hidden="1"/>
    </xf>
    <xf numFmtId="0" fontId="41" fillId="56" borderId="339" xfId="0" applyFont="1" applyFill="1" applyBorder="1" applyAlignment="1" applyProtection="1">
      <alignment horizontal="center" vertical="center" wrapText="1"/>
      <protection hidden="1"/>
    </xf>
    <xf numFmtId="0" fontId="108" fillId="56" borderId="0" xfId="1" applyFont="1" applyFill="1" applyBorder="1" applyAlignment="1" applyProtection="1">
      <alignment horizontal="center" vertical="center" wrapText="1"/>
      <protection locked="0" hidden="1"/>
    </xf>
    <xf numFmtId="0" fontId="117" fillId="56" borderId="0" xfId="1" applyFont="1" applyFill="1" applyBorder="1" applyAlignment="1" applyProtection="1">
      <alignment horizontal="center" vertical="center" wrapText="1"/>
      <protection locked="0" hidden="1"/>
    </xf>
    <xf numFmtId="0" fontId="28" fillId="2" borderId="455" xfId="0" applyFont="1" applyFill="1" applyBorder="1" applyAlignment="1" applyProtection="1">
      <alignment horizontal="center" vertical="center" shrinkToFit="1"/>
      <protection locked="0"/>
    </xf>
    <xf numFmtId="0" fontId="28" fillId="2" borderId="56" xfId="0" applyFont="1" applyFill="1" applyBorder="1" applyAlignment="1" applyProtection="1">
      <alignment horizontal="center" vertical="center" shrinkToFit="1"/>
      <protection locked="0"/>
    </xf>
    <xf numFmtId="0" fontId="48" fillId="2" borderId="407" xfId="0" applyFont="1" applyFill="1" applyBorder="1" applyAlignment="1" applyProtection="1">
      <alignment horizontal="center" vertical="center" shrinkToFit="1"/>
      <protection locked="0"/>
    </xf>
    <xf numFmtId="0" fontId="48" fillId="2" borderId="408" xfId="0" applyFont="1" applyFill="1" applyBorder="1" applyAlignment="1" applyProtection="1">
      <alignment horizontal="center" vertical="center" shrinkToFit="1"/>
      <protection locked="0"/>
    </xf>
    <xf numFmtId="0" fontId="48" fillId="2" borderId="409" xfId="0" applyFont="1" applyFill="1" applyBorder="1" applyAlignment="1" applyProtection="1">
      <alignment horizontal="center" vertical="center" shrinkToFit="1"/>
      <protection locked="0"/>
    </xf>
    <xf numFmtId="0" fontId="48" fillId="2" borderId="410" xfId="0" applyFont="1" applyFill="1" applyBorder="1" applyAlignment="1" applyProtection="1">
      <alignment horizontal="center" vertical="center" shrinkToFit="1"/>
      <protection locked="0"/>
    </xf>
    <xf numFmtId="0" fontId="48" fillId="2" borderId="411" xfId="0" applyFont="1" applyFill="1" applyBorder="1" applyAlignment="1" applyProtection="1">
      <alignment horizontal="center" vertical="center" shrinkToFit="1"/>
      <protection locked="0"/>
    </xf>
    <xf numFmtId="0" fontId="48" fillId="2" borderId="412" xfId="0" applyFont="1" applyFill="1" applyBorder="1" applyAlignment="1" applyProtection="1">
      <alignment horizontal="center" vertical="center" shrinkToFit="1"/>
      <protection locked="0"/>
    </xf>
    <xf numFmtId="0" fontId="48" fillId="2" borderId="413" xfId="0" applyFont="1" applyFill="1" applyBorder="1" applyAlignment="1" applyProtection="1">
      <alignment horizontal="center" vertical="center" shrinkToFit="1"/>
      <protection locked="0"/>
    </xf>
    <xf numFmtId="0" fontId="48" fillId="2" borderId="414" xfId="0" applyFont="1" applyFill="1" applyBorder="1" applyAlignment="1" applyProtection="1">
      <alignment horizontal="center" vertical="center" shrinkToFit="1"/>
      <protection locked="0"/>
    </xf>
    <xf numFmtId="3" fontId="31" fillId="30" borderId="446" xfId="0" applyNumberFormat="1" applyFont="1" applyFill="1" applyBorder="1" applyAlignment="1" applyProtection="1">
      <alignment horizontal="center" vertical="center" wrapText="1"/>
      <protection hidden="1"/>
    </xf>
    <xf numFmtId="3" fontId="31" fillId="30" borderId="252" xfId="0" applyNumberFormat="1" applyFont="1" applyFill="1" applyBorder="1" applyAlignment="1" applyProtection="1">
      <alignment horizontal="center" vertical="center" wrapText="1"/>
      <protection hidden="1"/>
    </xf>
    <xf numFmtId="3" fontId="31" fillId="30" borderId="447" xfId="0" applyNumberFormat="1" applyFont="1" applyFill="1" applyBorder="1" applyAlignment="1" applyProtection="1">
      <alignment horizontal="center" vertical="center" wrapText="1"/>
      <protection hidden="1"/>
    </xf>
    <xf numFmtId="3" fontId="31" fillId="30" borderId="190" xfId="0" applyNumberFormat="1" applyFont="1" applyFill="1" applyBorder="1" applyAlignment="1" applyProtection="1">
      <alignment horizontal="center" vertical="center" wrapText="1"/>
      <protection hidden="1"/>
    </xf>
    <xf numFmtId="3" fontId="31" fillId="30" borderId="750" xfId="0" applyNumberFormat="1" applyFont="1" applyFill="1" applyBorder="1" applyAlignment="1" applyProtection="1">
      <alignment horizontal="center" vertical="center" wrapText="1"/>
      <protection hidden="1"/>
    </xf>
    <xf numFmtId="3" fontId="31" fillId="30" borderId="748" xfId="0" applyNumberFormat="1" applyFont="1" applyFill="1" applyBorder="1" applyAlignment="1" applyProtection="1">
      <alignment horizontal="center" vertical="center" wrapText="1"/>
      <protection hidden="1"/>
    </xf>
    <xf numFmtId="0" fontId="40" fillId="9" borderId="47" xfId="0" applyFont="1" applyFill="1" applyBorder="1" applyAlignment="1" applyProtection="1">
      <alignment horizontal="left" vertical="center" shrinkToFit="1"/>
      <protection hidden="1"/>
    </xf>
    <xf numFmtId="0" fontId="41" fillId="9" borderId="51" xfId="0" applyFont="1" applyFill="1" applyBorder="1" applyAlignment="1" applyProtection="1">
      <alignment horizontal="right" vertical="center" wrapText="1" shrinkToFit="1"/>
      <protection hidden="1"/>
    </xf>
    <xf numFmtId="0" fontId="41" fillId="9" borderId="52" xfId="0" applyFont="1" applyFill="1" applyBorder="1" applyAlignment="1" applyProtection="1">
      <alignment horizontal="right" vertical="center" wrapText="1" shrinkToFit="1"/>
      <protection hidden="1"/>
    </xf>
    <xf numFmtId="0" fontId="41" fillId="9" borderId="0" xfId="0" applyFont="1" applyFill="1" applyAlignment="1" applyProtection="1">
      <alignment horizontal="right" vertical="center" wrapText="1" shrinkToFit="1"/>
      <protection hidden="1"/>
    </xf>
    <xf numFmtId="0" fontId="41" fillId="9" borderId="53" xfId="0" applyFont="1" applyFill="1" applyBorder="1" applyAlignment="1" applyProtection="1">
      <alignment horizontal="right" vertical="center" wrapText="1" shrinkToFit="1"/>
      <protection hidden="1"/>
    </xf>
    <xf numFmtId="0" fontId="41" fillId="9" borderId="54" xfId="0" applyFont="1" applyFill="1" applyBorder="1" applyAlignment="1" applyProtection="1">
      <alignment horizontal="right" vertical="center" wrapText="1" shrinkToFit="1"/>
      <protection hidden="1"/>
    </xf>
    <xf numFmtId="0" fontId="37" fillId="20" borderId="332" xfId="0" applyFont="1" applyFill="1" applyBorder="1" applyAlignment="1" applyProtection="1">
      <alignment horizontal="left" vertical="center" wrapText="1"/>
      <protection hidden="1"/>
    </xf>
    <xf numFmtId="0" fontId="37" fillId="20" borderId="0" xfId="0" applyFont="1" applyFill="1" applyAlignment="1" applyProtection="1">
      <alignment horizontal="left" vertical="center" wrapText="1"/>
      <protection hidden="1"/>
    </xf>
    <xf numFmtId="0" fontId="37" fillId="20" borderId="339" xfId="0" applyFont="1" applyFill="1" applyBorder="1" applyAlignment="1" applyProtection="1">
      <alignment horizontal="left" vertical="center" wrapText="1"/>
      <protection hidden="1"/>
    </xf>
    <xf numFmtId="0" fontId="37" fillId="11" borderId="56" xfId="0" applyFont="1" applyFill="1" applyBorder="1" applyAlignment="1" applyProtection="1">
      <alignment horizontal="center" vertical="center" wrapText="1"/>
      <protection hidden="1"/>
    </xf>
    <xf numFmtId="0" fontId="37" fillId="11" borderId="0" xfId="0" applyFont="1" applyFill="1" applyAlignment="1" applyProtection="1">
      <alignment horizontal="center" vertical="center" wrapText="1"/>
      <protection hidden="1"/>
    </xf>
    <xf numFmtId="0" fontId="37" fillId="11" borderId="64" xfId="0" applyFont="1" applyFill="1" applyBorder="1" applyAlignment="1" applyProtection="1">
      <alignment horizontal="center" vertical="center" wrapText="1"/>
      <protection hidden="1"/>
    </xf>
    <xf numFmtId="0" fontId="37" fillId="11" borderId="342" xfId="0" applyFont="1" applyFill="1" applyBorder="1" applyAlignment="1" applyProtection="1">
      <alignment horizontal="center" vertical="center" wrapText="1"/>
      <protection hidden="1"/>
    </xf>
    <xf numFmtId="0" fontId="37" fillId="11" borderId="339" xfId="0" applyFont="1" applyFill="1" applyBorder="1" applyAlignment="1" applyProtection="1">
      <alignment horizontal="center" vertical="center" wrapText="1"/>
      <protection hidden="1"/>
    </xf>
    <xf numFmtId="0" fontId="37" fillId="11" borderId="343" xfId="0" applyFont="1" applyFill="1" applyBorder="1" applyAlignment="1" applyProtection="1">
      <alignment horizontal="center" vertical="center" wrapText="1"/>
      <protection hidden="1"/>
    </xf>
    <xf numFmtId="0" fontId="116" fillId="56" borderId="331" xfId="0" applyFont="1" applyFill="1" applyBorder="1" applyAlignment="1" applyProtection="1">
      <alignment horizontal="center" vertical="center" wrapText="1"/>
      <protection hidden="1"/>
    </xf>
    <xf numFmtId="0" fontId="116" fillId="56" borderId="332" xfId="0" applyFont="1" applyFill="1" applyBorder="1" applyAlignment="1" applyProtection="1">
      <alignment horizontal="center" vertical="center" wrapText="1"/>
      <protection hidden="1"/>
    </xf>
    <xf numFmtId="0" fontId="116" fillId="56" borderId="333" xfId="0" applyFont="1" applyFill="1" applyBorder="1" applyAlignment="1" applyProtection="1">
      <alignment horizontal="center" vertical="center" wrapText="1"/>
      <protection hidden="1"/>
    </xf>
    <xf numFmtId="0" fontId="116" fillId="56" borderId="527" xfId="0" applyFont="1" applyFill="1" applyBorder="1" applyAlignment="1" applyProtection="1">
      <alignment horizontal="center" vertical="center" wrapText="1"/>
      <protection hidden="1"/>
    </xf>
    <xf numFmtId="0" fontId="116" fillId="56" borderId="0" xfId="0" applyFont="1" applyFill="1" applyAlignment="1" applyProtection="1">
      <alignment horizontal="center" vertical="center" wrapText="1"/>
      <protection hidden="1"/>
    </xf>
    <xf numFmtId="0" fontId="116" fillId="56" borderId="39" xfId="0" applyFont="1" applyFill="1" applyBorder="1" applyAlignment="1" applyProtection="1">
      <alignment horizontal="center" vertical="center" wrapText="1"/>
      <protection hidden="1"/>
    </xf>
    <xf numFmtId="0" fontId="28" fillId="2" borderId="252" xfId="0" applyFont="1" applyFill="1" applyBorder="1" applyAlignment="1" applyProtection="1">
      <alignment horizontal="center" vertical="center" shrinkToFit="1"/>
      <protection locked="0" hidden="1"/>
    </xf>
    <xf numFmtId="0" fontId="28" fillId="2" borderId="746" xfId="0" applyFont="1" applyFill="1" applyBorder="1" applyAlignment="1" applyProtection="1">
      <alignment horizontal="center" vertical="center" shrinkToFit="1"/>
      <protection locked="0" hidden="1"/>
    </xf>
    <xf numFmtId="0" fontId="28" fillId="2" borderId="190" xfId="0" applyFont="1" applyFill="1" applyBorder="1" applyAlignment="1" applyProtection="1">
      <alignment horizontal="center" vertical="center" shrinkToFit="1"/>
      <protection locked="0" hidden="1"/>
    </xf>
    <xf numFmtId="0" fontId="28" fillId="2" borderId="747" xfId="0" applyFont="1" applyFill="1" applyBorder="1" applyAlignment="1" applyProtection="1">
      <alignment horizontal="center" vertical="center" shrinkToFit="1"/>
      <protection locked="0" hidden="1"/>
    </xf>
    <xf numFmtId="0" fontId="28" fillId="2" borderId="748" xfId="0" applyFont="1" applyFill="1" applyBorder="1" applyAlignment="1" applyProtection="1">
      <alignment horizontal="center" vertical="center" shrinkToFit="1"/>
      <protection locked="0" hidden="1"/>
    </xf>
    <xf numFmtId="0" fontId="28" fillId="2" borderId="749" xfId="0" applyFont="1" applyFill="1" applyBorder="1" applyAlignment="1" applyProtection="1">
      <alignment horizontal="center" vertical="center" shrinkToFit="1"/>
      <protection locked="0" hidden="1"/>
    </xf>
    <xf numFmtId="0" fontId="31" fillId="11" borderId="95" xfId="0" applyFont="1" applyFill="1" applyBorder="1" applyAlignment="1" applyProtection="1">
      <alignment horizontal="center" vertical="center" wrapText="1" shrinkToFit="1"/>
      <protection hidden="1"/>
    </xf>
    <xf numFmtId="0" fontId="48" fillId="8" borderId="519" xfId="0" applyFont="1" applyFill="1" applyBorder="1" applyAlignment="1" applyProtection="1">
      <alignment horizontal="center" vertical="center" wrapText="1"/>
      <protection locked="0" hidden="1"/>
    </xf>
    <xf numFmtId="0" fontId="48" fillId="8" borderId="332" xfId="0" applyFont="1" applyFill="1" applyBorder="1" applyAlignment="1" applyProtection="1">
      <alignment horizontal="center" vertical="center" wrapText="1"/>
      <protection locked="0" hidden="1"/>
    </xf>
    <xf numFmtId="0" fontId="48" fillId="8" borderId="336" xfId="0" applyFont="1" applyFill="1" applyBorder="1" applyAlignment="1" applyProtection="1">
      <alignment horizontal="center" vertical="center" wrapText="1"/>
      <protection locked="0" hidden="1"/>
    </xf>
    <xf numFmtId="0" fontId="48" fillId="8" borderId="454" xfId="0" applyFont="1" applyFill="1" applyBorder="1" applyAlignment="1" applyProtection="1">
      <alignment horizontal="center" vertical="center" wrapText="1"/>
      <protection locked="0" hidden="1"/>
    </xf>
    <xf numFmtId="0" fontId="48" fillId="8" borderId="449" xfId="0" applyFont="1" applyFill="1" applyBorder="1" applyAlignment="1" applyProtection="1">
      <alignment horizontal="center" vertical="center" wrapText="1"/>
      <protection locked="0" hidden="1"/>
    </xf>
    <xf numFmtId="0" fontId="48" fillId="8" borderId="521" xfId="0" applyFont="1" applyFill="1" applyBorder="1" applyAlignment="1" applyProtection="1">
      <alignment horizontal="center" vertical="center" wrapText="1"/>
      <protection locked="0" hidden="1"/>
    </xf>
    <xf numFmtId="0" fontId="37" fillId="11" borderId="335" xfId="0" applyFont="1" applyFill="1" applyBorder="1" applyAlignment="1" applyProtection="1">
      <alignment horizontal="center" vertical="center" wrapText="1"/>
      <protection hidden="1"/>
    </xf>
    <xf numFmtId="0" fontId="37" fillId="11" borderId="332" xfId="0" applyFont="1" applyFill="1" applyBorder="1" applyAlignment="1" applyProtection="1">
      <alignment horizontal="center" vertical="center" wrapText="1"/>
      <protection hidden="1"/>
    </xf>
    <xf numFmtId="0" fontId="37" fillId="11" borderId="336" xfId="0" applyFont="1" applyFill="1" applyBorder="1" applyAlignment="1" applyProtection="1">
      <alignment horizontal="center" vertical="center" wrapText="1"/>
      <protection hidden="1"/>
    </xf>
    <xf numFmtId="0" fontId="37" fillId="11" borderId="448" xfId="0" applyFont="1" applyFill="1" applyBorder="1" applyAlignment="1" applyProtection="1">
      <alignment horizontal="center" vertical="center" wrapText="1"/>
      <protection hidden="1"/>
    </xf>
    <xf numFmtId="0" fontId="37" fillId="11" borderId="449" xfId="0" applyFont="1" applyFill="1" applyBorder="1" applyAlignment="1" applyProtection="1">
      <alignment horizontal="center" vertical="center" wrapText="1"/>
      <protection hidden="1"/>
    </xf>
    <xf numFmtId="0" fontId="37" fillId="11" borderId="521" xfId="0" applyFont="1" applyFill="1" applyBorder="1" applyAlignment="1" applyProtection="1">
      <alignment horizontal="center" vertical="center" wrapText="1"/>
      <protection hidden="1"/>
    </xf>
    <xf numFmtId="0" fontId="18" fillId="8" borderId="335" xfId="1" applyFill="1" applyBorder="1" applyAlignment="1" applyProtection="1">
      <alignment horizontal="center" vertical="center" wrapText="1"/>
      <protection locked="0" hidden="1"/>
    </xf>
    <xf numFmtId="0" fontId="43" fillId="8" borderId="332" xfId="0" applyFont="1" applyFill="1" applyBorder="1" applyAlignment="1" applyProtection="1">
      <alignment horizontal="center" vertical="center" wrapText="1"/>
      <protection locked="0" hidden="1"/>
    </xf>
    <xf numFmtId="0" fontId="43" fillId="8" borderId="336" xfId="0" applyFont="1" applyFill="1" applyBorder="1" applyAlignment="1" applyProtection="1">
      <alignment horizontal="center" vertical="center" wrapText="1"/>
      <protection locked="0" hidden="1"/>
    </xf>
    <xf numFmtId="0" fontId="43" fillId="8" borderId="448" xfId="0" applyFont="1" applyFill="1" applyBorder="1" applyAlignment="1" applyProtection="1">
      <alignment horizontal="center" vertical="center" wrapText="1"/>
      <protection locked="0" hidden="1"/>
    </xf>
    <xf numFmtId="0" fontId="43" fillId="8" borderId="449" xfId="0" applyFont="1" applyFill="1" applyBorder="1" applyAlignment="1" applyProtection="1">
      <alignment horizontal="center" vertical="center" wrapText="1"/>
      <protection locked="0" hidden="1"/>
    </xf>
    <xf numFmtId="0" fontId="43" fillId="8" borderId="521" xfId="0" applyFont="1" applyFill="1" applyBorder="1" applyAlignment="1" applyProtection="1">
      <alignment horizontal="center" vertical="center" wrapText="1"/>
      <protection locked="0" hidden="1"/>
    </xf>
    <xf numFmtId="0" fontId="18" fillId="8" borderId="56" xfId="1" applyFill="1" applyBorder="1" applyAlignment="1" applyProtection="1">
      <alignment horizontal="center" vertical="center" wrapText="1"/>
      <protection locked="0" hidden="1"/>
    </xf>
    <xf numFmtId="0" fontId="43" fillId="8" borderId="0" xfId="0" applyFont="1" applyFill="1" applyAlignment="1" applyProtection="1">
      <alignment horizontal="center" vertical="center" wrapText="1"/>
      <protection locked="0" hidden="1"/>
    </xf>
    <xf numFmtId="0" fontId="43" fillId="8" borderId="97" xfId="0" applyFont="1" applyFill="1" applyBorder="1" applyAlignment="1" applyProtection="1">
      <alignment horizontal="center" vertical="center" wrapText="1"/>
      <protection locked="0" hidden="1"/>
    </xf>
    <xf numFmtId="0" fontId="43" fillId="8" borderId="342" xfId="0" applyFont="1" applyFill="1" applyBorder="1" applyAlignment="1" applyProtection="1">
      <alignment horizontal="center" vertical="center" wrapText="1"/>
      <protection locked="0" hidden="1"/>
    </xf>
    <xf numFmtId="0" fontId="43" fillId="8" borderId="339" xfId="0" applyFont="1" applyFill="1" applyBorder="1" applyAlignment="1" applyProtection="1">
      <alignment horizontal="center" vertical="center" wrapText="1"/>
      <protection locked="0" hidden="1"/>
    </xf>
    <xf numFmtId="0" fontId="43" fillId="8" borderId="530" xfId="0" applyFont="1" applyFill="1" applyBorder="1" applyAlignment="1" applyProtection="1">
      <alignment horizontal="center" vertical="center" wrapText="1"/>
      <protection locked="0" hidden="1"/>
    </xf>
    <xf numFmtId="0" fontId="47" fillId="2" borderId="48" xfId="0" applyFont="1" applyFill="1" applyBorder="1" applyAlignment="1" applyProtection="1">
      <alignment horizontal="center" vertical="center" wrapText="1" shrinkToFit="1"/>
      <protection locked="0"/>
    </xf>
    <xf numFmtId="3" fontId="31" fillId="30" borderId="55" xfId="0" applyNumberFormat="1" applyFont="1" applyFill="1" applyBorder="1" applyAlignment="1" applyProtection="1">
      <alignment horizontal="center" vertical="center" wrapText="1" shrinkToFit="1"/>
      <protection hidden="1"/>
    </xf>
    <xf numFmtId="3" fontId="31" fillId="30" borderId="46" xfId="0" applyNumberFormat="1" applyFont="1" applyFill="1" applyBorder="1" applyAlignment="1" applyProtection="1">
      <alignment horizontal="center" vertical="center" wrapText="1" shrinkToFit="1"/>
      <protection hidden="1"/>
    </xf>
    <xf numFmtId="3" fontId="31" fillId="30" borderId="62" xfId="0" applyNumberFormat="1" applyFont="1" applyFill="1" applyBorder="1" applyAlignment="1" applyProtection="1">
      <alignment horizontal="center" vertical="center" wrapText="1" shrinkToFit="1"/>
      <protection hidden="1"/>
    </xf>
    <xf numFmtId="3" fontId="31" fillId="30" borderId="56" xfId="0" applyNumberFormat="1" applyFont="1" applyFill="1" applyBorder="1" applyAlignment="1" applyProtection="1">
      <alignment horizontal="center" vertical="center" wrapText="1" shrinkToFit="1"/>
      <protection hidden="1"/>
    </xf>
    <xf numFmtId="3" fontId="31" fillId="30" borderId="0" xfId="0" applyNumberFormat="1" applyFont="1" applyFill="1" applyAlignment="1" applyProtection="1">
      <alignment horizontal="center" vertical="center" wrapText="1" shrinkToFit="1"/>
      <protection hidden="1"/>
    </xf>
    <xf numFmtId="3" fontId="31" fillId="30" borderId="64" xfId="0" applyNumberFormat="1" applyFont="1" applyFill="1" applyBorder="1" applyAlignment="1" applyProtection="1">
      <alignment horizontal="center" vertical="center" wrapText="1" shrinkToFit="1"/>
      <protection hidden="1"/>
    </xf>
    <xf numFmtId="3" fontId="31" fillId="30" borderId="57" xfId="0" applyNumberFormat="1" applyFont="1" applyFill="1" applyBorder="1" applyAlignment="1" applyProtection="1">
      <alignment horizontal="center" vertical="center" wrapText="1" shrinkToFit="1"/>
      <protection hidden="1"/>
    </xf>
    <xf numFmtId="3" fontId="31" fillId="30" borderId="50" xfId="0" applyNumberFormat="1" applyFont="1" applyFill="1" applyBorder="1" applyAlignment="1" applyProtection="1">
      <alignment horizontal="center" vertical="center" wrapText="1" shrinkToFit="1"/>
      <protection hidden="1"/>
    </xf>
    <xf numFmtId="3" fontId="31" fillId="30" borderId="65" xfId="0" applyNumberFormat="1" applyFont="1" applyFill="1" applyBorder="1" applyAlignment="1" applyProtection="1">
      <alignment horizontal="center" vertical="center" wrapText="1" shrinkToFit="1"/>
      <protection hidden="1"/>
    </xf>
    <xf numFmtId="0" fontId="48" fillId="2" borderId="55" xfId="0" applyFont="1" applyFill="1" applyBorder="1" applyAlignment="1" applyProtection="1">
      <alignment horizontal="center" vertical="center" wrapText="1"/>
      <protection locked="0"/>
    </xf>
    <xf numFmtId="0" fontId="48" fillId="2" borderId="62" xfId="0" applyFont="1" applyFill="1" applyBorder="1" applyAlignment="1" applyProtection="1">
      <alignment horizontal="center" vertical="center" wrapText="1"/>
      <protection locked="0"/>
    </xf>
    <xf numFmtId="0" fontId="48" fillId="2" borderId="56" xfId="0" applyFont="1" applyFill="1" applyBorder="1" applyAlignment="1" applyProtection="1">
      <alignment horizontal="center" vertical="center" wrapText="1"/>
      <protection locked="0"/>
    </xf>
    <xf numFmtId="0" fontId="48" fillId="2" borderId="64" xfId="0" applyFont="1" applyFill="1" applyBorder="1" applyAlignment="1" applyProtection="1">
      <alignment horizontal="center" vertical="center" wrapText="1"/>
      <protection locked="0"/>
    </xf>
    <xf numFmtId="0" fontId="48" fillId="2" borderId="57" xfId="0"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wrapText="1"/>
      <protection locked="0"/>
    </xf>
    <xf numFmtId="0" fontId="31" fillId="11" borderId="96" xfId="0" applyFont="1" applyFill="1" applyBorder="1" applyAlignment="1" applyProtection="1">
      <alignment horizontal="center" vertical="center" wrapText="1" shrinkToFit="1"/>
      <protection hidden="1"/>
    </xf>
    <xf numFmtId="0" fontId="31" fillId="11" borderId="449" xfId="0" applyFont="1" applyFill="1" applyBorder="1" applyAlignment="1" applyProtection="1">
      <alignment horizontal="center" vertical="center" wrapText="1" shrinkToFit="1"/>
      <protection hidden="1"/>
    </xf>
    <xf numFmtId="0" fontId="29" fillId="2" borderId="51" xfId="0" applyFont="1" applyFill="1" applyBorder="1" applyAlignment="1" applyProtection="1">
      <alignment horizontal="center" vertical="center" shrinkToFit="1"/>
      <protection locked="0" hidden="1"/>
    </xf>
    <xf numFmtId="0" fontId="29" fillId="2" borderId="449" xfId="0" applyFont="1" applyFill="1" applyBorder="1" applyAlignment="1" applyProtection="1">
      <alignment horizontal="center" vertical="center" shrinkToFit="1"/>
      <protection locked="0" hidden="1"/>
    </xf>
    <xf numFmtId="0" fontId="28" fillId="58" borderId="0" xfId="0" applyFont="1" applyFill="1" applyAlignment="1" applyProtection="1">
      <alignment horizontal="center" vertical="center" shrinkToFit="1"/>
      <protection locked="0" hidden="1"/>
    </xf>
    <xf numFmtId="0" fontId="31" fillId="11" borderId="253" xfId="0" applyFont="1" applyFill="1" applyBorder="1" applyAlignment="1" applyProtection="1">
      <alignment horizontal="center" vertical="center" wrapText="1" shrinkToFit="1"/>
      <protection hidden="1"/>
    </xf>
    <xf numFmtId="0" fontId="47" fillId="2" borderId="188" xfId="0" applyFont="1" applyFill="1" applyBorder="1" applyAlignment="1" applyProtection="1">
      <alignment horizontal="center" vertical="center" shrinkToFit="1"/>
      <protection locked="0"/>
    </xf>
    <xf numFmtId="0" fontId="31" fillId="11" borderId="46" xfId="0" applyFont="1" applyFill="1" applyBorder="1" applyAlignment="1" applyProtection="1">
      <alignment horizontal="center" vertical="center" shrinkToFit="1"/>
      <protection hidden="1"/>
    </xf>
    <xf numFmtId="0" fontId="31" fillId="11" borderId="62" xfId="0" applyFont="1" applyFill="1" applyBorder="1" applyAlignment="1" applyProtection="1">
      <alignment horizontal="center" vertical="center" shrinkToFit="1"/>
      <protection hidden="1"/>
    </xf>
    <xf numFmtId="0" fontId="31" fillId="11" borderId="64" xfId="0" applyFont="1" applyFill="1" applyBorder="1" applyAlignment="1" applyProtection="1">
      <alignment horizontal="center" vertical="center" shrinkToFit="1"/>
      <protection hidden="1"/>
    </xf>
    <xf numFmtId="0" fontId="31" fillId="11" borderId="53" xfId="0" applyFont="1" applyFill="1" applyBorder="1" applyAlignment="1" applyProtection="1">
      <alignment horizontal="center" vertical="center" shrinkToFit="1"/>
      <protection hidden="1"/>
    </xf>
    <xf numFmtId="0" fontId="31" fillId="11" borderId="69" xfId="0" applyFont="1" applyFill="1" applyBorder="1" applyAlignment="1" applyProtection="1">
      <alignment horizontal="center" vertical="center" shrinkToFit="1"/>
      <protection hidden="1"/>
    </xf>
    <xf numFmtId="38" fontId="47" fillId="2" borderId="55" xfId="2" applyFont="1" applyFill="1" applyBorder="1" applyAlignment="1" applyProtection="1">
      <alignment horizontal="center" vertical="center" shrinkToFit="1"/>
      <protection locked="0"/>
    </xf>
    <xf numFmtId="38" fontId="47" fillId="2" borderId="62" xfId="2" applyFont="1" applyFill="1" applyBorder="1" applyAlignment="1" applyProtection="1">
      <alignment horizontal="center" vertical="center" shrinkToFit="1"/>
      <protection locked="0"/>
    </xf>
    <xf numFmtId="0" fontId="31" fillId="30" borderId="50" xfId="0" applyFont="1" applyFill="1" applyBorder="1" applyAlignment="1" applyProtection="1">
      <alignment horizontal="center" vertical="center" wrapText="1"/>
      <protection hidden="1"/>
    </xf>
    <xf numFmtId="0" fontId="64" fillId="18" borderId="189" xfId="0" applyFont="1" applyFill="1" applyBorder="1" applyAlignment="1">
      <alignment horizontal="center" vertical="center" shrinkToFit="1"/>
    </xf>
    <xf numFmtId="0" fontId="64" fillId="18" borderId="196" xfId="0" applyFont="1" applyFill="1" applyBorder="1" applyAlignment="1">
      <alignment horizontal="center" vertical="center" shrinkToFit="1"/>
    </xf>
    <xf numFmtId="0" fontId="48" fillId="2" borderId="55" xfId="0" applyFont="1" applyFill="1" applyBorder="1" applyAlignment="1" applyProtection="1">
      <alignment horizontal="center" vertical="center" wrapText="1" shrinkToFit="1"/>
      <protection locked="0"/>
    </xf>
    <xf numFmtId="0" fontId="48" fillId="2" borderId="62" xfId="0" applyFont="1" applyFill="1" applyBorder="1" applyAlignment="1" applyProtection="1">
      <alignment horizontal="center" vertical="center" wrapText="1" shrinkToFit="1"/>
      <protection locked="0"/>
    </xf>
    <xf numFmtId="0" fontId="48" fillId="2" borderId="56" xfId="0" applyFont="1" applyFill="1" applyBorder="1" applyAlignment="1" applyProtection="1">
      <alignment horizontal="center" vertical="center" wrapText="1" shrinkToFit="1"/>
      <protection locked="0"/>
    </xf>
    <xf numFmtId="0" fontId="48" fillId="2" borderId="64" xfId="0" applyFont="1" applyFill="1" applyBorder="1" applyAlignment="1" applyProtection="1">
      <alignment horizontal="center" vertical="center" wrapText="1" shrinkToFit="1"/>
      <protection locked="0"/>
    </xf>
    <xf numFmtId="0" fontId="48" fillId="2" borderId="61" xfId="0" applyFont="1" applyFill="1" applyBorder="1" applyAlignment="1" applyProtection="1">
      <alignment horizontal="center" vertical="center" wrapText="1" shrinkToFit="1"/>
      <protection locked="0"/>
    </xf>
    <xf numFmtId="0" fontId="48" fillId="2" borderId="69" xfId="0" applyFont="1" applyFill="1" applyBorder="1" applyAlignment="1" applyProtection="1">
      <alignment horizontal="center" vertical="center" wrapText="1" shrinkToFit="1"/>
      <protection locked="0"/>
    </xf>
    <xf numFmtId="0" fontId="31" fillId="18" borderId="55" xfId="0" applyFont="1" applyFill="1" applyBorder="1" applyAlignment="1" applyProtection="1">
      <alignment horizontal="center" vertical="center" wrapText="1" shrinkToFit="1"/>
      <protection hidden="1"/>
    </xf>
    <xf numFmtId="0" fontId="31" fillId="18" borderId="46" xfId="0" applyFont="1" applyFill="1" applyBorder="1" applyAlignment="1" applyProtection="1">
      <alignment horizontal="center" vertical="center" wrapText="1" shrinkToFit="1"/>
      <protection hidden="1"/>
    </xf>
    <xf numFmtId="0" fontId="31" fillId="18" borderId="62" xfId="0" applyFont="1" applyFill="1" applyBorder="1" applyAlignment="1" applyProtection="1">
      <alignment horizontal="center" vertical="center" wrapText="1" shrinkToFit="1"/>
      <protection hidden="1"/>
    </xf>
    <xf numFmtId="0" fontId="31" fillId="18" borderId="56" xfId="0" applyFont="1" applyFill="1" applyBorder="1" applyAlignment="1" applyProtection="1">
      <alignment horizontal="center" vertical="center" wrapText="1" shrinkToFit="1"/>
      <protection hidden="1"/>
    </xf>
    <xf numFmtId="0" fontId="31" fillId="18" borderId="0" xfId="0" applyFont="1" applyFill="1" applyAlignment="1" applyProtection="1">
      <alignment horizontal="center" vertical="center" wrapText="1" shrinkToFit="1"/>
      <protection hidden="1"/>
    </xf>
    <xf numFmtId="0" fontId="31" fillId="18" borderId="64" xfId="0" applyFont="1" applyFill="1" applyBorder="1" applyAlignment="1" applyProtection="1">
      <alignment horizontal="center" vertical="center" wrapText="1" shrinkToFit="1"/>
      <protection hidden="1"/>
    </xf>
    <xf numFmtId="0" fontId="35" fillId="0" borderId="73" xfId="0" applyFont="1" applyBorder="1" applyAlignment="1" applyProtection="1">
      <alignment horizontal="left" vertical="center" wrapText="1"/>
      <protection hidden="1"/>
    </xf>
    <xf numFmtId="0" fontId="35" fillId="0" borderId="50" xfId="0" applyFont="1" applyBorder="1" applyAlignment="1" applyProtection="1">
      <alignment horizontal="left" vertical="center" wrapText="1"/>
      <protection hidden="1"/>
    </xf>
    <xf numFmtId="0" fontId="20" fillId="0" borderId="50" xfId="0" applyFont="1" applyBorder="1" applyAlignment="1" applyProtection="1">
      <alignment horizontal="center" vertical="center"/>
      <protection locked="0" hidden="1"/>
    </xf>
    <xf numFmtId="0" fontId="20" fillId="0" borderId="58" xfId="0" applyFont="1" applyBorder="1" applyAlignment="1" applyProtection="1">
      <alignment horizontal="center" vertical="center"/>
      <protection locked="0" hidden="1"/>
    </xf>
    <xf numFmtId="0" fontId="151" fillId="30" borderId="0" xfId="0" applyFont="1" applyFill="1" applyAlignment="1" applyProtection="1">
      <alignment horizontal="center" vertical="center" wrapText="1"/>
      <protection hidden="1"/>
    </xf>
    <xf numFmtId="0" fontId="151" fillId="30" borderId="64" xfId="0" applyFont="1" applyFill="1" applyBorder="1" applyAlignment="1" applyProtection="1">
      <alignment horizontal="center" vertical="center" wrapText="1"/>
      <protection hidden="1"/>
    </xf>
    <xf numFmtId="0" fontId="151" fillId="30" borderId="53" xfId="0" applyFont="1" applyFill="1" applyBorder="1" applyAlignment="1" applyProtection="1">
      <alignment horizontal="center" vertical="center" wrapText="1"/>
      <protection hidden="1"/>
    </xf>
    <xf numFmtId="0" fontId="151" fillId="30" borderId="69" xfId="0" applyFont="1" applyFill="1" applyBorder="1" applyAlignment="1" applyProtection="1">
      <alignment horizontal="center" vertical="center" wrapText="1"/>
      <protection hidden="1"/>
    </xf>
    <xf numFmtId="0" fontId="148" fillId="2" borderId="55" xfId="1" applyFont="1" applyFill="1" applyBorder="1" applyAlignment="1" applyProtection="1">
      <alignment horizontal="center" vertical="center" shrinkToFit="1"/>
      <protection locked="0"/>
    </xf>
    <xf numFmtId="0" fontId="148" fillId="2" borderId="62" xfId="1" applyFont="1" applyFill="1" applyBorder="1" applyAlignment="1" applyProtection="1">
      <alignment horizontal="center" vertical="center" shrinkToFit="1"/>
      <protection locked="0"/>
    </xf>
    <xf numFmtId="0" fontId="148" fillId="2" borderId="56" xfId="1" applyFont="1" applyFill="1" applyBorder="1" applyAlignment="1" applyProtection="1">
      <alignment horizontal="center" vertical="center" shrinkToFit="1"/>
      <protection locked="0"/>
    </xf>
    <xf numFmtId="0" fontId="148" fillId="2" borderId="64" xfId="1" applyFont="1" applyFill="1" applyBorder="1" applyAlignment="1" applyProtection="1">
      <alignment horizontal="center" vertical="center" shrinkToFit="1"/>
      <protection locked="0"/>
    </xf>
    <xf numFmtId="0" fontId="148" fillId="2" borderId="448" xfId="1" applyFont="1" applyFill="1" applyBorder="1" applyAlignment="1" applyProtection="1">
      <alignment horizontal="center" vertical="center" shrinkToFit="1"/>
      <protection locked="0"/>
    </xf>
    <xf numFmtId="0" fontId="148" fillId="2" borderId="521" xfId="1" applyFont="1" applyFill="1" applyBorder="1" applyAlignment="1" applyProtection="1">
      <alignment horizontal="center" vertical="center" shrinkToFit="1"/>
      <protection locked="0"/>
    </xf>
    <xf numFmtId="3" fontId="28" fillId="2" borderId="55" xfId="0" applyNumberFormat="1" applyFont="1" applyFill="1" applyBorder="1" applyAlignment="1" applyProtection="1">
      <alignment horizontal="center" vertical="center" shrinkToFit="1"/>
      <protection locked="0" hidden="1"/>
    </xf>
    <xf numFmtId="3" fontId="28" fillId="2" borderId="62" xfId="0" applyNumberFormat="1" applyFont="1" applyFill="1" applyBorder="1" applyAlignment="1" applyProtection="1">
      <alignment horizontal="center" vertical="center" shrinkToFit="1"/>
      <protection locked="0" hidden="1"/>
    </xf>
    <xf numFmtId="3" fontId="28" fillId="2" borderId="56" xfId="0" applyNumberFormat="1" applyFont="1" applyFill="1" applyBorder="1" applyAlignment="1" applyProtection="1">
      <alignment horizontal="center" vertical="center" shrinkToFit="1"/>
      <protection locked="0" hidden="1"/>
    </xf>
    <xf numFmtId="3" fontId="28" fillId="2" borderId="64" xfId="0" applyNumberFormat="1" applyFont="1" applyFill="1" applyBorder="1" applyAlignment="1" applyProtection="1">
      <alignment horizontal="center" vertical="center" shrinkToFit="1"/>
      <protection locked="0" hidden="1"/>
    </xf>
    <xf numFmtId="3" fontId="28" fillId="2" borderId="57" xfId="0" applyNumberFormat="1" applyFont="1" applyFill="1" applyBorder="1" applyAlignment="1" applyProtection="1">
      <alignment horizontal="center" vertical="center" shrinkToFit="1"/>
      <protection locked="0" hidden="1"/>
    </xf>
    <xf numFmtId="3" fontId="28" fillId="2" borderId="65" xfId="0" applyNumberFormat="1" applyFont="1" applyFill="1" applyBorder="1" applyAlignment="1" applyProtection="1">
      <alignment horizontal="center" vertical="center" shrinkToFit="1"/>
      <protection locked="0" hidden="1"/>
    </xf>
    <xf numFmtId="38" fontId="48" fillId="2" borderId="188" xfId="2" applyFont="1" applyFill="1" applyBorder="1" applyAlignment="1" applyProtection="1">
      <alignment horizontal="center" vertical="center" shrinkToFit="1"/>
      <protection locked="0"/>
    </xf>
    <xf numFmtId="0" fontId="18" fillId="2" borderId="46" xfId="1" applyFill="1" applyBorder="1" applyAlignment="1" applyProtection="1">
      <alignment horizontal="center" vertical="center" shrinkToFit="1"/>
      <protection locked="0"/>
    </xf>
    <xf numFmtId="0" fontId="18" fillId="2" borderId="50" xfId="1" applyFill="1" applyBorder="1" applyAlignment="1" applyProtection="1">
      <alignment horizontal="center" vertical="center" shrinkToFit="1"/>
      <protection locked="0"/>
    </xf>
    <xf numFmtId="3" fontId="31" fillId="30" borderId="276" xfId="0" applyNumberFormat="1" applyFont="1" applyFill="1" applyBorder="1" applyAlignment="1" applyProtection="1">
      <alignment horizontal="center" vertical="center" wrapText="1"/>
      <protection hidden="1"/>
    </xf>
    <xf numFmtId="3" fontId="31" fillId="30" borderId="62" xfId="0" applyNumberFormat="1" applyFont="1" applyFill="1" applyBorder="1" applyAlignment="1" applyProtection="1">
      <alignment horizontal="center" vertical="center" wrapText="1"/>
      <protection hidden="1"/>
    </xf>
    <xf numFmtId="3" fontId="31" fillId="30" borderId="99" xfId="0" applyNumberFormat="1" applyFont="1" applyFill="1" applyBorder="1" applyAlignment="1" applyProtection="1">
      <alignment horizontal="center" vertical="center" wrapText="1"/>
      <protection hidden="1"/>
    </xf>
    <xf numFmtId="3" fontId="31" fillId="30" borderId="64" xfId="0" applyNumberFormat="1" applyFont="1" applyFill="1" applyBorder="1" applyAlignment="1" applyProtection="1">
      <alignment horizontal="center" vertical="center" wrapText="1"/>
      <protection hidden="1"/>
    </xf>
    <xf numFmtId="3" fontId="31" fillId="30" borderId="454" xfId="0" applyNumberFormat="1" applyFont="1" applyFill="1" applyBorder="1" applyAlignment="1" applyProtection="1">
      <alignment horizontal="center" vertical="center" wrapText="1"/>
      <protection hidden="1"/>
    </xf>
    <xf numFmtId="3" fontId="31" fillId="30" borderId="449" xfId="0" applyNumberFormat="1" applyFont="1" applyFill="1" applyBorder="1" applyAlignment="1" applyProtection="1">
      <alignment horizontal="center" vertical="center" wrapText="1"/>
      <protection hidden="1"/>
    </xf>
    <xf numFmtId="3" fontId="31" fillId="30" borderId="521" xfId="0" applyNumberFormat="1" applyFont="1" applyFill="1" applyBorder="1" applyAlignment="1" applyProtection="1">
      <alignment horizontal="center" vertical="center" wrapText="1"/>
      <protection hidden="1"/>
    </xf>
    <xf numFmtId="0" fontId="31" fillId="30" borderId="57" xfId="0" applyFont="1" applyFill="1" applyBorder="1" applyAlignment="1" applyProtection="1">
      <alignment horizontal="center" vertical="center" wrapText="1"/>
      <protection hidden="1"/>
    </xf>
    <xf numFmtId="0" fontId="31" fillId="30" borderId="65" xfId="0" applyFont="1" applyFill="1" applyBorder="1" applyAlignment="1" applyProtection="1">
      <alignment horizontal="center" vertical="center" wrapText="1"/>
      <protection hidden="1"/>
    </xf>
    <xf numFmtId="38" fontId="48" fillId="2" borderId="50" xfId="2" applyFont="1" applyFill="1" applyBorder="1" applyAlignment="1" applyProtection="1">
      <alignment horizontal="center" vertical="center" shrinkToFit="1"/>
      <protection locked="0"/>
    </xf>
    <xf numFmtId="38" fontId="48" fillId="2" borderId="65" xfId="2" applyFont="1" applyFill="1" applyBorder="1" applyAlignment="1" applyProtection="1">
      <alignment horizontal="center" vertical="center" shrinkToFit="1"/>
      <protection locked="0"/>
    </xf>
    <xf numFmtId="0" fontId="28" fillId="2" borderId="0" xfId="0" applyFont="1" applyFill="1" applyAlignment="1" applyProtection="1">
      <alignment horizontal="center" vertical="center"/>
      <protection locked="0"/>
    </xf>
    <xf numFmtId="0" fontId="28" fillId="2" borderId="50" xfId="0" applyFont="1" applyFill="1" applyBorder="1" applyAlignment="1" applyProtection="1">
      <alignment horizontal="center" vertical="center"/>
      <protection locked="0"/>
    </xf>
    <xf numFmtId="0" fontId="28" fillId="18" borderId="455" xfId="0" applyFont="1" applyFill="1" applyBorder="1" applyAlignment="1" applyProtection="1">
      <alignment horizontal="center" vertical="center" shrinkToFit="1"/>
      <protection hidden="1"/>
    </xf>
    <xf numFmtId="0" fontId="28" fillId="18" borderId="51" xfId="0" applyFont="1" applyFill="1" applyBorder="1" applyAlignment="1" applyProtection="1">
      <alignment horizontal="center" vertical="center" shrinkToFit="1"/>
      <protection hidden="1"/>
    </xf>
    <xf numFmtId="0" fontId="28" fillId="18" borderId="56" xfId="0" applyFont="1" applyFill="1" applyBorder="1" applyAlignment="1" applyProtection="1">
      <alignment horizontal="center" vertical="center" shrinkToFit="1"/>
      <protection hidden="1"/>
    </xf>
    <xf numFmtId="0" fontId="28" fillId="18" borderId="0" xfId="0" applyFont="1" applyFill="1" applyAlignment="1" applyProtection="1">
      <alignment horizontal="center" vertical="center" shrinkToFit="1"/>
      <protection hidden="1"/>
    </xf>
    <xf numFmtId="0" fontId="18" fillId="23" borderId="283" xfId="1" applyFill="1" applyBorder="1" applyAlignment="1" applyProtection="1">
      <alignment horizontal="center" vertical="center"/>
      <protection locked="0"/>
    </xf>
    <xf numFmtId="0" fontId="107" fillId="23" borderId="284" xfId="1" applyFont="1" applyFill="1" applyBorder="1" applyAlignment="1" applyProtection="1">
      <alignment horizontal="center" vertical="center"/>
      <protection locked="0"/>
    </xf>
    <xf numFmtId="0" fontId="107" fillId="23" borderId="285" xfId="1" applyFont="1" applyFill="1" applyBorder="1" applyAlignment="1" applyProtection="1">
      <alignment horizontal="center" vertical="center"/>
      <protection locked="0"/>
    </xf>
    <xf numFmtId="0" fontId="107" fillId="23" borderId="291" xfId="1" applyFont="1" applyFill="1" applyBorder="1" applyAlignment="1" applyProtection="1">
      <alignment horizontal="center" vertical="center"/>
      <protection locked="0"/>
    </xf>
    <xf numFmtId="0" fontId="107" fillId="23" borderId="292" xfId="1" applyFont="1" applyFill="1" applyBorder="1" applyAlignment="1" applyProtection="1">
      <alignment horizontal="center" vertical="center"/>
      <protection locked="0"/>
    </xf>
    <xf numFmtId="0" fontId="107" fillId="23" borderId="293" xfId="1" applyFont="1" applyFill="1" applyBorder="1" applyAlignment="1" applyProtection="1">
      <alignment horizontal="center" vertical="center"/>
      <protection locked="0"/>
    </xf>
    <xf numFmtId="0" fontId="60" fillId="4" borderId="17" xfId="0" applyFont="1" applyFill="1" applyBorder="1" applyAlignment="1" applyProtection="1">
      <alignment horizontal="center" vertical="center"/>
      <protection hidden="1"/>
    </xf>
    <xf numFmtId="0" fontId="60" fillId="4" borderId="1" xfId="0" applyFont="1" applyFill="1" applyBorder="1" applyAlignment="1" applyProtection="1">
      <alignment horizontal="center" vertical="center"/>
      <protection hidden="1"/>
    </xf>
    <xf numFmtId="0" fontId="60" fillId="4" borderId="37" xfId="0" applyFont="1" applyFill="1" applyBorder="1" applyAlignment="1" applyProtection="1">
      <alignment horizontal="center" vertical="center"/>
      <protection hidden="1"/>
    </xf>
    <xf numFmtId="0" fontId="60" fillId="4" borderId="12" xfId="0" applyFont="1" applyFill="1" applyBorder="1" applyAlignment="1" applyProtection="1">
      <alignment horizontal="center" vertical="center"/>
      <protection hidden="1"/>
    </xf>
    <xf numFmtId="0" fontId="60" fillId="4" borderId="9" xfId="0" applyFont="1" applyFill="1" applyBorder="1" applyAlignment="1" applyProtection="1">
      <alignment horizontal="center" vertical="center"/>
      <protection hidden="1"/>
    </xf>
    <xf numFmtId="0" fontId="60" fillId="4" borderId="33" xfId="0" applyFont="1" applyFill="1" applyBorder="1" applyAlignment="1" applyProtection="1">
      <alignment horizontal="center" vertical="center"/>
      <protection hidden="1"/>
    </xf>
    <xf numFmtId="49" fontId="23" fillId="23" borderId="38" xfId="0" applyNumberFormat="1" applyFont="1" applyFill="1" applyBorder="1" applyProtection="1">
      <alignment vertical="center"/>
      <protection locked="0"/>
    </xf>
    <xf numFmtId="49" fontId="23" fillId="23" borderId="1" xfId="0" applyNumberFormat="1" applyFont="1" applyFill="1" applyBorder="1" applyProtection="1">
      <alignment vertical="center"/>
      <protection locked="0"/>
    </xf>
    <xf numFmtId="49" fontId="23" fillId="23" borderId="2" xfId="0" applyNumberFormat="1" applyFont="1" applyFill="1" applyBorder="1" applyProtection="1">
      <alignment vertical="center"/>
      <protection locked="0"/>
    </xf>
    <xf numFmtId="49" fontId="23" fillId="23" borderId="36" xfId="0" applyNumberFormat="1" applyFont="1" applyFill="1" applyBorder="1" applyProtection="1">
      <alignment vertical="center"/>
      <protection locked="0"/>
    </xf>
    <xf numFmtId="49" fontId="23" fillId="23" borderId="9" xfId="0" applyNumberFormat="1" applyFont="1" applyFill="1" applyBorder="1" applyProtection="1">
      <alignment vertical="center"/>
      <protection locked="0"/>
    </xf>
    <xf numFmtId="49" fontId="23" fillId="23" borderId="10" xfId="0" applyNumberFormat="1" applyFont="1" applyFill="1" applyBorder="1" applyProtection="1">
      <alignment vertical="center"/>
      <protection locked="0"/>
    </xf>
    <xf numFmtId="0" fontId="75" fillId="2" borderId="28" xfId="0" applyFont="1" applyFill="1" applyBorder="1" applyProtection="1">
      <alignment vertical="center"/>
      <protection locked="0"/>
    </xf>
    <xf numFmtId="0" fontId="75" fillId="2" borderId="26" xfId="0" applyFont="1" applyFill="1" applyBorder="1" applyProtection="1">
      <alignment vertical="center"/>
      <protection locked="0"/>
    </xf>
    <xf numFmtId="0" fontId="75" fillId="2" borderId="300" xfId="0" applyFont="1" applyFill="1" applyBorder="1" applyProtection="1">
      <alignment vertical="center"/>
      <protection locked="0"/>
    </xf>
    <xf numFmtId="49" fontId="23" fillId="23" borderId="304" xfId="0" applyNumberFormat="1" applyFont="1" applyFill="1" applyBorder="1" applyProtection="1">
      <alignment vertical="center"/>
      <protection locked="0"/>
    </xf>
    <xf numFmtId="49" fontId="23" fillId="23" borderId="298" xfId="0" applyNumberFormat="1" applyFont="1" applyFill="1" applyBorder="1" applyProtection="1">
      <alignment vertical="center"/>
      <protection locked="0"/>
    </xf>
    <xf numFmtId="0" fontId="75" fillId="2" borderId="153" xfId="0" applyFont="1" applyFill="1" applyBorder="1" applyProtection="1">
      <alignment vertical="center"/>
      <protection locked="0"/>
    </xf>
    <xf numFmtId="0" fontId="75" fillId="2" borderId="152" xfId="0" applyFont="1" applyFill="1" applyBorder="1" applyProtection="1">
      <alignment vertical="center"/>
      <protection locked="0"/>
    </xf>
    <xf numFmtId="0" fontId="75" fillId="2" borderId="306" xfId="0" applyFont="1" applyFill="1" applyBorder="1" applyProtection="1">
      <alignment vertical="center"/>
      <protection locked="0"/>
    </xf>
    <xf numFmtId="0" fontId="60" fillId="4" borderId="31" xfId="0" applyFont="1" applyFill="1" applyBorder="1" applyAlignment="1" applyProtection="1">
      <alignment horizontal="center" vertical="center"/>
      <protection hidden="1"/>
    </xf>
    <xf numFmtId="0" fontId="133" fillId="4" borderId="6" xfId="0" applyFont="1" applyFill="1" applyBorder="1" applyAlignment="1" applyProtection="1">
      <alignment horizontal="center" vertical="center"/>
      <protection hidden="1"/>
    </xf>
    <xf numFmtId="0" fontId="133" fillId="4" borderId="7" xfId="0" applyFont="1" applyFill="1" applyBorder="1" applyAlignment="1" applyProtection="1">
      <alignment horizontal="center" vertical="center"/>
      <protection hidden="1"/>
    </xf>
    <xf numFmtId="0" fontId="133" fillId="4" borderId="12" xfId="0" applyFont="1" applyFill="1" applyBorder="1" applyAlignment="1" applyProtection="1">
      <alignment horizontal="center" vertical="center"/>
      <protection hidden="1"/>
    </xf>
    <xf numFmtId="0" fontId="0" fillId="23" borderId="16" xfId="0" applyFill="1" applyBorder="1" applyProtection="1">
      <alignment vertical="center"/>
      <protection locked="0"/>
    </xf>
    <xf numFmtId="0" fontId="0" fillId="23" borderId="0" xfId="0" applyFill="1" applyProtection="1">
      <alignment vertical="center"/>
      <protection locked="0"/>
    </xf>
    <xf numFmtId="0" fontId="0" fillId="23" borderId="12" xfId="0" applyFill="1" applyBorder="1" applyProtection="1">
      <alignment vertical="center"/>
      <protection locked="0"/>
    </xf>
    <xf numFmtId="0" fontId="0" fillId="23" borderId="9" xfId="0" applyFill="1" applyBorder="1" applyProtection="1">
      <alignment vertical="center"/>
      <protection locked="0"/>
    </xf>
    <xf numFmtId="0" fontId="0" fillId="23" borderId="154" xfId="0" applyFill="1" applyBorder="1" applyProtection="1">
      <alignment vertical="center"/>
      <protection locked="0"/>
    </xf>
    <xf numFmtId="0" fontId="0" fillId="23" borderId="155" xfId="0" applyFill="1" applyBorder="1" applyProtection="1">
      <alignment vertical="center"/>
      <protection locked="0"/>
    </xf>
    <xf numFmtId="0" fontId="0" fillId="23" borderId="307" xfId="0" applyFill="1" applyBorder="1" applyProtection="1">
      <alignment vertical="center"/>
      <protection locked="0"/>
    </xf>
    <xf numFmtId="0" fontId="0" fillId="23" borderId="156" xfId="0" applyFill="1" applyBorder="1" applyProtection="1">
      <alignment vertical="center"/>
      <protection locked="0"/>
    </xf>
    <xf numFmtId="0" fontId="0" fillId="23" borderId="298" xfId="0" applyFill="1" applyBorder="1" applyProtection="1">
      <alignment vertical="center"/>
      <protection locked="0"/>
    </xf>
    <xf numFmtId="0" fontId="75" fillId="4" borderId="31" xfId="0" applyFont="1" applyFill="1" applyBorder="1" applyAlignment="1">
      <alignment horizontal="center" vertical="center" wrapText="1" shrinkToFit="1"/>
    </xf>
    <xf numFmtId="0" fontId="75" fillId="4" borderId="12" xfId="0" applyFont="1" applyFill="1" applyBorder="1" applyAlignment="1">
      <alignment horizontal="center" vertical="center" wrapText="1" shrinkToFit="1"/>
    </xf>
    <xf numFmtId="0" fontId="75" fillId="4" borderId="26" xfId="0" applyFont="1" applyFill="1" applyBorder="1" applyAlignment="1" applyProtection="1">
      <alignment horizontal="center" vertical="center"/>
      <protection hidden="1"/>
    </xf>
    <xf numFmtId="0" fontId="75" fillId="4" borderId="27" xfId="0" applyFont="1" applyFill="1" applyBorder="1" applyAlignment="1" applyProtection="1">
      <alignment horizontal="center" vertical="center"/>
      <protection hidden="1"/>
    </xf>
    <xf numFmtId="0" fontId="75" fillId="2" borderId="151" xfId="0" applyFont="1" applyFill="1" applyBorder="1" applyProtection="1">
      <alignment vertical="center"/>
      <protection locked="0"/>
    </xf>
    <xf numFmtId="184" fontId="0" fillId="23" borderId="17" xfId="0" applyNumberFormat="1" applyFill="1" applyBorder="1" applyProtection="1">
      <alignment vertical="center"/>
      <protection locked="0"/>
    </xf>
    <xf numFmtId="184" fontId="0" fillId="23" borderId="1" xfId="0" applyNumberFormat="1" applyFill="1" applyBorder="1" applyProtection="1">
      <alignment vertical="center"/>
      <protection locked="0"/>
    </xf>
    <xf numFmtId="184" fontId="0" fillId="23" borderId="2" xfId="0" applyNumberFormat="1" applyFill="1" applyBorder="1" applyProtection="1">
      <alignment vertical="center"/>
      <protection locked="0"/>
    </xf>
    <xf numFmtId="184" fontId="0" fillId="23" borderId="294" xfId="0" applyNumberFormat="1" applyFill="1" applyBorder="1" applyProtection="1">
      <alignment vertical="center"/>
      <protection locked="0"/>
    </xf>
    <xf numFmtId="184" fontId="0" fillId="23" borderId="289" xfId="0" applyNumberFormat="1" applyFill="1" applyBorder="1" applyProtection="1">
      <alignment vertical="center"/>
      <protection locked="0"/>
    </xf>
    <xf numFmtId="184" fontId="0" fillId="23" borderId="290" xfId="0" applyNumberFormat="1" applyFill="1" applyBorder="1" applyProtection="1">
      <alignment vertical="center"/>
      <protection locked="0"/>
    </xf>
    <xf numFmtId="0" fontId="133" fillId="4" borderId="294" xfId="0" applyFont="1" applyFill="1" applyBorder="1" applyAlignment="1" applyProtection="1">
      <alignment horizontal="center" vertical="center"/>
      <protection hidden="1"/>
    </xf>
    <xf numFmtId="0" fontId="18" fillId="23" borderId="17" xfId="1" applyFill="1" applyBorder="1" applyAlignment="1" applyProtection="1">
      <alignment vertical="center"/>
      <protection locked="0"/>
    </xf>
    <xf numFmtId="0" fontId="18" fillId="23" borderId="1" xfId="1" applyFill="1" applyBorder="1" applyAlignment="1" applyProtection="1">
      <alignment vertical="center"/>
      <protection locked="0"/>
    </xf>
    <xf numFmtId="0" fontId="18" fillId="23" borderId="304" xfId="1" applyFill="1" applyBorder="1" applyAlignment="1" applyProtection="1">
      <alignment vertical="center"/>
      <protection locked="0"/>
    </xf>
    <xf numFmtId="0" fontId="18" fillId="23" borderId="294" xfId="1" applyFill="1" applyBorder="1" applyAlignment="1" applyProtection="1">
      <alignment vertical="center"/>
      <protection locked="0"/>
    </xf>
    <xf numFmtId="0" fontId="18" fillId="23" borderId="289" xfId="1" applyFill="1" applyBorder="1" applyAlignment="1" applyProtection="1">
      <alignment vertical="center"/>
      <protection locked="0"/>
    </xf>
    <xf numFmtId="0" fontId="18" fillId="23" borderId="295" xfId="1" applyFill="1" applyBorder="1" applyAlignment="1" applyProtection="1">
      <alignment vertical="center"/>
      <protection locked="0"/>
    </xf>
    <xf numFmtId="0" fontId="18" fillId="2" borderId="96" xfId="1" applyFill="1" applyBorder="1" applyAlignment="1" applyProtection="1">
      <alignment horizontal="center" vertical="center"/>
      <protection locked="0"/>
    </xf>
    <xf numFmtId="0" fontId="31" fillId="2" borderId="96" xfId="8" applyFont="1" applyFill="1" applyBorder="1" applyAlignment="1" applyProtection="1">
      <alignment horizontal="center" vertical="center"/>
      <protection locked="0"/>
    </xf>
    <xf numFmtId="0" fontId="31" fillId="2" borderId="0" xfId="8" applyFont="1" applyFill="1" applyAlignment="1" applyProtection="1">
      <alignment horizontal="center" vertical="center"/>
      <protection locked="0"/>
    </xf>
    <xf numFmtId="0" fontId="31" fillId="11" borderId="453" xfId="8" applyFont="1" applyFill="1" applyBorder="1" applyAlignment="1">
      <alignment horizontal="center" vertical="center"/>
    </xf>
    <xf numFmtId="0" fontId="31" fillId="11" borderId="96" xfId="8" applyFont="1" applyFill="1" applyBorder="1" applyAlignment="1">
      <alignment horizontal="center" vertical="center"/>
    </xf>
    <xf numFmtId="0" fontId="31" fillId="11" borderId="593" xfId="8" applyFont="1" applyFill="1" applyBorder="1" applyAlignment="1">
      <alignment horizontal="center" vertical="center"/>
    </xf>
    <xf numFmtId="0" fontId="31" fillId="11" borderId="99" xfId="8" applyFont="1" applyFill="1" applyBorder="1" applyAlignment="1">
      <alignment horizontal="center" vertical="center"/>
    </xf>
    <xf numFmtId="0" fontId="31" fillId="11" borderId="0" xfId="8" applyFont="1" applyFill="1" applyAlignment="1">
      <alignment horizontal="center" vertical="center"/>
    </xf>
    <xf numFmtId="0" fontId="31" fillId="11" borderId="411" xfId="8" applyFont="1" applyFill="1" applyBorder="1" applyAlignment="1">
      <alignment horizontal="center" vertical="center"/>
    </xf>
    <xf numFmtId="0" fontId="31" fillId="11" borderId="582" xfId="8" applyFont="1" applyFill="1" applyBorder="1" applyAlignment="1">
      <alignment horizontal="center" vertical="center"/>
    </xf>
    <xf numFmtId="0" fontId="31" fillId="11" borderId="583" xfId="8" applyFont="1" applyFill="1" applyBorder="1" applyAlignment="1">
      <alignment horizontal="center" vertical="center"/>
    </xf>
    <xf numFmtId="0" fontId="31" fillId="11" borderId="53" xfId="8" applyFont="1" applyFill="1" applyBorder="1" applyAlignment="1">
      <alignment horizontal="center" vertical="center"/>
    </xf>
    <xf numFmtId="0" fontId="31" fillId="11" borderId="585" xfId="8" applyFont="1" applyFill="1" applyBorder="1" applyAlignment="1">
      <alignment horizontal="center" vertical="center"/>
    </xf>
    <xf numFmtId="0" fontId="75" fillId="4" borderId="28" xfId="0" applyFont="1" applyFill="1" applyBorder="1" applyAlignment="1" applyProtection="1">
      <alignment horizontal="center" vertical="center"/>
      <protection hidden="1"/>
    </xf>
    <xf numFmtId="0" fontId="75" fillId="2" borderId="251" xfId="0" applyFont="1" applyFill="1" applyBorder="1" applyProtection="1">
      <alignment vertical="center"/>
      <protection locked="0"/>
    </xf>
    <xf numFmtId="0" fontId="18" fillId="20" borderId="53" xfId="1" applyFill="1" applyBorder="1" applyAlignment="1" applyProtection="1">
      <alignment vertical="center" wrapText="1" shrinkToFit="1"/>
    </xf>
    <xf numFmtId="0" fontId="100" fillId="20" borderId="46" xfId="1" applyFont="1" applyFill="1" applyBorder="1" applyAlignment="1" applyProtection="1">
      <alignment vertical="center" wrapText="1" shrinkToFit="1"/>
    </xf>
    <xf numFmtId="0" fontId="100" fillId="20" borderId="49" xfId="1" applyFont="1" applyFill="1" applyBorder="1" applyAlignment="1" applyProtection="1">
      <alignment vertical="center" wrapText="1" shrinkToFit="1"/>
    </xf>
    <xf numFmtId="0" fontId="152" fillId="11" borderId="46" xfId="8" applyFont="1" applyFill="1" applyBorder="1" applyAlignment="1" applyProtection="1">
      <alignment horizontal="center" vertical="center" wrapText="1" shrinkToFit="1"/>
      <protection hidden="1"/>
    </xf>
    <xf numFmtId="0" fontId="152" fillId="11" borderId="0" xfId="8" applyFont="1" applyFill="1" applyAlignment="1" applyProtection="1">
      <alignment horizontal="center" vertical="center" wrapText="1" shrinkToFit="1"/>
      <protection hidden="1"/>
    </xf>
    <xf numFmtId="0" fontId="152" fillId="11" borderId="289" xfId="8" applyFont="1" applyFill="1" applyBorder="1" applyAlignment="1" applyProtection="1">
      <alignment horizontal="center" vertical="center" wrapText="1" shrinkToFit="1"/>
      <protection hidden="1"/>
    </xf>
    <xf numFmtId="0" fontId="42" fillId="2" borderId="418" xfId="8" applyFont="1" applyFill="1" applyBorder="1" applyAlignment="1" applyProtection="1">
      <alignment horizontal="center" vertical="center" wrapText="1" shrinkToFit="1"/>
      <protection locked="0" hidden="1"/>
    </xf>
    <xf numFmtId="0" fontId="42" fillId="2" borderId="46" xfId="8" applyFont="1" applyFill="1" applyBorder="1" applyAlignment="1" applyProtection="1">
      <alignment horizontal="center" vertical="center" wrapText="1" shrinkToFit="1"/>
      <protection locked="0" hidden="1"/>
    </xf>
    <xf numFmtId="0" fontId="42" fillId="2" borderId="462" xfId="8" applyFont="1" applyFill="1" applyBorder="1" applyAlignment="1" applyProtection="1">
      <alignment horizontal="center" vertical="center" wrapText="1" shrinkToFit="1"/>
      <protection locked="0" hidden="1"/>
    </xf>
    <xf numFmtId="0" fontId="42" fillId="2" borderId="419" xfId="8" applyFont="1" applyFill="1" applyBorder="1" applyAlignment="1" applyProtection="1">
      <alignment horizontal="center" vertical="center" wrapText="1" shrinkToFit="1"/>
      <protection locked="0" hidden="1"/>
    </xf>
    <xf numFmtId="0" fontId="42" fillId="2" borderId="0" xfId="8" applyFont="1" applyFill="1" applyAlignment="1" applyProtection="1">
      <alignment horizontal="center" vertical="center" wrapText="1" shrinkToFit="1"/>
      <protection locked="0" hidden="1"/>
    </xf>
    <xf numFmtId="0" fontId="42" fillId="2" borderId="97" xfId="8" applyFont="1" applyFill="1" applyBorder="1" applyAlignment="1" applyProtection="1">
      <alignment horizontal="center" vertical="center" wrapText="1" shrinkToFit="1"/>
      <protection locked="0" hidden="1"/>
    </xf>
    <xf numFmtId="0" fontId="42" fillId="2" borderId="588" xfId="8" applyFont="1" applyFill="1" applyBorder="1" applyAlignment="1" applyProtection="1">
      <alignment horizontal="center" vertical="center" wrapText="1" shrinkToFit="1"/>
      <protection locked="0" hidden="1"/>
    </xf>
    <xf numFmtId="0" fontId="42" fillId="2" borderId="289" xfId="8" applyFont="1" applyFill="1" applyBorder="1" applyAlignment="1" applyProtection="1">
      <alignment horizontal="center" vertical="center" wrapText="1" shrinkToFit="1"/>
      <protection locked="0" hidden="1"/>
    </xf>
    <xf numFmtId="0" fontId="42" fillId="2" borderId="554" xfId="8" applyFont="1" applyFill="1" applyBorder="1" applyAlignment="1" applyProtection="1">
      <alignment horizontal="center" vertical="center" wrapText="1" shrinkToFit="1"/>
      <protection locked="0" hidden="1"/>
    </xf>
    <xf numFmtId="0" fontId="40" fillId="50" borderId="0" xfId="8" applyFont="1" applyFill="1" applyAlignment="1">
      <alignment horizontal="left" vertical="center"/>
    </xf>
    <xf numFmtId="0" fontId="40" fillId="50" borderId="413" xfId="8" applyFont="1" applyFill="1" applyBorder="1" applyAlignment="1">
      <alignment horizontal="left" vertical="center"/>
    </xf>
    <xf numFmtId="0" fontId="31" fillId="11" borderId="406" xfId="8" applyFont="1" applyFill="1" applyBorder="1" applyAlignment="1" applyProtection="1">
      <alignment horizontal="center" vertical="center" wrapText="1" shrinkToFit="1"/>
      <protection hidden="1"/>
    </xf>
    <xf numFmtId="0" fontId="28" fillId="2" borderId="63" xfId="8" applyFont="1" applyFill="1" applyBorder="1" applyAlignment="1" applyProtection="1">
      <alignment horizontal="center" vertical="center"/>
      <protection locked="0"/>
    </xf>
    <xf numFmtId="0" fontId="28" fillId="2" borderId="0" xfId="8" applyFont="1" applyFill="1" applyAlignment="1" applyProtection="1">
      <alignment horizontal="center" vertical="center"/>
      <protection locked="0"/>
    </xf>
    <xf numFmtId="0" fontId="28" fillId="2" borderId="64" xfId="8" applyFont="1" applyFill="1" applyBorder="1" applyAlignment="1" applyProtection="1">
      <alignment horizontal="center" vertical="center"/>
      <protection locked="0"/>
    </xf>
    <xf numFmtId="0" fontId="28" fillId="2" borderId="66" xfId="8" applyFont="1" applyFill="1" applyBorder="1" applyAlignment="1" applyProtection="1">
      <alignment horizontal="center" vertical="center"/>
      <protection locked="0"/>
    </xf>
    <xf numFmtId="0" fontId="28" fillId="2" borderId="53" xfId="8" applyFont="1" applyFill="1" applyBorder="1" applyAlignment="1" applyProtection="1">
      <alignment horizontal="center" vertical="center"/>
      <protection locked="0"/>
    </xf>
    <xf numFmtId="0" fontId="28" fillId="2" borderId="69" xfId="8" applyFont="1" applyFill="1" applyBorder="1" applyAlignment="1" applyProtection="1">
      <alignment horizontal="center" vertical="center"/>
      <protection locked="0"/>
    </xf>
    <xf numFmtId="0" fontId="45" fillId="21" borderId="97" xfId="8" applyFont="1" applyFill="1" applyBorder="1" applyAlignment="1" applyProtection="1">
      <alignment horizontal="center" vertical="center" wrapText="1" shrinkToFit="1"/>
      <protection hidden="1"/>
    </xf>
    <xf numFmtId="0" fontId="45" fillId="21" borderId="559" xfId="8" applyFont="1" applyFill="1" applyBorder="1" applyAlignment="1" applyProtection="1">
      <alignment horizontal="center" vertical="center" wrapText="1" shrinkToFit="1"/>
      <protection hidden="1"/>
    </xf>
    <xf numFmtId="0" fontId="45" fillId="21" borderId="413" xfId="8" applyFont="1" applyFill="1" applyBorder="1" applyAlignment="1" applyProtection="1">
      <alignment horizontal="center" vertical="center" wrapText="1" shrinkToFit="1"/>
      <protection hidden="1"/>
    </xf>
    <xf numFmtId="0" fontId="45" fillId="21" borderId="590" xfId="8" applyFont="1" applyFill="1" applyBorder="1" applyAlignment="1" applyProtection="1">
      <alignment horizontal="center" vertical="center" wrapText="1" shrinkToFit="1"/>
      <protection hidden="1"/>
    </xf>
    <xf numFmtId="0" fontId="31" fillId="11" borderId="562" xfId="8" applyFont="1" applyFill="1" applyBorder="1" applyAlignment="1">
      <alignment horizontal="center" vertical="center"/>
    </xf>
    <xf numFmtId="0" fontId="31" fillId="11" borderId="32" xfId="8" applyFont="1" applyFill="1" applyBorder="1" applyAlignment="1">
      <alignment horizontal="center" vertical="center"/>
    </xf>
    <xf numFmtId="0" fontId="31" fillId="11" borderId="594" xfId="8" applyFont="1" applyFill="1" applyBorder="1" applyAlignment="1">
      <alignment horizontal="center" vertical="center"/>
    </xf>
    <xf numFmtId="0" fontId="31" fillId="11" borderId="413" xfId="8" applyFont="1" applyFill="1" applyBorder="1" applyAlignment="1">
      <alignment horizontal="center" vertical="center"/>
    </xf>
    <xf numFmtId="0" fontId="31" fillId="11" borderId="558" xfId="8" applyFont="1" applyFill="1" applyBorder="1" applyAlignment="1">
      <alignment horizontal="center" vertical="center"/>
    </xf>
    <xf numFmtId="0" fontId="28" fillId="2" borderId="563" xfId="8" applyFont="1" applyFill="1" applyBorder="1" applyAlignment="1" applyProtection="1">
      <alignment horizontal="center" vertical="center"/>
      <protection locked="0"/>
    </xf>
    <xf numFmtId="0" fontId="28" fillId="2" borderId="96" xfId="8" applyFont="1" applyFill="1" applyBorder="1" applyAlignment="1" applyProtection="1">
      <alignment horizontal="center" vertical="center"/>
      <protection locked="0"/>
    </xf>
    <xf numFmtId="0" fontId="28" fillId="2" borderId="35" xfId="8" applyFont="1" applyFill="1" applyBorder="1" applyAlignment="1" applyProtection="1">
      <alignment horizontal="center" vertical="center"/>
      <protection locked="0"/>
    </xf>
    <xf numFmtId="0" fontId="28" fillId="2" borderId="560" xfId="8" applyFont="1" applyFill="1" applyBorder="1" applyAlignment="1" applyProtection="1">
      <alignment horizontal="center" vertical="center"/>
      <protection locked="0"/>
    </xf>
    <xf numFmtId="0" fontId="28" fillId="2" borderId="413" xfId="8" applyFont="1" applyFill="1" applyBorder="1" applyAlignment="1" applyProtection="1">
      <alignment horizontal="center" vertical="center"/>
      <protection locked="0"/>
    </xf>
    <xf numFmtId="0" fontId="31" fillId="11" borderId="557" xfId="8" applyFont="1" applyFill="1" applyBorder="1" applyAlignment="1" applyProtection="1">
      <alignment horizontal="center" vertical="center" wrapText="1" shrinkToFit="1"/>
      <protection hidden="1"/>
    </xf>
    <xf numFmtId="0" fontId="31" fillId="11" borderId="566" xfId="8" applyFont="1" applyFill="1" applyBorder="1" applyAlignment="1">
      <alignment horizontal="center" vertical="center"/>
    </xf>
    <xf numFmtId="0" fontId="31" fillId="11" borderId="46" xfId="8" applyFont="1" applyFill="1" applyBorder="1" applyAlignment="1">
      <alignment horizontal="center" vertical="center"/>
    </xf>
    <xf numFmtId="0" fontId="31" fillId="11" borderId="410" xfId="8" applyFont="1" applyFill="1" applyBorder="1" applyAlignment="1">
      <alignment horizontal="center" vertical="center"/>
    </xf>
    <xf numFmtId="0" fontId="28" fillId="2" borderId="46" xfId="8" applyFont="1" applyFill="1" applyBorder="1" applyAlignment="1" applyProtection="1">
      <alignment horizontal="center" vertical="center"/>
      <protection locked="0"/>
    </xf>
    <xf numFmtId="0" fontId="22" fillId="18" borderId="46" xfId="8" applyFont="1" applyFill="1" applyBorder="1" applyAlignment="1">
      <alignment horizontal="center" vertical="center"/>
    </xf>
    <xf numFmtId="0" fontId="22" fillId="18" borderId="359" xfId="8" applyFont="1" applyFill="1" applyBorder="1" applyAlignment="1">
      <alignment horizontal="center" vertical="center"/>
    </xf>
    <xf numFmtId="0" fontId="22" fillId="18" borderId="0" xfId="8" applyFont="1" applyFill="1" applyAlignment="1">
      <alignment horizontal="center" vertical="center"/>
    </xf>
    <xf numFmtId="0" fontId="22" fillId="18" borderId="308" xfId="8" applyFont="1" applyFill="1" applyBorder="1" applyAlignment="1">
      <alignment horizontal="center" vertical="center"/>
    </xf>
    <xf numFmtId="0" fontId="22" fillId="18" borderId="289" xfId="8" applyFont="1" applyFill="1" applyBorder="1" applyAlignment="1">
      <alignment horizontal="center" vertical="center"/>
    </xf>
    <xf numFmtId="0" fontId="22" fillId="18" borderId="295" xfId="8" applyFont="1" applyFill="1" applyBorder="1" applyAlignment="1">
      <alignment horizontal="center" vertical="center"/>
    </xf>
    <xf numFmtId="0" fontId="37" fillId="2" borderId="418" xfId="8" applyFont="1" applyFill="1" applyBorder="1" applyAlignment="1" applyProtection="1">
      <alignment horizontal="center" vertical="center"/>
      <protection locked="0"/>
    </xf>
    <xf numFmtId="0" fontId="37" fillId="2" borderId="46" xfId="8" applyFont="1" applyFill="1" applyBorder="1" applyAlignment="1" applyProtection="1">
      <alignment horizontal="center" vertical="center"/>
      <protection locked="0"/>
    </xf>
    <xf numFmtId="0" fontId="37" fillId="2" borderId="419" xfId="8" applyFont="1" applyFill="1" applyBorder="1" applyAlignment="1" applyProtection="1">
      <alignment horizontal="center" vertical="center"/>
      <protection locked="0"/>
    </xf>
    <xf numFmtId="0" fontId="37" fillId="2" borderId="0" xfId="8" applyFont="1" applyFill="1" applyAlignment="1" applyProtection="1">
      <alignment horizontal="center" vertical="center"/>
      <protection locked="0"/>
    </xf>
    <xf numFmtId="0" fontId="37" fillId="2" borderId="589" xfId="8" applyFont="1" applyFill="1" applyBorder="1" applyAlignment="1" applyProtection="1">
      <alignment horizontal="center" vertical="center"/>
      <protection locked="0"/>
    </xf>
    <xf numFmtId="0" fontId="37" fillId="2" borderId="449" xfId="8" applyFont="1" applyFill="1" applyBorder="1" applyAlignment="1" applyProtection="1">
      <alignment horizontal="center" vertical="center"/>
      <protection locked="0"/>
    </xf>
    <xf numFmtId="0" fontId="31" fillId="11" borderId="276" xfId="8" applyFont="1" applyFill="1" applyBorder="1" applyAlignment="1">
      <alignment horizontal="center" vertical="center"/>
    </xf>
    <xf numFmtId="0" fontId="104" fillId="0" borderId="462" xfId="8" applyFont="1" applyBorder="1" applyAlignment="1" applyProtection="1">
      <alignment horizontal="center" vertical="center" wrapText="1" shrinkToFit="1"/>
      <protection hidden="1"/>
    </xf>
    <xf numFmtId="0" fontId="104" fillId="0" borderId="97" xfId="8" applyFont="1" applyBorder="1" applyAlignment="1" applyProtection="1">
      <alignment horizontal="center" vertical="center" wrapText="1" shrinkToFit="1"/>
      <protection hidden="1"/>
    </xf>
    <xf numFmtId="0" fontId="104" fillId="0" borderId="554" xfId="8" applyFont="1" applyBorder="1" applyAlignment="1" applyProtection="1">
      <alignment horizontal="center" vertical="center" wrapText="1" shrinkToFit="1"/>
      <protection hidden="1"/>
    </xf>
    <xf numFmtId="38" fontId="28" fillId="2" borderId="587" xfId="9" applyFont="1" applyFill="1" applyBorder="1" applyAlignment="1" applyProtection="1">
      <alignment horizontal="center" vertical="center" shrinkToFit="1"/>
      <protection locked="0"/>
    </xf>
    <xf numFmtId="38" fontId="28" fillId="2" borderId="408" xfId="9" applyFont="1" applyFill="1" applyBorder="1" applyAlignment="1" applyProtection="1">
      <alignment horizontal="center" vertical="center" shrinkToFit="1"/>
      <protection locked="0"/>
    </xf>
    <xf numFmtId="38" fontId="28" fillId="2" borderId="565" xfId="9" applyFont="1" applyFill="1" applyBorder="1" applyAlignment="1" applyProtection="1">
      <alignment horizontal="center" vertical="center" shrinkToFit="1"/>
      <protection locked="0"/>
    </xf>
    <xf numFmtId="38" fontId="28" fillId="2" borderId="97" xfId="9" applyFont="1" applyFill="1" applyBorder="1" applyAlignment="1" applyProtection="1">
      <alignment horizontal="center" vertical="center" shrinkToFit="1"/>
      <protection locked="0"/>
    </xf>
    <xf numFmtId="38" fontId="28" fillId="55" borderId="328" xfId="9" applyFont="1" applyFill="1" applyBorder="1" applyAlignment="1" applyProtection="1">
      <alignment horizontal="center" vertical="center" shrinkToFit="1"/>
      <protection locked="0"/>
    </xf>
    <xf numFmtId="38" fontId="28" fillId="55" borderId="281" xfId="9" applyFont="1" applyFill="1" applyBorder="1" applyAlignment="1" applyProtection="1">
      <alignment horizontal="center" vertical="center" shrinkToFit="1"/>
      <protection locked="0"/>
    </xf>
    <xf numFmtId="38" fontId="28" fillId="55" borderId="287" xfId="9" applyFont="1" applyFill="1" applyBorder="1" applyAlignment="1" applyProtection="1">
      <alignment horizontal="center" vertical="center" shrinkToFit="1"/>
      <protection locked="0"/>
    </xf>
    <xf numFmtId="38" fontId="28" fillId="55" borderId="56" xfId="9" applyFont="1" applyFill="1" applyBorder="1" applyAlignment="1" applyProtection="1">
      <alignment horizontal="center" vertical="center" shrinkToFit="1"/>
      <protection locked="0"/>
    </xf>
    <xf numFmtId="38" fontId="28" fillId="55" borderId="0" xfId="9" applyFont="1" applyFill="1" applyBorder="1" applyAlignment="1" applyProtection="1">
      <alignment horizontal="center" vertical="center" shrinkToFit="1"/>
      <protection locked="0"/>
    </xf>
    <xf numFmtId="38" fontId="28" fillId="55" borderId="308" xfId="9" applyFont="1" applyFill="1" applyBorder="1" applyAlignment="1" applyProtection="1">
      <alignment horizontal="center" vertical="center" shrinkToFit="1"/>
      <protection locked="0"/>
    </xf>
    <xf numFmtId="38" fontId="28" fillId="55" borderId="61" xfId="9" applyFont="1" applyFill="1" applyBorder="1" applyAlignment="1" applyProtection="1">
      <alignment horizontal="center" vertical="center" shrinkToFit="1"/>
      <protection locked="0"/>
    </xf>
    <xf numFmtId="38" fontId="28" fillId="55" borderId="53" xfId="9" applyFont="1" applyFill="1" applyBorder="1" applyAlignment="1" applyProtection="1">
      <alignment horizontal="center" vertical="center" shrinkToFit="1"/>
      <protection locked="0"/>
    </xf>
    <xf numFmtId="38" fontId="28" fillId="55" borderId="375" xfId="9" applyFont="1" applyFill="1" applyBorder="1" applyAlignment="1" applyProtection="1">
      <alignment horizontal="center" vertical="center" shrinkToFit="1"/>
      <protection locked="0"/>
    </xf>
    <xf numFmtId="0" fontId="31" fillId="11" borderId="328" xfId="8" applyFont="1" applyFill="1" applyBorder="1" applyAlignment="1" applyProtection="1">
      <alignment horizontal="center" vertical="center" wrapText="1" shrinkToFit="1"/>
      <protection hidden="1"/>
    </xf>
    <xf numFmtId="0" fontId="31" fillId="11" borderId="281" xfId="8" applyFont="1" applyFill="1" applyBorder="1" applyAlignment="1" applyProtection="1">
      <alignment horizontal="center" vertical="center" wrapText="1" shrinkToFit="1"/>
      <protection hidden="1"/>
    </xf>
    <xf numFmtId="0" fontId="31" fillId="11" borderId="327" xfId="8" applyFont="1" applyFill="1" applyBorder="1" applyAlignment="1" applyProtection="1">
      <alignment horizontal="center" vertical="center" wrapText="1" shrinkToFit="1"/>
      <protection hidden="1"/>
    </xf>
    <xf numFmtId="0" fontId="31" fillId="11" borderId="69" xfId="8" applyFont="1" applyFill="1" applyBorder="1" applyAlignment="1" applyProtection="1">
      <alignment horizontal="center" vertical="center" wrapText="1" shrinkToFit="1"/>
      <protection hidden="1"/>
    </xf>
    <xf numFmtId="0" fontId="31" fillId="11" borderId="556" xfId="8" applyFont="1" applyFill="1" applyBorder="1" applyAlignment="1">
      <alignment horizontal="center" vertical="center"/>
    </xf>
    <xf numFmtId="0" fontId="31" fillId="11" borderId="460" xfId="8" applyFont="1" applyFill="1" applyBorder="1" applyAlignment="1">
      <alignment horizontal="center" vertical="center"/>
    </xf>
    <xf numFmtId="0" fontId="31" fillId="11" borderId="289" xfId="8" applyFont="1" applyFill="1" applyBorder="1" applyAlignment="1">
      <alignment horizontal="center" vertical="center"/>
    </xf>
    <xf numFmtId="0" fontId="31" fillId="11" borderId="349" xfId="8" applyFont="1" applyFill="1" applyBorder="1" applyAlignment="1">
      <alignment horizontal="center" vertical="center"/>
    </xf>
    <xf numFmtId="0" fontId="28" fillId="0" borderId="563" xfId="8" applyFont="1" applyBorder="1" applyAlignment="1">
      <alignment horizontal="center" vertical="center"/>
    </xf>
    <xf numFmtId="0" fontId="28" fillId="0" borderId="96" xfId="8" applyFont="1" applyBorder="1" applyAlignment="1">
      <alignment horizontal="center" vertical="center"/>
    </xf>
    <xf numFmtId="0" fontId="28" fillId="0" borderId="35" xfId="8" applyFont="1" applyBorder="1" applyAlignment="1">
      <alignment horizontal="center" vertical="center"/>
    </xf>
    <xf numFmtId="0" fontId="28" fillId="0" borderId="0" xfId="8" applyFont="1" applyAlignment="1">
      <alignment horizontal="center" vertical="center"/>
    </xf>
    <xf numFmtId="0" fontId="28" fillId="0" borderId="560" xfId="8" applyFont="1" applyBorder="1" applyAlignment="1">
      <alignment horizontal="center" vertical="center"/>
    </xf>
    <xf numFmtId="0" fontId="28" fillId="0" borderId="413" xfId="8" applyFont="1" applyBorder="1" applyAlignment="1">
      <alignment horizontal="center" vertical="center"/>
    </xf>
    <xf numFmtId="0" fontId="42" fillId="55" borderId="408" xfId="8" applyFont="1" applyFill="1" applyBorder="1" applyAlignment="1">
      <alignment horizontal="center" vertical="center" shrinkToFit="1"/>
    </xf>
    <xf numFmtId="0" fontId="42" fillId="55" borderId="565" xfId="8" applyFont="1" applyFill="1" applyBorder="1" applyAlignment="1">
      <alignment horizontal="center" vertical="center" shrinkToFit="1"/>
    </xf>
    <xf numFmtId="0" fontId="42" fillId="55" borderId="97" xfId="8" applyFont="1" applyFill="1" applyBorder="1" applyAlignment="1">
      <alignment horizontal="center" vertical="center" shrinkToFit="1"/>
    </xf>
    <xf numFmtId="0" fontId="42" fillId="55" borderId="449" xfId="8" applyFont="1" applyFill="1" applyBorder="1" applyAlignment="1">
      <alignment horizontal="center" vertical="center" shrinkToFit="1"/>
    </xf>
    <xf numFmtId="0" fontId="42" fillId="55" borderId="478" xfId="8" applyFont="1" applyFill="1" applyBorder="1" applyAlignment="1">
      <alignment horizontal="center" vertical="center" shrinkToFit="1"/>
    </xf>
    <xf numFmtId="0" fontId="31" fillId="55" borderId="564" xfId="8" applyFont="1" applyFill="1" applyBorder="1" applyAlignment="1" applyProtection="1">
      <alignment horizontal="center" vertical="center" wrapText="1" shrinkToFit="1"/>
      <protection hidden="1"/>
    </xf>
    <xf numFmtId="0" fontId="31" fillId="55" borderId="408" xfId="8" applyFont="1" applyFill="1" applyBorder="1" applyAlignment="1" applyProtection="1">
      <alignment horizontal="center" vertical="center" wrapText="1" shrinkToFit="1"/>
      <protection hidden="1"/>
    </xf>
    <xf numFmtId="0" fontId="158" fillId="0" borderId="194" xfId="8" applyFont="1" applyBorder="1" applyAlignment="1">
      <alignment horizontal="right" vertical="center"/>
    </xf>
    <xf numFmtId="0" fontId="158" fillId="0" borderId="46" xfId="8" applyFont="1" applyBorder="1" applyAlignment="1">
      <alignment horizontal="right" vertical="center"/>
    </xf>
    <xf numFmtId="0" fontId="158" fillId="0" borderId="556" xfId="8" applyFont="1" applyBorder="1" applyAlignment="1">
      <alignment horizontal="right" vertical="center"/>
    </xf>
    <xf numFmtId="0" fontId="158" fillId="0" borderId="63" xfId="8" applyFont="1" applyBorder="1" applyAlignment="1">
      <alignment horizontal="right" vertical="center"/>
    </xf>
    <xf numFmtId="0" fontId="158" fillId="0" borderId="0" xfId="8" applyFont="1" applyAlignment="1">
      <alignment horizontal="right" vertical="center"/>
    </xf>
    <xf numFmtId="0" fontId="158" fillId="0" borderId="32" xfId="8" applyFont="1" applyBorder="1" applyAlignment="1">
      <alignment horizontal="right" vertical="center"/>
    </xf>
    <xf numFmtId="0" fontId="158" fillId="0" borderId="376" xfId="8" applyFont="1" applyBorder="1" applyAlignment="1">
      <alignment horizontal="right" vertical="center"/>
    </xf>
    <xf numFmtId="0" fontId="158" fillId="0" borderId="289" xfId="8" applyFont="1" applyBorder="1" applyAlignment="1">
      <alignment horizontal="right" vertical="center"/>
    </xf>
    <xf numFmtId="0" fontId="158" fillId="0" borderId="349" xfId="8" applyFont="1" applyBorder="1" applyAlignment="1">
      <alignment horizontal="right" vertical="center"/>
    </xf>
    <xf numFmtId="0" fontId="28" fillId="0" borderId="46" xfId="8" applyFont="1" applyBorder="1" applyAlignment="1" applyProtection="1">
      <alignment horizontal="center" vertical="center" wrapText="1" shrinkToFit="1"/>
      <protection hidden="1"/>
    </xf>
    <xf numFmtId="0" fontId="28" fillId="0" borderId="0" xfId="8" applyFont="1" applyAlignment="1" applyProtection="1">
      <alignment horizontal="center" vertical="center" wrapText="1" shrinkToFit="1"/>
      <protection hidden="1"/>
    </xf>
    <xf numFmtId="0" fontId="28" fillId="0" borderId="289" xfId="8" applyFont="1" applyBorder="1" applyAlignment="1" applyProtection="1">
      <alignment horizontal="center" vertical="center" wrapText="1" shrinkToFit="1"/>
      <protection hidden="1"/>
    </xf>
    <xf numFmtId="0" fontId="28" fillId="18" borderId="96" xfId="8" applyFont="1" applyFill="1" applyBorder="1" applyAlignment="1">
      <alignment horizontal="center" vertical="center"/>
    </xf>
    <xf numFmtId="0" fontId="28" fillId="18" borderId="593" xfId="8" applyFont="1" applyFill="1" applyBorder="1" applyAlignment="1">
      <alignment horizontal="center" vertical="center"/>
    </xf>
    <xf numFmtId="0" fontId="28" fillId="18" borderId="0" xfId="8" applyFont="1" applyFill="1" applyAlignment="1">
      <alignment horizontal="center" vertical="center"/>
    </xf>
    <xf numFmtId="0" fontId="28" fillId="18" borderId="411" xfId="8" applyFont="1" applyFill="1" applyBorder="1" applyAlignment="1">
      <alignment horizontal="center" vertical="center"/>
    </xf>
    <xf numFmtId="0" fontId="28" fillId="18" borderId="413" xfId="8" applyFont="1" applyFill="1" applyBorder="1" applyAlignment="1">
      <alignment horizontal="center" vertical="center"/>
    </xf>
    <xf numFmtId="0" fontId="28" fillId="18" borderId="414" xfId="8" applyFont="1" applyFill="1" applyBorder="1" applyAlignment="1">
      <alignment horizontal="center" vertical="center"/>
    </xf>
    <xf numFmtId="0" fontId="28" fillId="2" borderId="561" xfId="9" applyNumberFormat="1" applyFont="1" applyFill="1" applyBorder="1" applyAlignment="1" applyProtection="1">
      <alignment horizontal="center" vertical="center" shrinkToFit="1"/>
      <protection locked="0"/>
    </xf>
    <xf numFmtId="0" fontId="28" fillId="2" borderId="408" xfId="9" applyNumberFormat="1" applyFont="1" applyFill="1" applyBorder="1" applyAlignment="1" applyProtection="1">
      <alignment horizontal="center" vertical="center" shrinkToFit="1"/>
      <protection locked="0"/>
    </xf>
    <xf numFmtId="0" fontId="28" fillId="2" borderId="409" xfId="9" applyNumberFormat="1" applyFont="1" applyFill="1" applyBorder="1" applyAlignment="1" applyProtection="1">
      <alignment horizontal="center" vertical="center" shrinkToFit="1"/>
      <protection locked="0"/>
    </xf>
    <xf numFmtId="0" fontId="28" fillId="2" borderId="35" xfId="9" applyNumberFormat="1" applyFont="1" applyFill="1" applyBorder="1" applyAlignment="1" applyProtection="1">
      <alignment horizontal="center" vertical="center" shrinkToFit="1"/>
      <protection locked="0"/>
    </xf>
    <xf numFmtId="0" fontId="28" fillId="2" borderId="411" xfId="9" applyNumberFormat="1" applyFont="1" applyFill="1" applyBorder="1" applyAlignment="1" applyProtection="1">
      <alignment horizontal="center" vertical="center" shrinkToFit="1"/>
      <protection locked="0"/>
    </xf>
    <xf numFmtId="0" fontId="28" fillId="2" borderId="591" xfId="9" applyNumberFormat="1" applyFont="1" applyFill="1" applyBorder="1" applyAlignment="1" applyProtection="1">
      <alignment horizontal="center" vertical="center" shrinkToFit="1"/>
      <protection locked="0"/>
    </xf>
    <xf numFmtId="0" fontId="28" fillId="2" borderId="592" xfId="9" applyNumberFormat="1" applyFont="1" applyFill="1" applyBorder="1" applyAlignment="1" applyProtection="1">
      <alignment horizontal="center" vertical="center" shrinkToFit="1"/>
      <protection locked="0"/>
    </xf>
    <xf numFmtId="0" fontId="28" fillId="8" borderId="46" xfId="8" applyFont="1" applyFill="1" applyBorder="1" applyAlignment="1">
      <alignment horizontal="center" vertical="center"/>
    </xf>
    <xf numFmtId="0" fontId="28" fillId="8" borderId="0" xfId="8" applyFont="1" applyFill="1" applyAlignment="1">
      <alignment horizontal="center" vertical="center"/>
    </xf>
    <xf numFmtId="0" fontId="28" fillId="8" borderId="53" xfId="8" applyFont="1" applyFill="1" applyBorder="1" applyAlignment="1">
      <alignment horizontal="center" vertical="center"/>
    </xf>
    <xf numFmtId="0" fontId="31" fillId="11" borderId="603" xfId="8" applyFont="1" applyFill="1" applyBorder="1" applyAlignment="1" applyProtection="1">
      <alignment horizontal="center" vertical="center" wrapText="1" shrinkToFit="1"/>
      <protection hidden="1"/>
    </xf>
    <xf numFmtId="0" fontId="31" fillId="11" borderId="604" xfId="8" applyFont="1" applyFill="1" applyBorder="1" applyAlignment="1" applyProtection="1">
      <alignment horizontal="center" vertical="center" wrapText="1" shrinkToFit="1"/>
      <protection hidden="1"/>
    </xf>
    <xf numFmtId="0" fontId="31" fillId="11" borderId="605" xfId="8" applyFont="1" applyFill="1" applyBorder="1" applyAlignment="1" applyProtection="1">
      <alignment horizontal="center" vertical="center" wrapText="1" shrinkToFit="1"/>
      <protection hidden="1"/>
    </xf>
    <xf numFmtId="0" fontId="31" fillId="11" borderId="681" xfId="8" applyFont="1" applyFill="1" applyBorder="1" applyAlignment="1" applyProtection="1">
      <alignment horizontal="center" vertical="center" wrapText="1" shrinkToFit="1"/>
      <protection hidden="1"/>
    </xf>
    <xf numFmtId="0" fontId="31" fillId="11" borderId="625" xfId="8" applyFont="1" applyFill="1" applyBorder="1" applyAlignment="1" applyProtection="1">
      <alignment horizontal="center" vertical="center" wrapText="1" shrinkToFit="1"/>
      <protection hidden="1"/>
    </xf>
    <xf numFmtId="0" fontId="31" fillId="11" borderId="682" xfId="8" applyFont="1" applyFill="1" applyBorder="1" applyAlignment="1" applyProtection="1">
      <alignment horizontal="center" vertical="center" wrapText="1" shrinkToFit="1"/>
      <protection hidden="1"/>
    </xf>
    <xf numFmtId="180" fontId="42" fillId="8" borderId="607" xfId="8" applyNumberFormat="1" applyFont="1" applyFill="1" applyBorder="1" applyAlignment="1" applyProtection="1">
      <alignment horizontal="center" vertical="center" shrinkToFit="1"/>
      <protection hidden="1"/>
    </xf>
    <xf numFmtId="180" fontId="42" fillId="8" borderId="684" xfId="8" applyNumberFormat="1" applyFont="1" applyFill="1" applyBorder="1" applyAlignment="1" applyProtection="1">
      <alignment horizontal="center" vertical="center" shrinkToFit="1"/>
      <protection hidden="1"/>
    </xf>
    <xf numFmtId="0" fontId="42" fillId="8" borderId="607" xfId="8" applyFont="1" applyFill="1" applyBorder="1" applyAlignment="1" applyProtection="1">
      <alignment horizontal="left" vertical="center" shrinkToFit="1"/>
      <protection hidden="1"/>
    </xf>
    <xf numFmtId="0" fontId="42" fillId="8" borderId="684" xfId="8" applyFont="1" applyFill="1" applyBorder="1" applyAlignment="1" applyProtection="1">
      <alignment horizontal="left" vertical="center" shrinkToFit="1"/>
      <protection hidden="1"/>
    </xf>
    <xf numFmtId="180" fontId="42" fillId="8" borderId="606" xfId="8" applyNumberFormat="1" applyFont="1" applyFill="1" applyBorder="1" applyAlignment="1" applyProtection="1">
      <alignment horizontal="right" vertical="center" shrinkToFit="1"/>
      <protection hidden="1"/>
    </xf>
    <xf numFmtId="180" fontId="42" fillId="8" borderId="607" xfId="8" applyNumberFormat="1" applyFont="1" applyFill="1" applyBorder="1" applyAlignment="1" applyProtection="1">
      <alignment horizontal="right" vertical="center" shrinkToFit="1"/>
      <protection hidden="1"/>
    </xf>
    <xf numFmtId="180" fontId="42" fillId="8" borderId="104" xfId="8" applyNumberFormat="1" applyFont="1" applyFill="1" applyBorder="1" applyAlignment="1" applyProtection="1">
      <alignment horizontal="right" vertical="center" shrinkToFit="1"/>
      <protection hidden="1"/>
    </xf>
    <xf numFmtId="180" fontId="42" fillId="8" borderId="683" xfId="8" applyNumberFormat="1" applyFont="1" applyFill="1" applyBorder="1" applyAlignment="1" applyProtection="1">
      <alignment horizontal="right" vertical="center" shrinkToFit="1"/>
      <protection hidden="1"/>
    </xf>
    <xf numFmtId="180" fontId="42" fillId="8" borderId="684" xfId="8" applyNumberFormat="1" applyFont="1" applyFill="1" applyBorder="1" applyAlignment="1" applyProtection="1">
      <alignment horizontal="right" vertical="center" shrinkToFit="1"/>
      <protection hidden="1"/>
    </xf>
    <xf numFmtId="182" fontId="42" fillId="2" borderId="607" xfId="8" applyNumberFormat="1" applyFont="1" applyFill="1" applyBorder="1" applyAlignment="1" applyProtection="1">
      <alignment horizontal="center" vertical="center" shrinkToFit="1"/>
      <protection locked="0"/>
    </xf>
    <xf numFmtId="182" fontId="42" fillId="2" borderId="684" xfId="8" applyNumberFormat="1" applyFont="1" applyFill="1" applyBorder="1" applyAlignment="1" applyProtection="1">
      <alignment horizontal="center" vertical="center" shrinkToFit="1"/>
      <protection locked="0"/>
    </xf>
    <xf numFmtId="182" fontId="42" fillId="8" borderId="607" xfId="8" applyNumberFormat="1" applyFont="1" applyFill="1" applyBorder="1" applyAlignment="1" applyProtection="1">
      <alignment horizontal="center" vertical="center" shrinkToFit="1"/>
      <protection hidden="1"/>
    </xf>
    <xf numFmtId="182" fontId="42" fillId="8" borderId="684" xfId="8" applyNumberFormat="1" applyFont="1" applyFill="1" applyBorder="1" applyAlignment="1" applyProtection="1">
      <alignment horizontal="center" vertical="center" shrinkToFit="1"/>
      <protection hidden="1"/>
    </xf>
    <xf numFmtId="182" fontId="42" fillId="2" borderId="629" xfId="8" applyNumberFormat="1" applyFont="1" applyFill="1" applyBorder="1" applyAlignment="1" applyProtection="1">
      <alignment horizontal="center" vertical="center" shrinkToFit="1"/>
      <protection locked="0"/>
    </xf>
    <xf numFmtId="0" fontId="69" fillId="20" borderId="615" xfId="8" applyFont="1" applyFill="1" applyBorder="1" applyAlignment="1" applyProtection="1">
      <alignment horizontal="left" vertical="center" wrapText="1" shrinkToFit="1"/>
      <protection hidden="1"/>
    </xf>
    <xf numFmtId="0" fontId="69" fillId="20" borderId="604" xfId="8" applyFont="1" applyFill="1" applyBorder="1" applyAlignment="1" applyProtection="1">
      <alignment horizontal="left" vertical="center" wrapText="1" shrinkToFit="1"/>
      <protection hidden="1"/>
    </xf>
    <xf numFmtId="0" fontId="69" fillId="20" borderId="626" xfId="8" applyFont="1" applyFill="1" applyBorder="1" applyAlignment="1" applyProtection="1">
      <alignment horizontal="left" vertical="center" wrapText="1" shrinkToFit="1"/>
      <protection hidden="1"/>
    </xf>
    <xf numFmtId="0" fontId="69" fillId="20" borderId="616" xfId="8" applyFont="1" applyFill="1" applyBorder="1" applyAlignment="1" applyProtection="1">
      <alignment horizontal="left" vertical="center" wrapText="1" shrinkToFit="1"/>
      <protection hidden="1"/>
    </xf>
    <xf numFmtId="0" fontId="69" fillId="20" borderId="686" xfId="8" applyFont="1" applyFill="1" applyBorder="1" applyAlignment="1" applyProtection="1">
      <alignment horizontal="left" vertical="center" wrapText="1" shrinkToFit="1"/>
      <protection hidden="1"/>
    </xf>
    <xf numFmtId="0" fontId="69" fillId="20" borderId="625" xfId="8" applyFont="1" applyFill="1" applyBorder="1" applyAlignment="1" applyProtection="1">
      <alignment horizontal="left" vertical="center" wrapText="1" shrinkToFit="1"/>
      <protection hidden="1"/>
    </xf>
    <xf numFmtId="0" fontId="69" fillId="20" borderId="687" xfId="8" applyFont="1" applyFill="1" applyBorder="1" applyAlignment="1" applyProtection="1">
      <alignment horizontal="left" vertical="center" wrapText="1" shrinkToFit="1"/>
      <protection hidden="1"/>
    </xf>
    <xf numFmtId="0" fontId="31" fillId="22" borderId="616" xfId="8" applyFont="1" applyFill="1" applyBorder="1" applyAlignment="1">
      <alignment horizontal="center" vertical="center" wrapText="1"/>
    </xf>
    <xf numFmtId="0" fontId="31" fillId="22" borderId="0" xfId="8" applyFont="1" applyFill="1" applyAlignment="1">
      <alignment horizontal="center" vertical="center" wrapText="1"/>
    </xf>
    <xf numFmtId="0" fontId="31" fillId="22" borderId="686" xfId="8" applyFont="1" applyFill="1" applyBorder="1" applyAlignment="1">
      <alignment horizontal="center" vertical="center" wrapText="1"/>
    </xf>
    <xf numFmtId="0" fontId="31" fillId="22" borderId="625" xfId="8" applyFont="1" applyFill="1" applyBorder="1" applyAlignment="1">
      <alignment horizontal="center" vertical="center" wrapText="1"/>
    </xf>
    <xf numFmtId="0" fontId="28" fillId="30" borderId="604" xfId="8" applyFont="1" applyFill="1" applyBorder="1" applyAlignment="1">
      <alignment horizontal="center" vertical="center" wrapText="1"/>
    </xf>
    <xf numFmtId="0" fontId="28" fillId="30" borderId="0" xfId="8" applyFont="1" applyFill="1" applyAlignment="1">
      <alignment horizontal="center" vertical="center" wrapText="1"/>
    </xf>
    <xf numFmtId="0" fontId="28" fillId="30" borderId="625" xfId="8" applyFont="1" applyFill="1" applyBorder="1" applyAlignment="1">
      <alignment horizontal="center" vertical="center" wrapText="1"/>
    </xf>
    <xf numFmtId="0" fontId="31" fillId="55" borderId="0" xfId="8" applyFont="1" applyFill="1" applyAlignment="1">
      <alignment horizontal="center" vertical="center" wrapText="1"/>
    </xf>
    <xf numFmtId="0" fontId="31" fillId="55" borderId="308" xfId="8" applyFont="1" applyFill="1" applyBorder="1" applyAlignment="1">
      <alignment horizontal="center" vertical="center" wrapText="1"/>
    </xf>
    <xf numFmtId="0" fontId="31" fillId="55" borderId="625" xfId="8" applyFont="1" applyFill="1" applyBorder="1" applyAlignment="1">
      <alignment horizontal="center" vertical="center" wrapText="1"/>
    </xf>
    <xf numFmtId="0" fontId="31" fillId="55" borderId="630" xfId="8" applyFont="1" applyFill="1" applyBorder="1" applyAlignment="1">
      <alignment horizontal="center" vertical="center" wrapText="1"/>
    </xf>
    <xf numFmtId="0" fontId="31" fillId="11" borderId="688" xfId="8" applyFont="1" applyFill="1" applyBorder="1" applyAlignment="1" applyProtection="1">
      <alignment horizontal="center" vertical="center" wrapText="1" shrinkToFit="1"/>
      <protection hidden="1"/>
    </xf>
    <xf numFmtId="0" fontId="31" fillId="11" borderId="685" xfId="8" applyFont="1" applyFill="1" applyBorder="1" applyAlignment="1" applyProtection="1">
      <alignment horizontal="center" vertical="center" wrapText="1" shrinkToFit="1"/>
      <protection hidden="1"/>
    </xf>
    <xf numFmtId="0" fontId="28" fillId="2" borderId="685" xfId="8" applyFont="1" applyFill="1" applyBorder="1" applyAlignment="1" applyProtection="1">
      <alignment horizontal="center" vertical="center" shrinkToFit="1"/>
      <protection locked="0"/>
    </xf>
    <xf numFmtId="38" fontId="29" fillId="20" borderId="690" xfId="9" applyFont="1" applyFill="1" applyBorder="1" applyAlignment="1" applyProtection="1">
      <alignment horizontal="left" vertical="center" wrapText="1" shrinkToFit="1"/>
    </xf>
    <xf numFmtId="38" fontId="29" fillId="20" borderId="685" xfId="9" applyFont="1" applyFill="1" applyBorder="1" applyAlignment="1" applyProtection="1">
      <alignment horizontal="left" vertical="center" shrinkToFit="1"/>
    </xf>
    <xf numFmtId="38" fontId="29" fillId="20" borderId="689" xfId="9" applyFont="1" applyFill="1" applyBorder="1" applyAlignment="1" applyProtection="1">
      <alignment horizontal="left" vertical="center" shrinkToFit="1"/>
    </xf>
    <xf numFmtId="38" fontId="29" fillId="20" borderId="616" xfId="9" applyFont="1" applyFill="1" applyBorder="1" applyAlignment="1" applyProtection="1">
      <alignment horizontal="left" vertical="center" shrinkToFit="1"/>
    </xf>
    <xf numFmtId="38" fontId="29" fillId="20" borderId="0" xfId="9" applyFont="1" applyFill="1" applyBorder="1" applyAlignment="1" applyProtection="1">
      <alignment horizontal="left" vertical="center" shrinkToFit="1"/>
    </xf>
    <xf numFmtId="38" fontId="29" fillId="20" borderId="308" xfId="9" applyFont="1" applyFill="1" applyBorder="1" applyAlignment="1" applyProtection="1">
      <alignment horizontal="left" vertical="center" shrinkToFit="1"/>
    </xf>
    <xf numFmtId="38" fontId="29" fillId="20" borderId="691" xfId="9" applyFont="1" applyFill="1" applyBorder="1" applyAlignment="1" applyProtection="1">
      <alignment horizontal="left" vertical="center" shrinkToFit="1"/>
    </xf>
    <xf numFmtId="38" fontId="29" fillId="20" borderId="289" xfId="9" applyFont="1" applyFill="1" applyBorder="1" applyAlignment="1" applyProtection="1">
      <alignment horizontal="left" vertical="center" shrinkToFit="1"/>
    </xf>
    <xf numFmtId="38" fontId="29" fillId="20" borderId="295" xfId="9" applyFont="1" applyFill="1" applyBorder="1" applyAlignment="1" applyProtection="1">
      <alignment horizontal="left" vertical="center" shrinkToFit="1"/>
    </xf>
    <xf numFmtId="0" fontId="31" fillId="11" borderId="601" xfId="8" applyFont="1" applyFill="1" applyBorder="1" applyAlignment="1" applyProtection="1">
      <alignment horizontal="center" vertical="center" wrapText="1" shrinkToFit="1"/>
      <protection hidden="1"/>
    </xf>
    <xf numFmtId="0" fontId="31" fillId="11" borderId="602" xfId="8" applyFont="1" applyFill="1" applyBorder="1" applyAlignment="1" applyProtection="1">
      <alignment horizontal="center" vertical="center" wrapText="1" shrinkToFit="1"/>
      <protection hidden="1"/>
    </xf>
    <xf numFmtId="0" fontId="28" fillId="2" borderId="104" xfId="9" applyNumberFormat="1" applyFont="1" applyFill="1" applyBorder="1" applyAlignment="1" applyProtection="1">
      <alignment horizontal="center" vertical="center" shrinkToFit="1"/>
      <protection locked="0"/>
    </xf>
    <xf numFmtId="0" fontId="28" fillId="2" borderId="609" xfId="9" applyNumberFormat="1" applyFont="1" applyFill="1" applyBorder="1" applyAlignment="1" applyProtection="1">
      <alignment horizontal="center" vertical="center" shrinkToFit="1"/>
      <protection locked="0"/>
    </xf>
    <xf numFmtId="0" fontId="28" fillId="2" borderId="601" xfId="9" applyNumberFormat="1" applyFont="1" applyFill="1" applyBorder="1" applyAlignment="1" applyProtection="1">
      <alignment horizontal="center" vertical="center" shrinkToFit="1"/>
      <protection locked="0"/>
    </xf>
    <xf numFmtId="0" fontId="31" fillId="11" borderId="627" xfId="8" applyFont="1" applyFill="1" applyBorder="1" applyAlignment="1">
      <alignment horizontal="center" vertical="center"/>
    </xf>
    <xf numFmtId="0" fontId="31" fillId="11" borderId="281" xfId="8" applyFont="1" applyFill="1" applyBorder="1" applyAlignment="1">
      <alignment horizontal="center" vertical="center"/>
    </xf>
    <xf numFmtId="0" fontId="31" fillId="11" borderId="620" xfId="8" applyFont="1" applyFill="1" applyBorder="1" applyAlignment="1">
      <alignment horizontal="center" vertical="center"/>
    </xf>
    <xf numFmtId="0" fontId="31" fillId="11" borderId="616" xfId="8" applyFont="1" applyFill="1" applyBorder="1" applyAlignment="1">
      <alignment horizontal="center" vertical="center"/>
    </xf>
    <xf numFmtId="0" fontId="31" fillId="11" borderId="67" xfId="8" applyFont="1" applyFill="1" applyBorder="1" applyAlignment="1">
      <alignment horizontal="center" vertical="center"/>
    </xf>
    <xf numFmtId="0" fontId="31" fillId="11" borderId="628" xfId="8" applyFont="1" applyFill="1" applyBorder="1" applyAlignment="1">
      <alignment horizontal="center" vertical="center"/>
    </xf>
    <xf numFmtId="0" fontId="31" fillId="11" borderId="608" xfId="8" applyFont="1" applyFill="1" applyBorder="1" applyAlignment="1">
      <alignment horizontal="center" vertical="center"/>
    </xf>
    <xf numFmtId="0" fontId="31" fillId="11" borderId="622" xfId="8" applyFont="1" applyFill="1" applyBorder="1" applyAlignment="1">
      <alignment horizontal="center" vertical="center"/>
    </xf>
    <xf numFmtId="0" fontId="40" fillId="6" borderId="70" xfId="8" applyFont="1" applyFill="1" applyBorder="1" applyAlignment="1" applyProtection="1">
      <alignment horizontal="left" vertical="center" shrinkToFit="1"/>
      <protection hidden="1"/>
    </xf>
    <xf numFmtId="0" fontId="40" fillId="6" borderId="51" xfId="8" applyFont="1" applyFill="1" applyBorder="1" applyAlignment="1" applyProtection="1">
      <alignment horizontal="left" vertical="center" shrinkToFit="1"/>
      <protection hidden="1"/>
    </xf>
    <xf numFmtId="0" fontId="40" fillId="6" borderId="52" xfId="8" applyFont="1" applyFill="1" applyBorder="1" applyAlignment="1" applyProtection="1">
      <alignment horizontal="left" vertical="center" shrinkToFit="1"/>
      <protection hidden="1"/>
    </xf>
    <xf numFmtId="0" fontId="40" fillId="6" borderId="456" xfId="8" applyFont="1" applyFill="1" applyBorder="1" applyAlignment="1" applyProtection="1">
      <alignment horizontal="left" vertical="center" shrinkToFit="1"/>
      <protection hidden="1"/>
    </xf>
    <xf numFmtId="0" fontId="40" fillId="6" borderId="289" xfId="8" applyFont="1" applyFill="1" applyBorder="1" applyAlignment="1" applyProtection="1">
      <alignment horizontal="left" vertical="center" shrinkToFit="1"/>
      <protection hidden="1"/>
    </xf>
    <xf numFmtId="0" fontId="40" fillId="6" borderId="614" xfId="8" applyFont="1" applyFill="1" applyBorder="1" applyAlignment="1" applyProtection="1">
      <alignment horizontal="left" vertical="center" shrinkToFit="1"/>
      <protection hidden="1"/>
    </xf>
    <xf numFmtId="0" fontId="31" fillId="11" borderId="600" xfId="8" applyFont="1" applyFill="1" applyBorder="1" applyAlignment="1" applyProtection="1">
      <alignment horizontal="center" vertical="center" wrapText="1" shrinkToFit="1"/>
      <protection hidden="1"/>
    </xf>
    <xf numFmtId="0" fontId="31" fillId="11" borderId="627" xfId="8" applyFont="1" applyFill="1" applyBorder="1" applyAlignment="1" applyProtection="1">
      <alignment horizontal="center" vertical="center" wrapText="1" shrinkToFit="1"/>
      <protection hidden="1"/>
    </xf>
    <xf numFmtId="0" fontId="31" fillId="11" borderId="475" xfId="8" applyFont="1" applyFill="1" applyBorder="1" applyAlignment="1" applyProtection="1">
      <alignment horizontal="center" vertical="center" wrapText="1" shrinkToFit="1"/>
      <protection hidden="1"/>
    </xf>
    <xf numFmtId="0" fontId="31" fillId="11" borderId="616" xfId="8" applyFont="1" applyFill="1" applyBorder="1" applyAlignment="1" applyProtection="1">
      <alignment horizontal="center" vertical="center" wrapText="1" shrinkToFit="1"/>
      <protection hidden="1"/>
    </xf>
    <xf numFmtId="0" fontId="31" fillId="11" borderId="467" xfId="8" applyFont="1" applyFill="1" applyBorder="1" applyAlignment="1" applyProtection="1">
      <alignment horizontal="center" vertical="center" wrapText="1" shrinkToFit="1"/>
      <protection hidden="1"/>
    </xf>
    <xf numFmtId="0" fontId="31" fillId="11" borderId="608" xfId="8" applyFont="1" applyFill="1" applyBorder="1" applyAlignment="1" applyProtection="1">
      <alignment horizontal="center" vertical="center" wrapText="1" shrinkToFit="1"/>
      <protection hidden="1"/>
    </xf>
    <xf numFmtId="0" fontId="31" fillId="11" borderId="618" xfId="8" applyFont="1" applyFill="1" applyBorder="1" applyAlignment="1" applyProtection="1">
      <alignment horizontal="center" vertical="center" wrapText="1" shrinkToFit="1"/>
      <protection hidden="1"/>
    </xf>
    <xf numFmtId="0" fontId="31" fillId="11" borderId="619" xfId="8" applyFont="1" applyFill="1" applyBorder="1" applyAlignment="1" applyProtection="1">
      <alignment horizontal="center" vertical="center" wrapText="1" shrinkToFit="1"/>
      <protection hidden="1"/>
    </xf>
    <xf numFmtId="0" fontId="31" fillId="11" borderId="620" xfId="8" applyFont="1" applyFill="1" applyBorder="1" applyAlignment="1" applyProtection="1">
      <alignment horizontal="center" vertical="center" wrapText="1" shrinkToFit="1"/>
      <protection hidden="1"/>
    </xf>
    <xf numFmtId="0" fontId="31" fillId="11" borderId="468" xfId="8" applyFont="1" applyFill="1" applyBorder="1" applyAlignment="1" applyProtection="1">
      <alignment horizontal="center" vertical="center" wrapText="1" shrinkToFit="1"/>
      <protection hidden="1"/>
    </xf>
    <xf numFmtId="0" fontId="31" fillId="11" borderId="621" xfId="8" applyFont="1" applyFill="1" applyBorder="1" applyAlignment="1" applyProtection="1">
      <alignment horizontal="center" vertical="center" wrapText="1" shrinkToFit="1"/>
      <protection hidden="1"/>
    </xf>
    <xf numFmtId="0" fontId="31" fillId="11" borderId="622" xfId="8" applyFont="1" applyFill="1" applyBorder="1" applyAlignment="1" applyProtection="1">
      <alignment horizontal="center" vertical="center" wrapText="1" shrinkToFit="1"/>
      <protection hidden="1"/>
    </xf>
    <xf numFmtId="38" fontId="28" fillId="2" borderId="624" xfId="9" applyFont="1" applyFill="1" applyBorder="1" applyAlignment="1" applyProtection="1">
      <alignment horizontal="center" vertical="center" shrinkToFit="1"/>
      <protection locked="0"/>
    </xf>
    <xf numFmtId="38" fontId="28" fillId="2" borderId="625" xfId="9" applyFont="1" applyFill="1" applyBorder="1" applyAlignment="1" applyProtection="1">
      <alignment horizontal="center" vertical="center" shrinkToFit="1"/>
      <protection locked="0"/>
    </xf>
    <xf numFmtId="0" fontId="28" fillId="2" borderId="619" xfId="8" applyFont="1" applyFill="1" applyBorder="1" applyAlignment="1" applyProtection="1">
      <alignment horizontal="center" vertical="center" shrinkToFit="1"/>
      <protection locked="0"/>
    </xf>
    <xf numFmtId="0" fontId="28" fillId="2" borderId="475" xfId="8" applyFont="1" applyFill="1" applyBorder="1" applyAlignment="1" applyProtection="1">
      <alignment horizontal="center" vertical="center" shrinkToFit="1"/>
      <protection locked="0"/>
    </xf>
    <xf numFmtId="0" fontId="28" fillId="2" borderId="468" xfId="8" applyFont="1" applyFill="1" applyBorder="1" applyAlignment="1" applyProtection="1">
      <alignment horizontal="center" vertical="center" shrinkToFit="1"/>
      <protection locked="0"/>
    </xf>
    <xf numFmtId="0" fontId="28" fillId="2" borderId="467" xfId="8" applyFont="1" applyFill="1" applyBorder="1" applyAlignment="1" applyProtection="1">
      <alignment horizontal="center" vertical="center" shrinkToFit="1"/>
      <protection locked="0"/>
    </xf>
    <xf numFmtId="0" fontId="28" fillId="2" borderId="621" xfId="8" applyFont="1" applyFill="1" applyBorder="1" applyAlignment="1" applyProtection="1">
      <alignment horizontal="center" vertical="center" shrinkToFit="1"/>
      <protection locked="0"/>
    </xf>
    <xf numFmtId="0" fontId="28" fillId="2" borderId="608" xfId="8" applyFont="1" applyFill="1" applyBorder="1" applyAlignment="1" applyProtection="1">
      <alignment horizontal="center" vertical="center" shrinkToFit="1"/>
      <protection locked="0"/>
    </xf>
    <xf numFmtId="0" fontId="28" fillId="2" borderId="618" xfId="8" applyFont="1" applyFill="1" applyBorder="1" applyAlignment="1" applyProtection="1">
      <alignment horizontal="center" vertical="center" shrinkToFit="1"/>
      <protection locked="0"/>
    </xf>
    <xf numFmtId="0" fontId="42" fillId="2" borderId="617" xfId="8" applyFont="1" applyFill="1" applyBorder="1" applyAlignment="1" applyProtection="1">
      <alignment horizontal="center" vertical="center" shrinkToFit="1"/>
      <protection locked="0"/>
    </xf>
    <xf numFmtId="0" fontId="42" fillId="2" borderId="475" xfId="8" applyFont="1" applyFill="1" applyBorder="1" applyAlignment="1" applyProtection="1">
      <alignment horizontal="center" vertical="center" shrinkToFit="1"/>
      <protection locked="0"/>
    </xf>
    <xf numFmtId="0" fontId="42" fillId="2" borderId="610" xfId="8" applyFont="1" applyFill="1" applyBorder="1" applyAlignment="1" applyProtection="1">
      <alignment horizontal="center" vertical="center" shrinkToFit="1"/>
      <protection locked="0"/>
    </xf>
    <xf numFmtId="0" fontId="42" fillId="2" borderId="467" xfId="8" applyFont="1" applyFill="1" applyBorder="1" applyAlignment="1" applyProtection="1">
      <alignment horizontal="center" vertical="center" shrinkToFit="1"/>
      <protection locked="0"/>
    </xf>
    <xf numFmtId="0" fontId="42" fillId="2" borderId="611" xfId="8" applyFont="1" applyFill="1" applyBorder="1" applyAlignment="1" applyProtection="1">
      <alignment horizontal="center" vertical="center" shrinkToFit="1"/>
      <protection locked="0"/>
    </xf>
    <xf numFmtId="0" fontId="42" fillId="2" borderId="608" xfId="8" applyFont="1" applyFill="1" applyBorder="1" applyAlignment="1" applyProtection="1">
      <alignment horizontal="center" vertical="center" shrinkToFit="1"/>
      <protection locked="0"/>
    </xf>
    <xf numFmtId="0" fontId="42" fillId="2" borderId="618" xfId="8" applyFont="1" applyFill="1" applyBorder="1" applyAlignment="1" applyProtection="1">
      <alignment horizontal="center" vertical="center" shrinkToFit="1"/>
      <protection locked="0"/>
    </xf>
    <xf numFmtId="0" fontId="138" fillId="2" borderId="371" xfId="8" applyFont="1" applyFill="1" applyBorder="1" applyAlignment="1" applyProtection="1">
      <alignment horizontal="center" vertical="center"/>
      <protection locked="0"/>
    </xf>
    <xf numFmtId="0" fontId="138" fillId="2" borderId="281" xfId="8" applyFont="1" applyFill="1" applyBorder="1" applyAlignment="1" applyProtection="1">
      <alignment horizontal="center" vertical="center"/>
      <protection locked="0"/>
    </xf>
    <xf numFmtId="0" fontId="138" fillId="2" borderId="287" xfId="8" applyFont="1" applyFill="1" applyBorder="1" applyAlignment="1" applyProtection="1">
      <alignment horizontal="center" vertical="center"/>
      <protection locked="0"/>
    </xf>
    <xf numFmtId="0" fontId="138" fillId="2" borderId="63" xfId="8" applyFont="1" applyFill="1" applyBorder="1" applyAlignment="1" applyProtection="1">
      <alignment horizontal="center" vertical="center"/>
      <protection locked="0"/>
    </xf>
    <xf numFmtId="0" fontId="138" fillId="2" borderId="0" xfId="8" applyFont="1" applyFill="1" applyAlignment="1" applyProtection="1">
      <alignment horizontal="center" vertical="center"/>
      <protection locked="0"/>
    </xf>
    <xf numFmtId="0" fontId="138" fillId="2" borderId="308" xfId="8" applyFont="1" applyFill="1" applyBorder="1" applyAlignment="1" applyProtection="1">
      <alignment horizontal="center" vertical="center"/>
      <protection locked="0"/>
    </xf>
    <xf numFmtId="0" fontId="138" fillId="2" borderId="624" xfId="8" applyFont="1" applyFill="1" applyBorder="1" applyAlignment="1" applyProtection="1">
      <alignment horizontal="center" vertical="center"/>
      <protection locked="0"/>
    </xf>
    <xf numFmtId="0" fontId="138" fillId="2" borderId="625" xfId="8" applyFont="1" applyFill="1" applyBorder="1" applyAlignment="1" applyProtection="1">
      <alignment horizontal="center" vertical="center"/>
      <protection locked="0"/>
    </xf>
    <xf numFmtId="0" fontId="138" fillId="2" borderId="630" xfId="8" applyFont="1" applyFill="1" applyBorder="1" applyAlignment="1" applyProtection="1">
      <alignment horizontal="center" vertical="center"/>
      <protection locked="0"/>
    </xf>
    <xf numFmtId="0" fontId="31" fillId="11" borderId="623" xfId="8" applyFont="1" applyFill="1" applyBorder="1" applyAlignment="1" applyProtection="1">
      <alignment horizontal="center" vertical="center" wrapText="1" shrinkToFit="1"/>
      <protection hidden="1"/>
    </xf>
    <xf numFmtId="0" fontId="31" fillId="11" borderId="612" xfId="8" applyFont="1" applyFill="1" applyBorder="1" applyAlignment="1" applyProtection="1">
      <alignment horizontal="center" vertical="center" wrapText="1" shrinkToFit="1"/>
      <protection hidden="1"/>
    </xf>
    <xf numFmtId="0" fontId="31" fillId="11" borderId="628" xfId="8" applyFont="1" applyFill="1" applyBorder="1" applyAlignment="1" applyProtection="1">
      <alignment horizontal="center" vertical="center" wrapText="1" shrinkToFit="1"/>
      <protection hidden="1"/>
    </xf>
    <xf numFmtId="0" fontId="31" fillId="11" borderId="613" xfId="8" applyFont="1" applyFill="1" applyBorder="1" applyAlignment="1" applyProtection="1">
      <alignment horizontal="center" vertical="center" wrapText="1" shrinkToFit="1"/>
      <protection hidden="1"/>
    </xf>
    <xf numFmtId="0" fontId="23" fillId="20" borderId="0" xfId="0" applyFont="1" applyFill="1" applyAlignment="1">
      <alignment vertical="center" wrapText="1"/>
    </xf>
    <xf numFmtId="0" fontId="165" fillId="8" borderId="0" xfId="1" applyFont="1" applyFill="1" applyBorder="1" applyAlignment="1" applyProtection="1">
      <alignment horizontal="right" vertical="center" wrapText="1"/>
      <protection hidden="1"/>
    </xf>
    <xf numFmtId="0" fontId="31" fillId="11" borderId="453" xfId="8" applyFont="1" applyFill="1" applyBorder="1" applyAlignment="1">
      <alignment horizontal="center" vertical="center" wrapText="1"/>
    </xf>
    <xf numFmtId="0" fontId="31" fillId="11" borderId="96" xfId="8" applyFont="1" applyFill="1" applyBorder="1" applyAlignment="1">
      <alignment horizontal="center" vertical="center" wrapText="1"/>
    </xf>
    <xf numFmtId="0" fontId="31" fillId="11" borderId="99" xfId="8" applyFont="1" applyFill="1" applyBorder="1" applyAlignment="1">
      <alignment horizontal="center" vertical="center" wrapText="1"/>
    </xf>
    <xf numFmtId="0" fontId="31" fillId="11" borderId="0" xfId="8" applyFont="1" applyFill="1" applyAlignment="1">
      <alignment horizontal="center" vertical="center" wrapText="1"/>
    </xf>
    <xf numFmtId="0" fontId="31" fillId="11" borderId="454" xfId="8" applyFont="1" applyFill="1" applyBorder="1" applyAlignment="1">
      <alignment horizontal="center" vertical="center" wrapText="1"/>
    </xf>
    <xf numFmtId="0" fontId="31" fillId="11" borderId="449" xfId="8" applyFont="1" applyFill="1" applyBorder="1" applyAlignment="1">
      <alignment horizontal="center" vertical="center" wrapText="1"/>
    </xf>
    <xf numFmtId="0" fontId="37" fillId="2" borderId="96" xfId="8" applyFont="1" applyFill="1" applyBorder="1" applyAlignment="1" applyProtection="1">
      <alignment horizontal="center" vertical="center" wrapText="1"/>
      <protection locked="0"/>
    </xf>
    <xf numFmtId="0" fontId="37" fillId="2" borderId="582" xfId="8" applyFont="1" applyFill="1" applyBorder="1" applyAlignment="1" applyProtection="1">
      <alignment horizontal="center" vertical="center" wrapText="1"/>
      <protection locked="0"/>
    </xf>
    <xf numFmtId="0" fontId="37" fillId="2" borderId="0" xfId="8" applyFont="1" applyFill="1" applyAlignment="1" applyProtection="1">
      <alignment horizontal="center" vertical="center" wrapText="1"/>
      <protection locked="0"/>
    </xf>
    <xf numFmtId="0" fontId="37" fillId="2" borderId="583" xfId="8" applyFont="1" applyFill="1" applyBorder="1" applyAlignment="1" applyProtection="1">
      <alignment horizontal="center" vertical="center" wrapText="1"/>
      <protection locked="0"/>
    </xf>
    <xf numFmtId="0" fontId="37" fillId="2" borderId="449" xfId="8" applyFont="1" applyFill="1" applyBorder="1" applyAlignment="1" applyProtection="1">
      <alignment horizontal="center" vertical="center" wrapText="1"/>
      <protection locked="0"/>
    </xf>
    <xf numFmtId="0" fontId="37" fillId="2" borderId="598" xfId="8" applyFont="1" applyFill="1" applyBorder="1" applyAlignment="1" applyProtection="1">
      <alignment horizontal="center" vertical="center" wrapText="1"/>
      <protection locked="0"/>
    </xf>
    <xf numFmtId="0" fontId="37" fillId="55" borderId="96" xfId="8" applyFont="1" applyFill="1" applyBorder="1" applyAlignment="1">
      <alignment horizontal="center" vertical="center" wrapText="1"/>
    </xf>
    <xf numFmtId="0" fontId="37" fillId="55" borderId="537" xfId="8" applyFont="1" applyFill="1" applyBorder="1" applyAlignment="1">
      <alignment horizontal="center" vertical="center" wrapText="1"/>
    </xf>
    <xf numFmtId="0" fontId="37" fillId="55" borderId="0" xfId="8" applyFont="1" applyFill="1" applyAlignment="1">
      <alignment horizontal="center" vertical="center" wrapText="1"/>
    </xf>
    <xf numFmtId="0" fontId="37" fillId="55" borderId="308" xfId="8" applyFont="1" applyFill="1" applyBorder="1" applyAlignment="1">
      <alignment horizontal="center" vertical="center" wrapText="1"/>
    </xf>
    <xf numFmtId="0" fontId="37" fillId="55" borderId="449" xfId="8" applyFont="1" applyFill="1" applyBorder="1" applyAlignment="1">
      <alignment horizontal="center" vertical="center" wrapText="1"/>
    </xf>
    <xf numFmtId="0" fontId="37" fillId="55" borderId="555" xfId="8" applyFont="1" applyFill="1" applyBorder="1" applyAlignment="1">
      <alignment horizontal="center" vertical="center" wrapText="1"/>
    </xf>
    <xf numFmtId="0" fontId="161" fillId="0" borderId="235" xfId="1" applyNumberFormat="1" applyFont="1" applyBorder="1" applyAlignment="1" applyProtection="1">
      <alignment horizontal="center" vertical="center" shrinkToFit="1"/>
      <protection locked="0"/>
    </xf>
    <xf numFmtId="0" fontId="72" fillId="0" borderId="235" xfId="0" applyFont="1" applyBorder="1" applyAlignment="1" applyProtection="1">
      <alignment horizontal="center" vertical="center" shrinkToFit="1"/>
      <protection locked="0"/>
    </xf>
    <xf numFmtId="0" fontId="72" fillId="0" borderId="236" xfId="0" applyFont="1" applyBorder="1" applyAlignment="1" applyProtection="1">
      <alignment horizontal="center" vertical="center" shrinkToFit="1"/>
      <protection locked="0"/>
    </xf>
    <xf numFmtId="182" fontId="44" fillId="11" borderId="453" xfId="8" applyNumberFormat="1" applyFont="1" applyFill="1" applyBorder="1" applyAlignment="1" applyProtection="1">
      <alignment horizontal="center" vertical="center" shrinkToFit="1"/>
      <protection hidden="1"/>
    </xf>
    <xf numFmtId="182" fontId="44" fillId="11" borderId="96" xfId="8" applyNumberFormat="1" applyFont="1" applyFill="1" applyBorder="1" applyAlignment="1" applyProtection="1">
      <alignment horizontal="center" vertical="center" shrinkToFit="1"/>
      <protection hidden="1"/>
    </xf>
    <xf numFmtId="182" fontId="44" fillId="11" borderId="99" xfId="8" applyNumberFormat="1" applyFont="1" applyFill="1" applyBorder="1" applyAlignment="1" applyProtection="1">
      <alignment horizontal="center" vertical="center" shrinkToFit="1"/>
      <protection hidden="1"/>
    </xf>
    <xf numFmtId="182" fontId="44" fillId="11" borderId="0" xfId="8" applyNumberFormat="1" applyFont="1" applyFill="1" applyAlignment="1" applyProtection="1">
      <alignment horizontal="center" vertical="center" shrinkToFit="1"/>
      <protection hidden="1"/>
    </xf>
    <xf numFmtId="182" fontId="44" fillId="11" borderId="460" xfId="8" applyNumberFormat="1" applyFont="1" applyFill="1" applyBorder="1" applyAlignment="1" applyProtection="1">
      <alignment horizontal="center" vertical="center" shrinkToFit="1"/>
      <protection hidden="1"/>
    </xf>
    <xf numFmtId="182" fontId="44" fillId="11" borderId="289" xfId="8" applyNumberFormat="1" applyFont="1" applyFill="1" applyBorder="1" applyAlignment="1" applyProtection="1">
      <alignment horizontal="center" vertical="center" shrinkToFit="1"/>
      <protection hidden="1"/>
    </xf>
    <xf numFmtId="0" fontId="69" fillId="2" borderId="96" xfId="8" applyFont="1" applyFill="1" applyBorder="1" applyAlignment="1" applyProtection="1">
      <alignment horizontal="center" vertical="center" wrapText="1" shrinkToFit="1"/>
      <protection locked="0"/>
    </xf>
    <xf numFmtId="0" fontId="69" fillId="2" borderId="458" xfId="8" applyFont="1" applyFill="1" applyBorder="1" applyAlignment="1" applyProtection="1">
      <alignment horizontal="center" vertical="center" wrapText="1" shrinkToFit="1"/>
      <protection locked="0"/>
    </xf>
    <xf numFmtId="0" fontId="69" fillId="2" borderId="0" xfId="8" applyFont="1" applyFill="1" applyAlignment="1" applyProtection="1">
      <alignment horizontal="center" vertical="center" wrapText="1" shrinkToFit="1"/>
      <protection locked="0"/>
    </xf>
    <xf numFmtId="0" fontId="69" fillId="2" borderId="97" xfId="8" applyFont="1" applyFill="1" applyBorder="1" applyAlignment="1" applyProtection="1">
      <alignment horizontal="center" vertical="center" wrapText="1" shrinkToFit="1"/>
      <protection locked="0"/>
    </xf>
    <xf numFmtId="0" fontId="69" fillId="2" borderId="289" xfId="8" applyFont="1" applyFill="1" applyBorder="1" applyAlignment="1" applyProtection="1">
      <alignment horizontal="center" vertical="center" wrapText="1" shrinkToFit="1"/>
      <protection locked="0"/>
    </xf>
    <xf numFmtId="0" fontId="69" fillId="2" borderId="554" xfId="8" applyFont="1" applyFill="1" applyBorder="1" applyAlignment="1" applyProtection="1">
      <alignment horizontal="center" vertical="center" wrapText="1" shrinkToFit="1"/>
      <protection locked="0"/>
    </xf>
    <xf numFmtId="180" fontId="44" fillId="11" borderId="453" xfId="8" applyNumberFormat="1" applyFont="1" applyFill="1" applyBorder="1" applyAlignment="1" applyProtection="1">
      <alignment horizontal="center" vertical="center" shrinkToFit="1"/>
      <protection hidden="1"/>
    </xf>
    <xf numFmtId="180" fontId="44" fillId="11" borderId="96" xfId="8" applyNumberFormat="1" applyFont="1" applyFill="1" applyBorder="1" applyAlignment="1" applyProtection="1">
      <alignment horizontal="center" vertical="center" shrinkToFit="1"/>
      <protection hidden="1"/>
    </xf>
    <xf numFmtId="180" fontId="44" fillId="11" borderId="582" xfId="8" applyNumberFormat="1" applyFont="1" applyFill="1" applyBorder="1" applyAlignment="1" applyProtection="1">
      <alignment horizontal="center" vertical="center" shrinkToFit="1"/>
      <protection hidden="1"/>
    </xf>
    <xf numFmtId="180" fontId="44" fillId="11" borderId="99" xfId="8" applyNumberFormat="1" applyFont="1" applyFill="1" applyBorder="1" applyAlignment="1" applyProtection="1">
      <alignment horizontal="center" vertical="center" shrinkToFit="1"/>
      <protection hidden="1"/>
    </xf>
    <xf numFmtId="180" fontId="44" fillId="11" borderId="0" xfId="8" applyNumberFormat="1" applyFont="1" applyFill="1" applyAlignment="1" applyProtection="1">
      <alignment horizontal="center" vertical="center" shrinkToFit="1"/>
      <protection hidden="1"/>
    </xf>
    <xf numFmtId="180" fontId="44" fillId="11" borderId="583" xfId="8" applyNumberFormat="1" applyFont="1" applyFill="1" applyBorder="1" applyAlignment="1" applyProtection="1">
      <alignment horizontal="center" vertical="center" shrinkToFit="1"/>
      <protection hidden="1"/>
    </xf>
    <xf numFmtId="180" fontId="44" fillId="11" borderId="460" xfId="8" applyNumberFormat="1" applyFont="1" applyFill="1" applyBorder="1" applyAlignment="1" applyProtection="1">
      <alignment horizontal="center" vertical="center" shrinkToFit="1"/>
      <protection hidden="1"/>
    </xf>
    <xf numFmtId="180" fontId="44" fillId="11" borderId="289" xfId="8" applyNumberFormat="1" applyFont="1" applyFill="1" applyBorder="1" applyAlignment="1" applyProtection="1">
      <alignment horizontal="center" vertical="center" shrinkToFit="1"/>
      <protection hidden="1"/>
    </xf>
    <xf numFmtId="180" fontId="44" fillId="11" borderId="656" xfId="8" applyNumberFormat="1" applyFont="1" applyFill="1" applyBorder="1" applyAlignment="1" applyProtection="1">
      <alignment horizontal="center" vertical="center" shrinkToFit="1"/>
      <protection hidden="1"/>
    </xf>
    <xf numFmtId="182" fontId="42" fillId="2" borderId="581" xfId="8" applyNumberFormat="1" applyFont="1" applyFill="1" applyBorder="1" applyAlignment="1" applyProtection="1">
      <alignment horizontal="center" vertical="center" shrinkToFit="1"/>
      <protection locked="0"/>
    </xf>
    <xf numFmtId="182" fontId="42" fillId="2" borderId="96" xfId="8" applyNumberFormat="1" applyFont="1" applyFill="1" applyBorder="1" applyAlignment="1" applyProtection="1">
      <alignment horizontal="center" vertical="center" shrinkToFit="1"/>
      <protection locked="0"/>
    </xf>
    <xf numFmtId="182" fontId="42" fillId="2" borderId="458" xfId="8" applyNumberFormat="1" applyFont="1" applyFill="1" applyBorder="1" applyAlignment="1" applyProtection="1">
      <alignment horizontal="center" vertical="center" shrinkToFit="1"/>
      <protection locked="0"/>
    </xf>
    <xf numFmtId="182" fontId="42" fillId="2" borderId="419" xfId="8" applyNumberFormat="1" applyFont="1" applyFill="1" applyBorder="1" applyAlignment="1" applyProtection="1">
      <alignment horizontal="center" vertical="center" shrinkToFit="1"/>
      <protection locked="0"/>
    </xf>
    <xf numFmtId="182" fontId="42" fillId="2" borderId="0" xfId="8" applyNumberFormat="1" applyFont="1" applyFill="1" applyAlignment="1" applyProtection="1">
      <alignment horizontal="center" vertical="center" shrinkToFit="1"/>
      <protection locked="0"/>
    </xf>
    <xf numFmtId="182" fontId="42" fillId="2" borderId="97" xfId="8" applyNumberFormat="1" applyFont="1" applyFill="1" applyBorder="1" applyAlignment="1" applyProtection="1">
      <alignment horizontal="center" vertical="center" shrinkToFit="1"/>
      <protection locked="0"/>
    </xf>
    <xf numFmtId="182" fontId="42" fillId="2" borderId="588" xfId="8" applyNumberFormat="1" applyFont="1" applyFill="1" applyBorder="1" applyAlignment="1" applyProtection="1">
      <alignment horizontal="center" vertical="center" shrinkToFit="1"/>
      <protection locked="0"/>
    </xf>
    <xf numFmtId="182" fontId="42" fillId="2" borderId="289" xfId="8" applyNumberFormat="1" applyFont="1" applyFill="1" applyBorder="1" applyAlignment="1" applyProtection="1">
      <alignment horizontal="center" vertical="center" shrinkToFit="1"/>
      <protection locked="0"/>
    </xf>
    <xf numFmtId="182" fontId="42" fillId="2" borderId="554" xfId="8" applyNumberFormat="1" applyFont="1" applyFill="1" applyBorder="1" applyAlignment="1" applyProtection="1">
      <alignment horizontal="center" vertical="center" shrinkToFit="1"/>
      <protection locked="0"/>
    </xf>
    <xf numFmtId="0" fontId="31" fillId="55" borderId="96" xfId="8" applyFont="1" applyFill="1" applyBorder="1" applyAlignment="1">
      <alignment horizontal="center" vertical="center" wrapText="1"/>
    </xf>
    <xf numFmtId="0" fontId="31" fillId="55" borderId="537" xfId="8" applyFont="1" applyFill="1" applyBorder="1" applyAlignment="1">
      <alignment horizontal="center" vertical="center" wrapText="1"/>
    </xf>
    <xf numFmtId="0" fontId="31" fillId="55" borderId="289" xfId="8" applyFont="1" applyFill="1" applyBorder="1" applyAlignment="1">
      <alignment horizontal="center" vertical="center" wrapText="1"/>
    </xf>
    <xf numFmtId="0" fontId="31" fillId="55" borderId="295" xfId="8" applyFont="1" applyFill="1" applyBorder="1" applyAlignment="1">
      <alignment horizontal="center" vertical="center" wrapText="1"/>
    </xf>
    <xf numFmtId="0" fontId="160" fillId="60" borderId="70" xfId="8" applyFont="1" applyFill="1" applyBorder="1" applyAlignment="1" applyProtection="1">
      <alignment horizontal="left" vertical="center" shrinkToFit="1"/>
      <protection hidden="1"/>
    </xf>
    <xf numFmtId="0" fontId="160" fillId="60" borderId="51" xfId="8" applyFont="1" applyFill="1" applyBorder="1" applyAlignment="1" applyProtection="1">
      <alignment horizontal="left" vertical="center" shrinkToFit="1"/>
      <protection hidden="1"/>
    </xf>
    <xf numFmtId="0" fontId="160" fillId="60" borderId="52" xfId="8" applyFont="1" applyFill="1" applyBorder="1" applyAlignment="1" applyProtection="1">
      <alignment horizontal="left" vertical="center" shrinkToFit="1"/>
      <protection hidden="1"/>
    </xf>
    <xf numFmtId="0" fontId="160" fillId="60" borderId="456" xfId="8" applyFont="1" applyFill="1" applyBorder="1" applyAlignment="1" applyProtection="1">
      <alignment horizontal="left" vertical="center" shrinkToFit="1"/>
      <protection hidden="1"/>
    </xf>
    <xf numFmtId="0" fontId="160" fillId="60" borderId="289" xfId="8" applyFont="1" applyFill="1" applyBorder="1" applyAlignment="1" applyProtection="1">
      <alignment horizontal="left" vertical="center" shrinkToFit="1"/>
      <protection hidden="1"/>
    </xf>
    <xf numFmtId="0" fontId="160" fillId="60" borderId="614" xfId="8" applyFont="1" applyFill="1" applyBorder="1" applyAlignment="1" applyProtection="1">
      <alignment horizontal="left" vertical="center" shrinkToFit="1"/>
      <protection hidden="1"/>
    </xf>
    <xf numFmtId="0" fontId="28" fillId="2" borderId="644" xfId="8" applyFont="1" applyFill="1" applyBorder="1" applyAlignment="1" applyProtection="1">
      <alignment horizontal="center" vertical="center" shrinkToFit="1"/>
      <protection locked="0"/>
    </xf>
    <xf numFmtId="0" fontId="28" fillId="2" borderId="645" xfId="8" applyFont="1" applyFill="1" applyBorder="1" applyAlignment="1" applyProtection="1">
      <alignment horizontal="center" vertical="center" shrinkToFit="1"/>
      <protection locked="0"/>
    </xf>
    <xf numFmtId="0" fontId="31" fillId="11" borderId="641" xfId="8" applyFont="1" applyFill="1" applyBorder="1" applyAlignment="1" applyProtection="1">
      <alignment horizontal="center" vertical="center" wrapText="1" shrinkToFit="1"/>
      <protection hidden="1"/>
    </xf>
    <xf numFmtId="0" fontId="42" fillId="2" borderId="655" xfId="8" applyFont="1" applyFill="1" applyBorder="1" applyAlignment="1" applyProtection="1">
      <alignment horizontal="center" vertical="center" shrinkToFit="1"/>
      <protection locked="0"/>
    </xf>
    <xf numFmtId="0" fontId="42" fillId="2" borderId="644" xfId="8" applyFont="1" applyFill="1" applyBorder="1" applyAlignment="1" applyProtection="1">
      <alignment horizontal="center" vertical="center" shrinkToFit="1"/>
      <protection locked="0"/>
    </xf>
    <xf numFmtId="0" fontId="42" fillId="2" borderId="419" xfId="8" applyFont="1" applyFill="1" applyBorder="1" applyAlignment="1" applyProtection="1">
      <alignment horizontal="center" vertical="center" shrinkToFit="1"/>
      <protection locked="0"/>
    </xf>
    <xf numFmtId="0" fontId="42" fillId="2" borderId="589" xfId="8" applyFont="1" applyFill="1" applyBorder="1" applyAlignment="1" applyProtection="1">
      <alignment horizontal="center" vertical="center" shrinkToFit="1"/>
      <protection locked="0"/>
    </xf>
    <xf numFmtId="0" fontId="42" fillId="2" borderId="478" xfId="8" applyFont="1" applyFill="1" applyBorder="1" applyAlignment="1" applyProtection="1">
      <alignment horizontal="center" vertical="center" shrinkToFit="1"/>
      <protection locked="0"/>
    </xf>
    <xf numFmtId="0" fontId="149" fillId="11" borderId="641" xfId="8" applyFont="1" applyFill="1" applyBorder="1" applyAlignment="1" applyProtection="1">
      <alignment horizontal="center" vertical="center" wrapText="1" shrinkToFit="1"/>
      <protection hidden="1"/>
    </xf>
    <xf numFmtId="0" fontId="149" fillId="11" borderId="281" xfId="8" applyFont="1" applyFill="1" applyBorder="1" applyAlignment="1" applyProtection="1">
      <alignment horizontal="center" vertical="center" wrapText="1" shrinkToFit="1"/>
      <protection hidden="1"/>
    </xf>
    <xf numFmtId="0" fontId="149" fillId="11" borderId="99" xfId="8" applyFont="1" applyFill="1" applyBorder="1" applyAlignment="1" applyProtection="1">
      <alignment horizontal="center" vertical="center" wrapText="1" shrinkToFit="1"/>
      <protection hidden="1"/>
    </xf>
    <xf numFmtId="0" fontId="149" fillId="11" borderId="0" xfId="8" applyFont="1" applyFill="1" applyAlignment="1" applyProtection="1">
      <alignment horizontal="center" vertical="center" wrapText="1" shrinkToFit="1"/>
      <protection hidden="1"/>
    </xf>
    <xf numFmtId="0" fontId="149" fillId="11" borderId="454" xfId="8" applyFont="1" applyFill="1" applyBorder="1" applyAlignment="1" applyProtection="1">
      <alignment horizontal="center" vertical="center" wrapText="1" shrinkToFit="1"/>
      <protection hidden="1"/>
    </xf>
    <xf numFmtId="0" fontId="149" fillId="11" borderId="449" xfId="8" applyFont="1" applyFill="1" applyBorder="1" applyAlignment="1" applyProtection="1">
      <alignment horizontal="center" vertical="center" wrapText="1" shrinkToFit="1"/>
      <protection hidden="1"/>
    </xf>
    <xf numFmtId="0" fontId="31" fillId="11" borderId="640" xfId="8" applyFont="1" applyFill="1" applyBorder="1" applyAlignment="1" applyProtection="1">
      <alignment horizontal="center" vertical="center" wrapText="1" shrinkToFit="1"/>
      <protection hidden="1"/>
    </xf>
    <xf numFmtId="0" fontId="45" fillId="18" borderId="639" xfId="8" applyFont="1" applyFill="1" applyBorder="1" applyAlignment="1">
      <alignment horizontal="center" vertical="center" wrapText="1"/>
    </xf>
    <xf numFmtId="0" fontId="45" fillId="18" borderId="96" xfId="8" applyFont="1" applyFill="1" applyBorder="1" applyAlignment="1">
      <alignment horizontal="center" vertical="center" wrapText="1"/>
    </xf>
    <xf numFmtId="0" fontId="45" fillId="18" borderId="616" xfId="8" applyFont="1" applyFill="1" applyBorder="1" applyAlignment="1">
      <alignment horizontal="center" vertical="center" wrapText="1"/>
    </xf>
    <xf numFmtId="0" fontId="45" fillId="18" borderId="0" xfId="8" applyFont="1" applyFill="1" applyAlignment="1">
      <alignment horizontal="center" vertical="center" wrapText="1"/>
    </xf>
    <xf numFmtId="0" fontId="45" fillId="18" borderId="637" xfId="8" applyFont="1" applyFill="1" applyBorder="1" applyAlignment="1">
      <alignment horizontal="center" vertical="center" wrapText="1"/>
    </xf>
    <xf numFmtId="0" fontId="45" fillId="18" borderId="449" xfId="8" applyFont="1" applyFill="1" applyBorder="1" applyAlignment="1">
      <alignment horizontal="center" vertical="center" wrapText="1"/>
    </xf>
    <xf numFmtId="0" fontId="37" fillId="2" borderId="581" xfId="8" applyFont="1" applyFill="1" applyBorder="1" applyAlignment="1" applyProtection="1">
      <alignment horizontal="center" vertical="center" wrapText="1"/>
      <protection locked="0"/>
    </xf>
    <xf numFmtId="0" fontId="37" fillId="2" borderId="458" xfId="8" applyFont="1" applyFill="1" applyBorder="1" applyAlignment="1" applyProtection="1">
      <alignment horizontal="center" vertical="center" wrapText="1"/>
      <protection locked="0"/>
    </xf>
    <xf numFmtId="0" fontId="37" fillId="2" borderId="419" xfId="8" applyFont="1" applyFill="1" applyBorder="1" applyAlignment="1" applyProtection="1">
      <alignment horizontal="center" vertical="center" wrapText="1"/>
      <protection locked="0"/>
    </xf>
    <xf numFmtId="0" fontId="37" fillId="2" borderId="97" xfId="8" applyFont="1" applyFill="1" applyBorder="1" applyAlignment="1" applyProtection="1">
      <alignment horizontal="center" vertical="center" wrapText="1"/>
      <protection locked="0"/>
    </xf>
    <xf numFmtId="0" fontId="37" fillId="2" borderId="589" xfId="8" applyFont="1" applyFill="1" applyBorder="1" applyAlignment="1" applyProtection="1">
      <alignment horizontal="center" vertical="center" wrapText="1"/>
      <protection locked="0"/>
    </xf>
    <xf numFmtId="0" fontId="37" fillId="2" borderId="478" xfId="8" applyFont="1" applyFill="1" applyBorder="1" applyAlignment="1" applyProtection="1">
      <alignment horizontal="center" vertical="center" wrapText="1"/>
      <protection locked="0"/>
    </xf>
    <xf numFmtId="0" fontId="42" fillId="8" borderId="646" xfId="8" applyFont="1" applyFill="1" applyBorder="1" applyAlignment="1" applyProtection="1">
      <alignment horizontal="left" vertical="center" shrinkToFit="1"/>
      <protection hidden="1"/>
    </xf>
    <xf numFmtId="0" fontId="69" fillId="20" borderId="453" xfId="8" applyFont="1" applyFill="1" applyBorder="1" applyAlignment="1" applyProtection="1">
      <alignment horizontal="center" vertical="center" wrapText="1" shrinkToFit="1"/>
      <protection hidden="1"/>
    </xf>
    <xf numFmtId="0" fontId="69" fillId="20" borderId="96" xfId="8" applyFont="1" applyFill="1" applyBorder="1" applyAlignment="1" applyProtection="1">
      <alignment horizontal="center" vertical="center" wrapText="1" shrinkToFit="1"/>
      <protection hidden="1"/>
    </xf>
    <xf numFmtId="0" fontId="69" fillId="20" borderId="642" xfId="8" applyFont="1" applyFill="1" applyBorder="1" applyAlignment="1" applyProtection="1">
      <alignment horizontal="center" vertical="center" wrapText="1" shrinkToFit="1"/>
      <protection hidden="1"/>
    </xf>
    <xf numFmtId="0" fontId="69" fillId="20" borderId="99" xfId="8" applyFont="1" applyFill="1" applyBorder="1" applyAlignment="1" applyProtection="1">
      <alignment horizontal="center" vertical="center" wrapText="1" shrinkToFit="1"/>
      <protection hidden="1"/>
    </xf>
    <xf numFmtId="0" fontId="69" fillId="20" borderId="0" xfId="8" applyFont="1" applyFill="1" applyAlignment="1" applyProtection="1">
      <alignment horizontal="center" vertical="center" wrapText="1" shrinkToFit="1"/>
      <protection hidden="1"/>
    </xf>
    <xf numFmtId="0" fontId="69" fillId="20" borderId="626" xfId="8" applyFont="1" applyFill="1" applyBorder="1" applyAlignment="1" applyProtection="1">
      <alignment horizontal="center" vertical="center" wrapText="1" shrinkToFit="1"/>
      <protection hidden="1"/>
    </xf>
    <xf numFmtId="0" fontId="69" fillId="20" borderId="454" xfId="8" applyFont="1" applyFill="1" applyBorder="1" applyAlignment="1" applyProtection="1">
      <alignment horizontal="center" vertical="center" wrapText="1" shrinkToFit="1"/>
      <protection hidden="1"/>
    </xf>
    <xf numFmtId="0" fontId="69" fillId="20" borderId="449" xfId="8" applyFont="1" applyFill="1" applyBorder="1" applyAlignment="1" applyProtection="1">
      <alignment horizontal="center" vertical="center" wrapText="1" shrinkToFit="1"/>
      <protection hidden="1"/>
    </xf>
    <xf numFmtId="0" fontId="69" fillId="20" borderId="643" xfId="8" applyFont="1" applyFill="1" applyBorder="1" applyAlignment="1" applyProtection="1">
      <alignment horizontal="center" vertical="center" wrapText="1" shrinkToFit="1"/>
      <protection hidden="1"/>
    </xf>
    <xf numFmtId="0" fontId="28" fillId="2" borderId="363" xfId="9" applyNumberFormat="1" applyFont="1" applyFill="1" applyBorder="1" applyAlignment="1" applyProtection="1">
      <alignment horizontal="center" vertical="center" shrinkToFit="1"/>
      <protection locked="0"/>
    </xf>
    <xf numFmtId="0" fontId="28" fillId="2" borderId="351" xfId="9" applyNumberFormat="1" applyFont="1" applyFill="1" applyBorder="1" applyAlignment="1" applyProtection="1">
      <alignment horizontal="center" vertical="center" shrinkToFit="1"/>
      <protection locked="0"/>
    </xf>
    <xf numFmtId="0" fontId="28" fillId="2" borderId="638" xfId="9" applyNumberFormat="1" applyFont="1" applyFill="1" applyBorder="1" applyAlignment="1" applyProtection="1">
      <alignment horizontal="center" vertical="center" shrinkToFit="1"/>
      <protection locked="0"/>
    </xf>
    <xf numFmtId="0" fontId="28" fillId="2" borderId="415" xfId="9" applyNumberFormat="1" applyFont="1" applyFill="1" applyBorder="1" applyAlignment="1" applyProtection="1">
      <alignment horizontal="center" vertical="center" shrinkToFit="1"/>
      <protection locked="0"/>
    </xf>
    <xf numFmtId="0" fontId="28" fillId="2" borderId="194" xfId="9" applyNumberFormat="1" applyFont="1" applyFill="1" applyBorder="1" applyAlignment="1" applyProtection="1">
      <alignment horizontal="center" vertical="center" shrinkToFit="1"/>
      <protection locked="0"/>
    </xf>
    <xf numFmtId="0" fontId="28" fillId="2" borderId="462" xfId="9" applyNumberFormat="1" applyFont="1" applyFill="1" applyBorder="1" applyAlignment="1" applyProtection="1">
      <alignment horizontal="center" vertical="center" shrinkToFit="1"/>
      <protection locked="0"/>
    </xf>
    <xf numFmtId="180" fontId="42" fillId="8" borderId="647" xfId="8" applyNumberFormat="1" applyFont="1" applyFill="1" applyBorder="1" applyAlignment="1" applyProtection="1">
      <alignment horizontal="right" vertical="center" shrinkToFit="1"/>
      <protection hidden="1"/>
    </xf>
    <xf numFmtId="180" fontId="42" fillId="8" borderId="646" xfId="8" applyNumberFormat="1" applyFont="1" applyFill="1" applyBorder="1" applyAlignment="1" applyProtection="1">
      <alignment horizontal="right" vertical="center" shrinkToFit="1"/>
      <protection hidden="1"/>
    </xf>
    <xf numFmtId="180" fontId="42" fillId="8" borderId="648" xfId="8" applyNumberFormat="1" applyFont="1" applyFill="1" applyBorder="1" applyAlignment="1" applyProtection="1">
      <alignment horizontal="right" vertical="center" shrinkToFit="1"/>
      <protection hidden="1"/>
    </xf>
    <xf numFmtId="180" fontId="42" fillId="8" borderId="649" xfId="8" applyNumberFormat="1" applyFont="1" applyFill="1" applyBorder="1" applyAlignment="1" applyProtection="1">
      <alignment horizontal="right" vertical="center" shrinkToFit="1"/>
      <protection hidden="1"/>
    </xf>
    <xf numFmtId="180" fontId="42" fillId="8" borderId="650" xfId="8" applyNumberFormat="1" applyFont="1" applyFill="1" applyBorder="1" applyAlignment="1" applyProtection="1">
      <alignment horizontal="right" vertical="center" shrinkToFit="1"/>
      <protection hidden="1"/>
    </xf>
    <xf numFmtId="180" fontId="42" fillId="8" borderId="651" xfId="8" applyNumberFormat="1" applyFont="1" applyFill="1" applyBorder="1" applyAlignment="1" applyProtection="1">
      <alignment horizontal="right" vertical="center" shrinkToFit="1"/>
      <protection hidden="1"/>
    </xf>
    <xf numFmtId="182" fontId="42" fillId="2" borderId="646" xfId="8" applyNumberFormat="1" applyFont="1" applyFill="1" applyBorder="1" applyAlignment="1" applyProtection="1">
      <alignment horizontal="center" vertical="center" shrinkToFit="1"/>
      <protection locked="0"/>
    </xf>
    <xf numFmtId="182" fontId="42" fillId="8" borderId="652" xfId="8" applyNumberFormat="1" applyFont="1" applyFill="1" applyBorder="1" applyAlignment="1" applyProtection="1">
      <alignment horizontal="center" vertical="center" shrinkToFit="1"/>
      <protection hidden="1"/>
    </xf>
    <xf numFmtId="182" fontId="42" fillId="8" borderId="646" xfId="8" applyNumberFormat="1" applyFont="1" applyFill="1" applyBorder="1" applyAlignment="1" applyProtection="1">
      <alignment horizontal="center" vertical="center" shrinkToFit="1"/>
      <protection hidden="1"/>
    </xf>
    <xf numFmtId="182" fontId="42" fillId="8" borderId="653" xfId="8" applyNumberFormat="1" applyFont="1" applyFill="1" applyBorder="1" applyAlignment="1" applyProtection="1">
      <alignment horizontal="center" vertical="center" shrinkToFit="1"/>
      <protection hidden="1"/>
    </xf>
    <xf numFmtId="182" fontId="42" fillId="8" borderId="654" xfId="8" applyNumberFormat="1" applyFont="1" applyFill="1" applyBorder="1" applyAlignment="1" applyProtection="1">
      <alignment horizontal="center" vertical="center" shrinkToFit="1"/>
      <protection hidden="1"/>
    </xf>
    <xf numFmtId="182" fontId="42" fillId="2" borderId="652" xfId="8" applyNumberFormat="1" applyFont="1" applyFill="1" applyBorder="1" applyAlignment="1" applyProtection="1">
      <alignment horizontal="center" vertical="center" shrinkToFit="1"/>
      <protection locked="0"/>
    </xf>
    <xf numFmtId="182" fontId="42" fillId="2" borderId="653" xfId="8" applyNumberFormat="1" applyFont="1" applyFill="1" applyBorder="1" applyAlignment="1" applyProtection="1">
      <alignment horizontal="center" vertical="center" shrinkToFit="1"/>
      <protection locked="0"/>
    </xf>
    <xf numFmtId="182" fontId="42" fillId="2" borderId="654" xfId="8" applyNumberFormat="1" applyFont="1" applyFill="1" applyBorder="1" applyAlignment="1" applyProtection="1">
      <alignment horizontal="center" vertical="center" shrinkToFit="1"/>
      <protection locked="0"/>
    </xf>
    <xf numFmtId="180" fontId="42" fillId="8" borderId="646" xfId="8" applyNumberFormat="1" applyFont="1" applyFill="1" applyBorder="1" applyAlignment="1" applyProtection="1">
      <alignment horizontal="center" vertical="center" shrinkToFit="1"/>
      <protection hidden="1"/>
    </xf>
    <xf numFmtId="0" fontId="31" fillId="11" borderId="458" xfId="8" applyFont="1" applyFill="1" applyBorder="1" applyAlignment="1" applyProtection="1">
      <alignment horizontal="center" vertical="center" wrapText="1" shrinkToFit="1"/>
      <protection hidden="1"/>
    </xf>
    <xf numFmtId="0" fontId="31" fillId="11" borderId="97" xfId="8" applyFont="1" applyFill="1" applyBorder="1" applyAlignment="1" applyProtection="1">
      <alignment horizontal="center" vertical="center" wrapText="1" shrinkToFit="1"/>
      <protection hidden="1"/>
    </xf>
    <xf numFmtId="0" fontId="31" fillId="11" borderId="554" xfId="8" applyFont="1" applyFill="1" applyBorder="1" applyAlignment="1" applyProtection="1">
      <alignment horizontal="center" vertical="center" wrapText="1" shrinkToFit="1"/>
      <protection hidden="1"/>
    </xf>
    <xf numFmtId="0" fontId="27" fillId="4" borderId="22" xfId="0" applyFont="1" applyFill="1" applyBorder="1" applyAlignment="1" applyProtection="1">
      <alignment horizontal="center" vertical="center"/>
      <protection hidden="1"/>
    </xf>
    <xf numFmtId="0" fontId="27" fillId="4" borderId="4" xfId="0" applyFont="1" applyFill="1" applyBorder="1" applyAlignment="1" applyProtection="1">
      <alignment horizontal="center" vertical="center"/>
      <protection hidden="1"/>
    </xf>
    <xf numFmtId="0" fontId="27" fillId="4" borderId="325" xfId="0" applyFont="1" applyFill="1" applyBorder="1" applyAlignment="1" applyProtection="1">
      <alignment horizontal="center" vertical="center"/>
      <protection hidden="1"/>
    </xf>
    <xf numFmtId="0" fontId="27" fillId="4" borderId="16" xfId="0" applyFont="1" applyFill="1" applyBorder="1" applyAlignment="1" applyProtection="1">
      <alignment horizontal="center" vertical="center"/>
      <protection hidden="1"/>
    </xf>
    <xf numFmtId="0" fontId="27" fillId="4" borderId="0" xfId="0" applyFont="1" applyFill="1" applyAlignment="1" applyProtection="1">
      <alignment horizontal="center" vertical="center"/>
      <protection hidden="1"/>
    </xf>
    <xf numFmtId="0" fontId="27" fillId="4" borderId="308" xfId="0" applyFont="1" applyFill="1" applyBorder="1" applyAlignment="1" applyProtection="1">
      <alignment horizontal="center" vertical="center"/>
      <protection hidden="1"/>
    </xf>
    <xf numFmtId="0" fontId="27" fillId="4" borderId="12" xfId="0" applyFont="1" applyFill="1" applyBorder="1" applyAlignment="1" applyProtection="1">
      <alignment horizontal="center" vertical="center"/>
      <protection hidden="1"/>
    </xf>
    <xf numFmtId="0" fontId="27" fillId="4" borderId="9" xfId="0" applyFont="1" applyFill="1" applyBorder="1" applyAlignment="1" applyProtection="1">
      <alignment horizontal="center" vertical="center"/>
      <protection hidden="1"/>
    </xf>
    <xf numFmtId="0" fontId="27" fillId="4" borderId="298" xfId="0" applyFont="1" applyFill="1" applyBorder="1" applyAlignment="1" applyProtection="1">
      <alignment horizontal="center" vertical="center"/>
      <protection hidden="1"/>
    </xf>
    <xf numFmtId="176" fontId="24" fillId="8" borderId="17" xfId="0" applyNumberFormat="1" applyFont="1" applyFill="1" applyBorder="1" applyAlignment="1" applyProtection="1">
      <alignment horizontal="center" vertical="center" shrinkToFit="1"/>
      <protection locked="0"/>
    </xf>
    <xf numFmtId="176" fontId="24" fillId="8" borderId="1" xfId="0" applyNumberFormat="1" applyFont="1" applyFill="1" applyBorder="1" applyAlignment="1" applyProtection="1">
      <alignment horizontal="center" vertical="center" shrinkToFit="1"/>
      <protection locked="0"/>
    </xf>
    <xf numFmtId="176" fontId="24" fillId="8" borderId="2" xfId="0" applyNumberFormat="1" applyFont="1" applyFill="1" applyBorder="1" applyAlignment="1" applyProtection="1">
      <alignment horizontal="center" vertical="center" shrinkToFit="1"/>
      <protection locked="0"/>
    </xf>
    <xf numFmtId="176" fontId="24" fillId="8" borderId="294" xfId="0" applyNumberFormat="1" applyFont="1" applyFill="1" applyBorder="1" applyAlignment="1" applyProtection="1">
      <alignment horizontal="center" vertical="center" shrinkToFit="1"/>
      <protection locked="0"/>
    </xf>
    <xf numFmtId="176" fontId="24" fillId="8" borderId="289" xfId="0" applyNumberFormat="1" applyFont="1" applyFill="1" applyBorder="1" applyAlignment="1" applyProtection="1">
      <alignment horizontal="center" vertical="center" shrinkToFit="1"/>
      <protection locked="0"/>
    </xf>
    <xf numFmtId="176" fontId="24" fillId="8" borderId="290" xfId="0" applyNumberFormat="1" applyFont="1" applyFill="1" applyBorder="1" applyAlignment="1" applyProtection="1">
      <alignment horizontal="center" vertical="center" shrinkToFit="1"/>
      <protection locked="0"/>
    </xf>
    <xf numFmtId="0" fontId="78" fillId="4" borderId="280" xfId="0" applyFont="1" applyFill="1" applyBorder="1" applyAlignment="1" applyProtection="1">
      <alignment horizontal="left" vertical="center"/>
      <protection hidden="1"/>
    </xf>
    <xf numFmtId="0" fontId="78" fillId="4" borderId="281" xfId="0" applyFont="1" applyFill="1" applyBorder="1" applyAlignment="1" applyProtection="1">
      <alignment horizontal="left" vertical="center"/>
      <protection hidden="1"/>
    </xf>
    <xf numFmtId="0" fontId="78" fillId="4" borderId="314" xfId="0" applyFont="1" applyFill="1" applyBorder="1" applyAlignment="1" applyProtection="1">
      <alignment horizontal="left" vertical="center"/>
      <protection hidden="1"/>
    </xf>
    <xf numFmtId="0" fontId="78" fillId="4" borderId="14" xfId="0" applyFont="1" applyFill="1" applyBorder="1" applyAlignment="1" applyProtection="1">
      <alignment horizontal="left" vertical="center"/>
      <protection hidden="1"/>
    </xf>
    <xf numFmtId="0" fontId="81" fillId="4" borderId="281" xfId="0" applyFont="1" applyFill="1" applyBorder="1" applyAlignment="1" applyProtection="1">
      <alignment horizontal="left"/>
      <protection hidden="1"/>
    </xf>
    <xf numFmtId="0" fontId="81" fillId="4" borderId="287" xfId="0" applyFont="1" applyFill="1" applyBorder="1" applyAlignment="1" applyProtection="1">
      <alignment horizontal="left"/>
      <protection hidden="1"/>
    </xf>
    <xf numFmtId="0" fontId="81" fillId="4" borderId="14" xfId="0" applyFont="1" applyFill="1" applyBorder="1" applyAlignment="1" applyProtection="1">
      <alignment horizontal="left"/>
      <protection hidden="1"/>
    </xf>
    <xf numFmtId="0" fontId="81" fillId="4" borderId="315" xfId="0" applyFont="1" applyFill="1" applyBorder="1" applyAlignment="1" applyProtection="1">
      <alignment horizontal="left"/>
      <protection hidden="1"/>
    </xf>
    <xf numFmtId="0" fontId="23" fillId="4" borderId="382" xfId="0" applyFont="1" applyFill="1" applyBorder="1" applyAlignment="1" applyProtection="1">
      <alignment horizontal="center" vertical="center"/>
      <protection hidden="1"/>
    </xf>
    <xf numFmtId="0" fontId="23" fillId="4" borderId="150" xfId="0" applyFont="1" applyFill="1" applyBorder="1" applyAlignment="1" applyProtection="1">
      <alignment horizontal="center" vertical="center"/>
      <protection hidden="1"/>
    </xf>
    <xf numFmtId="0" fontId="23" fillId="4" borderId="383" xfId="0" applyFont="1" applyFill="1" applyBorder="1" applyAlignment="1" applyProtection="1">
      <alignment horizontal="center" vertical="center"/>
      <protection hidden="1"/>
    </xf>
    <xf numFmtId="0" fontId="23" fillId="4" borderId="110" xfId="0" applyFont="1" applyFill="1" applyBorder="1" applyAlignment="1" applyProtection="1">
      <alignment horizontal="center" vertical="center"/>
      <protection hidden="1"/>
    </xf>
    <xf numFmtId="0" fontId="23" fillId="4" borderId="384" xfId="0" applyFont="1" applyFill="1" applyBorder="1" applyAlignment="1" applyProtection="1">
      <alignment horizontal="center" vertical="center"/>
      <protection hidden="1"/>
    </xf>
    <xf numFmtId="0" fontId="23" fillId="4" borderId="24" xfId="0" applyFont="1" applyFill="1" applyBorder="1" applyAlignment="1" applyProtection="1">
      <alignment horizontal="center" vertical="center"/>
      <protection hidden="1"/>
    </xf>
    <xf numFmtId="0" fontId="23" fillId="4" borderId="22"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protection hidden="1"/>
    </xf>
    <xf numFmtId="0" fontId="23" fillId="4" borderId="5" xfId="0" applyFont="1" applyFill="1" applyBorder="1" applyAlignment="1" applyProtection="1">
      <alignment horizontal="center" vertical="center"/>
      <protection hidden="1"/>
    </xf>
    <xf numFmtId="0" fontId="23" fillId="4" borderId="16" xfId="0" applyFont="1" applyFill="1" applyBorder="1" applyAlignment="1" applyProtection="1">
      <alignment horizontal="center" vertical="center"/>
      <protection hidden="1"/>
    </xf>
    <xf numFmtId="0" fontId="23" fillId="4" borderId="0" xfId="0" applyFont="1" applyFill="1" applyAlignment="1" applyProtection="1">
      <alignment horizontal="center" vertical="center"/>
      <protection hidden="1"/>
    </xf>
    <xf numFmtId="0" fontId="23" fillId="4" borderId="3" xfId="0" applyFont="1" applyFill="1" applyBorder="1" applyAlignment="1" applyProtection="1">
      <alignment horizontal="center" vertical="center"/>
      <protection hidden="1"/>
    </xf>
    <xf numFmtId="0" fontId="23" fillId="4" borderId="12" xfId="0" applyFont="1" applyFill="1" applyBorder="1" applyAlignment="1" applyProtection="1">
      <alignment horizontal="center" vertical="center"/>
      <protection hidden="1"/>
    </xf>
    <xf numFmtId="0" fontId="23" fillId="4" borderId="9" xfId="0" applyFont="1" applyFill="1" applyBorder="1" applyAlignment="1" applyProtection="1">
      <alignment horizontal="center" vertical="center"/>
      <protection hidden="1"/>
    </xf>
    <xf numFmtId="0" fontId="23" fillId="4" borderId="10" xfId="0" applyFont="1" applyFill="1" applyBorder="1" applyAlignment="1" applyProtection="1">
      <alignment horizontal="center" vertical="center"/>
      <protection hidden="1"/>
    </xf>
    <xf numFmtId="0" fontId="23" fillId="4" borderId="22" xfId="0"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23" fillId="4" borderId="5" xfId="0" applyFont="1" applyFill="1" applyBorder="1" applyAlignment="1" applyProtection="1">
      <alignment horizontal="center" vertical="center" wrapText="1"/>
      <protection hidden="1"/>
    </xf>
    <xf numFmtId="0" fontId="23" fillId="4" borderId="16" xfId="0" applyFont="1" applyFill="1" applyBorder="1" applyAlignment="1" applyProtection="1">
      <alignment horizontal="center" vertical="center" wrapText="1"/>
      <protection hidden="1"/>
    </xf>
    <xf numFmtId="0" fontId="23" fillId="4" borderId="0" xfId="0" applyFont="1" applyFill="1" applyAlignment="1" applyProtection="1">
      <alignment horizontal="center" vertical="center" wrapText="1"/>
      <protection hidden="1"/>
    </xf>
    <xf numFmtId="0" fontId="23" fillId="4" borderId="3" xfId="0" applyFont="1" applyFill="1" applyBorder="1" applyAlignment="1" applyProtection="1">
      <alignment horizontal="center" vertical="center" wrapText="1"/>
      <protection hidden="1"/>
    </xf>
    <xf numFmtId="0" fontId="23" fillId="4" borderId="12" xfId="0" applyFont="1" applyFill="1" applyBorder="1" applyAlignment="1" applyProtection="1">
      <alignment horizontal="center" vertical="center" wrapText="1"/>
      <protection hidden="1"/>
    </xf>
    <xf numFmtId="0" fontId="23" fillId="4" borderId="9" xfId="0" applyFont="1" applyFill="1" applyBorder="1" applyAlignment="1" applyProtection="1">
      <alignment horizontal="center" vertical="center" wrapText="1"/>
      <protection hidden="1"/>
    </xf>
    <xf numFmtId="0" fontId="23" fillId="4" borderId="10" xfId="0" applyFont="1" applyFill="1" applyBorder="1" applyAlignment="1" applyProtection="1">
      <alignment horizontal="center" vertical="center" wrapText="1"/>
      <protection hidden="1"/>
    </xf>
    <xf numFmtId="0" fontId="27" fillId="4" borderId="16" xfId="0" applyFont="1" applyFill="1" applyBorder="1" applyAlignment="1" applyProtection="1">
      <alignment horizontal="center" vertical="top"/>
      <protection hidden="1"/>
    </xf>
    <xf numFmtId="0" fontId="27" fillId="4" borderId="0" xfId="0" applyFont="1" applyFill="1" applyAlignment="1" applyProtection="1">
      <alignment horizontal="center" vertical="top"/>
      <protection hidden="1"/>
    </xf>
    <xf numFmtId="0" fontId="27" fillId="4" borderId="3" xfId="0" applyFont="1" applyFill="1" applyBorder="1" applyAlignment="1" applyProtection="1">
      <alignment horizontal="center" vertical="top"/>
      <protection hidden="1"/>
    </xf>
    <xf numFmtId="0" fontId="27" fillId="4" borderId="12" xfId="0" applyFont="1" applyFill="1" applyBorder="1" applyAlignment="1" applyProtection="1">
      <alignment horizontal="center" vertical="top"/>
      <protection hidden="1"/>
    </xf>
    <xf numFmtId="0" fontId="27" fillId="4" borderId="9" xfId="0" applyFont="1" applyFill="1" applyBorder="1" applyAlignment="1" applyProtection="1">
      <alignment horizontal="center" vertical="top"/>
      <protection hidden="1"/>
    </xf>
    <xf numFmtId="0" fontId="27" fillId="4" borderId="10" xfId="0" applyFont="1" applyFill="1" applyBorder="1" applyAlignment="1" applyProtection="1">
      <alignment horizontal="center" vertical="top"/>
      <protection hidden="1"/>
    </xf>
    <xf numFmtId="0" fontId="27" fillId="4" borderId="22" xfId="0" applyFont="1" applyFill="1" applyBorder="1" applyAlignment="1" applyProtection="1">
      <alignment horizontal="center"/>
      <protection hidden="1"/>
    </xf>
    <xf numFmtId="0" fontId="27" fillId="4" borderId="4" xfId="0" applyFont="1" applyFill="1" applyBorder="1" applyAlignment="1" applyProtection="1">
      <alignment horizontal="center"/>
      <protection hidden="1"/>
    </xf>
    <xf numFmtId="0" fontId="27" fillId="4" borderId="5" xfId="0" applyFont="1" applyFill="1" applyBorder="1" applyAlignment="1" applyProtection="1">
      <alignment horizontal="center"/>
      <protection hidden="1"/>
    </xf>
    <xf numFmtId="0" fontId="27" fillId="4" borderId="16" xfId="0" applyFont="1" applyFill="1" applyBorder="1" applyAlignment="1" applyProtection="1">
      <alignment horizontal="center"/>
      <protection hidden="1"/>
    </xf>
    <xf numFmtId="0" fontId="27" fillId="4" borderId="0" xfId="0" applyFont="1" applyFill="1" applyAlignment="1" applyProtection="1">
      <alignment horizontal="center"/>
      <protection hidden="1"/>
    </xf>
    <xf numFmtId="0" fontId="27" fillId="4" borderId="3" xfId="0" applyFont="1" applyFill="1" applyBorder="1" applyAlignment="1" applyProtection="1">
      <alignment horizontal="center"/>
      <protection hidden="1"/>
    </xf>
    <xf numFmtId="0" fontId="67" fillId="4" borderId="384" xfId="0" applyFont="1" applyFill="1" applyBorder="1" applyAlignment="1" applyProtection="1">
      <alignment horizontal="center" vertical="center"/>
      <protection hidden="1"/>
    </xf>
    <xf numFmtId="0" fontId="67" fillId="4" borderId="24" xfId="0" applyFont="1" applyFill="1" applyBorder="1" applyAlignment="1" applyProtection="1">
      <alignment horizontal="center" vertical="center"/>
      <protection hidden="1"/>
    </xf>
    <xf numFmtId="0" fontId="67" fillId="4" borderId="388" xfId="0" applyFont="1" applyFill="1" applyBorder="1" applyAlignment="1" applyProtection="1">
      <alignment horizontal="center" vertical="center"/>
      <protection hidden="1"/>
    </xf>
    <xf numFmtId="0" fontId="67" fillId="4" borderId="389" xfId="0" applyFont="1" applyFill="1" applyBorder="1" applyAlignment="1" applyProtection="1">
      <alignment horizontal="center" vertical="center"/>
      <protection hidden="1"/>
    </xf>
    <xf numFmtId="0" fontId="24" fillId="8" borderId="16" xfId="0" applyFont="1" applyFill="1" applyBorder="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8" borderId="3" xfId="0" applyFont="1" applyFill="1" applyBorder="1" applyAlignment="1" applyProtection="1">
      <alignment horizontal="center" vertical="center"/>
      <protection locked="0"/>
    </xf>
    <xf numFmtId="0" fontId="24" fillId="8" borderId="294" xfId="0" applyFont="1" applyFill="1" applyBorder="1" applyAlignment="1" applyProtection="1">
      <alignment horizontal="center" vertical="center"/>
      <protection locked="0"/>
    </xf>
    <xf numFmtId="0" fontId="24" fillId="8" borderId="289" xfId="0" applyFont="1" applyFill="1" applyBorder="1" applyAlignment="1" applyProtection="1">
      <alignment horizontal="center" vertical="center"/>
      <protection locked="0"/>
    </xf>
    <xf numFmtId="0" fontId="24" fillId="8" borderId="290" xfId="0" applyFont="1" applyFill="1" applyBorder="1" applyAlignment="1" applyProtection="1">
      <alignment horizontal="center" vertical="center"/>
      <protection locked="0"/>
    </xf>
    <xf numFmtId="0" fontId="85" fillId="4" borderId="22" xfId="0" applyFont="1" applyFill="1" applyBorder="1" applyAlignment="1" applyProtection="1">
      <alignment horizontal="center" vertical="center" wrapText="1"/>
      <protection hidden="1"/>
    </xf>
    <xf numFmtId="0" fontId="85" fillId="4" borderId="4" xfId="0" applyFont="1" applyFill="1" applyBorder="1" applyAlignment="1" applyProtection="1">
      <alignment horizontal="center" vertical="center"/>
      <protection hidden="1"/>
    </xf>
    <xf numFmtId="0" fontId="85" fillId="4" borderId="5" xfId="0" applyFont="1" applyFill="1" applyBorder="1" applyAlignment="1" applyProtection="1">
      <alignment horizontal="center" vertical="center"/>
      <protection hidden="1"/>
    </xf>
    <xf numFmtId="0" fontId="85" fillId="4" borderId="16" xfId="0" applyFont="1" applyFill="1" applyBorder="1" applyAlignment="1" applyProtection="1">
      <alignment horizontal="center" vertical="center"/>
      <protection hidden="1"/>
    </xf>
    <xf numFmtId="0" fontId="85" fillId="4" borderId="0" xfId="0" applyFont="1" applyFill="1" applyAlignment="1" applyProtection="1">
      <alignment horizontal="center" vertical="center"/>
      <protection hidden="1"/>
    </xf>
    <xf numFmtId="0" fontId="85" fillId="4" borderId="3" xfId="0" applyFont="1" applyFill="1" applyBorder="1" applyAlignment="1" applyProtection="1">
      <alignment horizontal="center" vertical="center"/>
      <protection hidden="1"/>
    </xf>
    <xf numFmtId="0" fontId="85" fillId="4" borderId="12" xfId="0" applyFont="1" applyFill="1" applyBorder="1" applyAlignment="1" applyProtection="1">
      <alignment horizontal="center" vertical="center"/>
      <protection hidden="1"/>
    </xf>
    <xf numFmtId="0" fontId="85" fillId="4" borderId="9" xfId="0" applyFont="1" applyFill="1" applyBorder="1" applyAlignment="1" applyProtection="1">
      <alignment horizontal="center" vertical="center"/>
      <protection hidden="1"/>
    </xf>
    <xf numFmtId="0" fontId="85" fillId="4" borderId="10" xfId="0" applyFont="1" applyFill="1" applyBorder="1" applyAlignment="1" applyProtection="1">
      <alignment horizontal="center" vertical="center"/>
      <protection hidden="1"/>
    </xf>
    <xf numFmtId="176" fontId="68" fillId="2" borderId="17" xfId="0" applyNumberFormat="1" applyFont="1" applyFill="1" applyBorder="1" applyAlignment="1" applyProtection="1">
      <alignment horizontal="center" vertical="center" shrinkToFit="1"/>
      <protection hidden="1"/>
    </xf>
    <xf numFmtId="176" fontId="68" fillId="2" borderId="1" xfId="0" applyNumberFormat="1" applyFont="1" applyFill="1" applyBorder="1" applyAlignment="1" applyProtection="1">
      <alignment horizontal="center" vertical="center" shrinkToFit="1"/>
      <protection hidden="1"/>
    </xf>
    <xf numFmtId="176" fontId="68" fillId="2" borderId="304" xfId="0" applyNumberFormat="1" applyFont="1" applyFill="1" applyBorder="1" applyAlignment="1" applyProtection="1">
      <alignment horizontal="center" vertical="center" shrinkToFit="1"/>
      <protection hidden="1"/>
    </xf>
    <xf numFmtId="176" fontId="68" fillId="2" borderId="160" xfId="0" applyNumberFormat="1" applyFont="1" applyFill="1" applyBorder="1" applyAlignment="1" applyProtection="1">
      <alignment horizontal="center" vertical="center" shrinkToFit="1"/>
      <protection hidden="1"/>
    </xf>
    <xf numFmtId="176" fontId="68" fillId="2" borderId="161" xfId="0" applyNumberFormat="1" applyFont="1" applyFill="1" applyBorder="1" applyAlignment="1" applyProtection="1">
      <alignment horizontal="center" vertical="center" shrinkToFit="1"/>
      <protection hidden="1"/>
    </xf>
    <xf numFmtId="176" fontId="68" fillId="2" borderId="386" xfId="0" applyNumberFormat="1" applyFont="1" applyFill="1" applyBorder="1" applyAlignment="1" applyProtection="1">
      <alignment horizontal="center" vertical="center" shrinkToFit="1"/>
      <protection hidden="1"/>
    </xf>
    <xf numFmtId="0" fontId="68" fillId="4" borderId="149" xfId="0" applyFont="1" applyFill="1" applyBorder="1" applyAlignment="1" applyProtection="1">
      <alignment horizontal="center" vertical="center" wrapText="1"/>
      <protection hidden="1"/>
    </xf>
    <xf numFmtId="0" fontId="68" fillId="4" borderId="157" xfId="0" applyFont="1" applyFill="1" applyBorder="1" applyAlignment="1" applyProtection="1">
      <alignment horizontal="center" vertical="center" wrapText="1"/>
      <protection hidden="1"/>
    </xf>
    <xf numFmtId="0" fontId="68" fillId="4" borderId="158" xfId="0" applyFont="1" applyFill="1" applyBorder="1" applyAlignment="1" applyProtection="1">
      <alignment horizontal="center" vertical="center" wrapText="1"/>
      <protection hidden="1"/>
    </xf>
    <xf numFmtId="0" fontId="24" fillId="8" borderId="163" xfId="0" applyFont="1" applyFill="1" applyBorder="1" applyAlignment="1" applyProtection="1">
      <alignment horizontal="center" vertical="center"/>
      <protection locked="0"/>
    </xf>
    <xf numFmtId="0" fontId="24" fillId="8" borderId="164" xfId="0" applyFont="1" applyFill="1" applyBorder="1" applyAlignment="1" applyProtection="1">
      <alignment horizontal="center" vertical="center"/>
      <protection locked="0"/>
    </xf>
    <xf numFmtId="0" fontId="24" fillId="8" borderId="165" xfId="0" applyFont="1" applyFill="1" applyBorder="1" applyAlignment="1" applyProtection="1">
      <alignment horizontal="center" vertical="center"/>
      <protection locked="0"/>
    </xf>
    <xf numFmtId="0" fontId="24" fillId="8" borderId="12" xfId="0" applyFont="1" applyFill="1" applyBorder="1" applyAlignment="1" applyProtection="1">
      <alignment horizontal="center" vertical="center"/>
      <protection locked="0"/>
    </xf>
    <xf numFmtId="0" fontId="24" fillId="8" borderId="9" xfId="0" applyFont="1" applyFill="1" applyBorder="1" applyAlignment="1" applyProtection="1">
      <alignment horizontal="center" vertical="center"/>
      <protection locked="0"/>
    </xf>
    <xf numFmtId="0" fontId="24" fillId="8" borderId="10" xfId="0" applyFont="1" applyFill="1" applyBorder="1" applyAlignment="1" applyProtection="1">
      <alignment horizontal="center" vertical="center"/>
      <protection locked="0"/>
    </xf>
    <xf numFmtId="176" fontId="24" fillId="8" borderId="163" xfId="0" applyNumberFormat="1" applyFont="1" applyFill="1" applyBorder="1" applyAlignment="1" applyProtection="1">
      <alignment horizontal="center" vertical="center" shrinkToFit="1"/>
      <protection locked="0"/>
    </xf>
    <xf numFmtId="176" fontId="24" fillId="8" borderId="164" xfId="0" applyNumberFormat="1" applyFont="1" applyFill="1" applyBorder="1" applyAlignment="1" applyProtection="1">
      <alignment horizontal="center" vertical="center" shrinkToFit="1"/>
      <protection locked="0"/>
    </xf>
    <xf numFmtId="176" fontId="24" fillId="8" borderId="165" xfId="0" applyNumberFormat="1" applyFont="1" applyFill="1" applyBorder="1" applyAlignment="1" applyProtection="1">
      <alignment horizontal="center" vertical="center" shrinkToFit="1"/>
      <protection locked="0"/>
    </xf>
    <xf numFmtId="176" fontId="24" fillId="8" borderId="12" xfId="0" applyNumberFormat="1" applyFont="1" applyFill="1" applyBorder="1" applyAlignment="1" applyProtection="1">
      <alignment horizontal="center" vertical="center" shrinkToFit="1"/>
      <protection locked="0"/>
    </xf>
    <xf numFmtId="176" fontId="24" fillId="8" borderId="9" xfId="0" applyNumberFormat="1" applyFont="1" applyFill="1" applyBorder="1" applyAlignment="1" applyProtection="1">
      <alignment horizontal="center" vertical="center" shrinkToFit="1"/>
      <protection locked="0"/>
    </xf>
    <xf numFmtId="176" fontId="24" fillId="8" borderId="10" xfId="0" applyNumberFormat="1" applyFont="1" applyFill="1" applyBorder="1" applyAlignment="1" applyProtection="1">
      <alignment horizontal="center" vertical="center" shrinkToFit="1"/>
      <protection locked="0"/>
    </xf>
    <xf numFmtId="176" fontId="24" fillId="8" borderId="387" xfId="0" applyNumberFormat="1" applyFont="1" applyFill="1" applyBorder="1" applyAlignment="1" applyProtection="1">
      <alignment horizontal="center" vertical="center" shrinkToFit="1"/>
      <protection locked="0"/>
    </xf>
    <xf numFmtId="176" fontId="24" fillId="8" borderId="298" xfId="0" applyNumberFormat="1" applyFont="1" applyFill="1" applyBorder="1" applyAlignment="1" applyProtection="1">
      <alignment horizontal="center" vertical="center" shrinkToFit="1"/>
      <protection locked="0"/>
    </xf>
    <xf numFmtId="176" fontId="24" fillId="8" borderId="304" xfId="0" applyNumberFormat="1" applyFont="1" applyFill="1" applyBorder="1" applyAlignment="1" applyProtection="1">
      <alignment horizontal="center" vertical="center" shrinkToFit="1"/>
      <protection locked="0"/>
    </xf>
    <xf numFmtId="0" fontId="24" fillId="8" borderId="17" xfId="0" applyFont="1" applyFill="1" applyBorder="1" applyAlignment="1" applyProtection="1">
      <alignment horizontal="center" vertical="center"/>
      <protection locked="0"/>
    </xf>
    <xf numFmtId="0" fontId="24" fillId="8" borderId="1" xfId="0" applyFont="1" applyFill="1" applyBorder="1" applyAlignment="1" applyProtection="1">
      <alignment horizontal="center" vertical="center"/>
      <protection locked="0"/>
    </xf>
    <xf numFmtId="0" fontId="24" fillId="8" borderId="2" xfId="0" applyFont="1" applyFill="1" applyBorder="1" applyAlignment="1" applyProtection="1">
      <alignment horizontal="center" vertical="center"/>
      <protection locked="0"/>
    </xf>
    <xf numFmtId="0" fontId="68" fillId="4" borderId="17" xfId="0" applyFont="1" applyFill="1" applyBorder="1" applyAlignment="1" applyProtection="1">
      <alignment horizontal="center" vertical="center" wrapText="1"/>
      <protection hidden="1"/>
    </xf>
    <xf numFmtId="0" fontId="68" fillId="4" borderId="1" xfId="0" applyFont="1" applyFill="1" applyBorder="1" applyAlignment="1" applyProtection="1">
      <alignment horizontal="center" vertical="center" wrapText="1"/>
      <protection hidden="1"/>
    </xf>
    <xf numFmtId="0" fontId="68" fillId="4" borderId="2" xfId="0" applyFont="1" applyFill="1" applyBorder="1" applyAlignment="1" applyProtection="1">
      <alignment horizontal="center" vertical="center" wrapText="1"/>
      <protection hidden="1"/>
    </xf>
    <xf numFmtId="0" fontId="68" fillId="4" borderId="12" xfId="0" applyFont="1" applyFill="1" applyBorder="1" applyAlignment="1" applyProtection="1">
      <alignment horizontal="center" vertical="center" wrapText="1"/>
      <protection hidden="1"/>
    </xf>
    <xf numFmtId="0" fontId="68" fillId="4" borderId="9" xfId="0" applyFont="1" applyFill="1" applyBorder="1" applyAlignment="1" applyProtection="1">
      <alignment horizontal="center" vertical="center" wrapText="1"/>
      <protection hidden="1"/>
    </xf>
    <xf numFmtId="0" fontId="68" fillId="4" borderId="10" xfId="0" applyFont="1" applyFill="1" applyBorder="1" applyAlignment="1" applyProtection="1">
      <alignment horizontal="center" vertical="center" wrapText="1"/>
      <protection hidden="1"/>
    </xf>
    <xf numFmtId="0" fontId="67" fillId="4" borderId="17" xfId="0" applyFont="1" applyFill="1" applyBorder="1" applyAlignment="1" applyProtection="1">
      <alignment horizontal="center" vertical="center" wrapText="1"/>
      <protection hidden="1"/>
    </xf>
    <xf numFmtId="0" fontId="67" fillId="4" borderId="1" xfId="0" applyFont="1" applyFill="1" applyBorder="1" applyAlignment="1" applyProtection="1">
      <alignment horizontal="center" vertical="center" wrapText="1"/>
      <protection hidden="1"/>
    </xf>
    <xf numFmtId="0" fontId="67" fillId="4" borderId="2" xfId="0" applyFont="1" applyFill="1" applyBorder="1" applyAlignment="1" applyProtection="1">
      <alignment horizontal="center" vertical="center" wrapText="1"/>
      <protection hidden="1"/>
    </xf>
    <xf numFmtId="0" fontId="67" fillId="4" borderId="12" xfId="0" applyFont="1" applyFill="1" applyBorder="1" applyAlignment="1" applyProtection="1">
      <alignment horizontal="center" vertical="center" wrapText="1"/>
      <protection hidden="1"/>
    </xf>
    <xf numFmtId="0" fontId="67" fillId="4" borderId="9" xfId="0" applyFont="1" applyFill="1" applyBorder="1" applyAlignment="1" applyProtection="1">
      <alignment horizontal="center" vertical="center" wrapText="1"/>
      <protection hidden="1"/>
    </xf>
    <xf numFmtId="0" fontId="67" fillId="4" borderId="10" xfId="0" applyFont="1" applyFill="1" applyBorder="1" applyAlignment="1" applyProtection="1">
      <alignment horizontal="center" vertical="center" wrapText="1"/>
      <protection hidden="1"/>
    </xf>
    <xf numFmtId="176" fontId="67" fillId="2" borderId="17" xfId="0" applyNumberFormat="1" applyFont="1" applyFill="1" applyBorder="1" applyAlignment="1" applyProtection="1">
      <alignment horizontal="center" vertical="center"/>
      <protection hidden="1"/>
    </xf>
    <xf numFmtId="176" fontId="67" fillId="2" borderId="1" xfId="0" applyNumberFormat="1" applyFont="1" applyFill="1" applyBorder="1" applyAlignment="1" applyProtection="1">
      <alignment horizontal="center" vertical="center"/>
      <protection hidden="1"/>
    </xf>
    <xf numFmtId="176" fontId="67" fillId="2" borderId="2" xfId="0" applyNumberFormat="1" applyFont="1" applyFill="1" applyBorder="1" applyAlignment="1" applyProtection="1">
      <alignment horizontal="center" vertical="center"/>
      <protection hidden="1"/>
    </xf>
    <xf numFmtId="176" fontId="67" fillId="2" borderId="160" xfId="0" applyNumberFormat="1" applyFont="1" applyFill="1" applyBorder="1" applyAlignment="1" applyProtection="1">
      <alignment horizontal="center" vertical="center"/>
      <protection hidden="1"/>
    </xf>
    <xf numFmtId="176" fontId="67" fillId="2" borderId="161" xfId="0" applyNumberFormat="1" applyFont="1" applyFill="1" applyBorder="1" applyAlignment="1" applyProtection="1">
      <alignment horizontal="center" vertical="center"/>
      <protection hidden="1"/>
    </xf>
    <xf numFmtId="176" fontId="67" fillId="2" borderId="162" xfId="0" applyNumberFormat="1" applyFont="1" applyFill="1" applyBorder="1" applyAlignment="1" applyProtection="1">
      <alignment horizontal="center" vertical="center"/>
      <protection hidden="1"/>
    </xf>
    <xf numFmtId="176" fontId="68" fillId="2" borderId="2" xfId="0" applyNumberFormat="1" applyFont="1" applyFill="1" applyBorder="1" applyAlignment="1" applyProtection="1">
      <alignment horizontal="center" vertical="center" shrinkToFit="1"/>
      <protection hidden="1"/>
    </xf>
    <xf numFmtId="176" fontId="68" fillId="2" borderId="162" xfId="0" applyNumberFormat="1" applyFont="1" applyFill="1" applyBorder="1" applyAlignment="1" applyProtection="1">
      <alignment horizontal="center" vertical="center" shrinkToFit="1"/>
      <protection hidden="1"/>
    </xf>
    <xf numFmtId="0" fontId="24" fillId="2" borderId="17" xfId="0" applyFont="1" applyFill="1" applyBorder="1" applyAlignment="1" applyProtection="1">
      <alignment horizontal="center" vertical="center"/>
      <protection hidden="1"/>
    </xf>
    <xf numFmtId="0" fontId="24" fillId="2" borderId="1" xfId="0" applyFont="1" applyFill="1" applyBorder="1" applyAlignment="1" applyProtection="1">
      <alignment horizontal="center" vertical="center"/>
      <protection hidden="1"/>
    </xf>
    <xf numFmtId="0" fontId="24" fillId="2" borderId="160" xfId="0" applyFont="1" applyFill="1" applyBorder="1" applyAlignment="1" applyProtection="1">
      <alignment horizontal="center" vertical="center"/>
      <protection hidden="1"/>
    </xf>
    <xf numFmtId="0" fontId="24" fillId="2" borderId="161" xfId="0" applyFont="1" applyFill="1" applyBorder="1" applyAlignment="1" applyProtection="1">
      <alignment horizontal="center" vertical="center"/>
      <protection hidden="1"/>
    </xf>
    <xf numFmtId="0" fontId="24" fillId="2" borderId="2" xfId="0" applyFont="1" applyFill="1" applyBorder="1" applyAlignment="1" applyProtection="1">
      <alignment horizontal="center" vertical="center"/>
      <protection hidden="1"/>
    </xf>
    <xf numFmtId="0" fontId="24" fillId="2" borderId="162" xfId="0" applyFont="1" applyFill="1" applyBorder="1" applyAlignment="1" applyProtection="1">
      <alignment horizontal="center" vertical="center"/>
      <protection hidden="1"/>
    </xf>
    <xf numFmtId="176" fontId="67" fillId="2" borderId="17" xfId="0" applyNumberFormat="1" applyFont="1" applyFill="1" applyBorder="1" applyAlignment="1" applyProtection="1">
      <alignment horizontal="center" vertical="center" shrinkToFit="1"/>
      <protection hidden="1"/>
    </xf>
    <xf numFmtId="176" fontId="67" fillId="2" borderId="1" xfId="0" applyNumberFormat="1" applyFont="1" applyFill="1" applyBorder="1" applyAlignment="1" applyProtection="1">
      <alignment horizontal="center" vertical="center" shrinkToFit="1"/>
      <protection hidden="1"/>
    </xf>
    <xf numFmtId="176" fontId="67" fillId="2" borderId="2" xfId="0" applyNumberFormat="1" applyFont="1" applyFill="1" applyBorder="1" applyAlignment="1" applyProtection="1">
      <alignment horizontal="center" vertical="center" shrinkToFit="1"/>
      <protection hidden="1"/>
    </xf>
    <xf numFmtId="176" fontId="67" fillId="2" borderId="160" xfId="0" applyNumberFormat="1" applyFont="1" applyFill="1" applyBorder="1" applyAlignment="1" applyProtection="1">
      <alignment horizontal="center" vertical="center" shrinkToFit="1"/>
      <protection hidden="1"/>
    </xf>
    <xf numFmtId="176" fontId="67" fillId="2" borderId="161" xfId="0" applyNumberFormat="1" applyFont="1" applyFill="1" applyBorder="1" applyAlignment="1" applyProtection="1">
      <alignment horizontal="center" vertical="center" shrinkToFit="1"/>
      <protection hidden="1"/>
    </xf>
    <xf numFmtId="176" fontId="67" fillId="2" borderId="162" xfId="0" applyNumberFormat="1" applyFont="1" applyFill="1" applyBorder="1" applyAlignment="1" applyProtection="1">
      <alignment horizontal="center" vertical="center" shrinkToFit="1"/>
      <protection hidden="1"/>
    </xf>
    <xf numFmtId="0" fontId="60" fillId="4" borderId="2" xfId="0" applyFont="1" applyFill="1" applyBorder="1" applyAlignment="1" applyProtection="1">
      <alignment horizontal="center" vertical="center" shrinkToFit="1"/>
      <protection hidden="1"/>
    </xf>
    <xf numFmtId="0" fontId="60" fillId="4" borderId="294" xfId="0" applyFont="1" applyFill="1" applyBorder="1" applyAlignment="1" applyProtection="1">
      <alignment horizontal="center" vertical="center" shrinkToFit="1"/>
      <protection hidden="1"/>
    </xf>
    <xf numFmtId="0" fontId="60" fillId="4" borderId="289" xfId="0" applyFont="1" applyFill="1" applyBorder="1" applyAlignment="1" applyProtection="1">
      <alignment horizontal="center" vertical="center" shrinkToFit="1"/>
      <protection hidden="1"/>
    </xf>
    <xf numFmtId="0" fontId="60" fillId="4" borderId="290" xfId="0" applyFont="1" applyFill="1" applyBorder="1" applyAlignment="1" applyProtection="1">
      <alignment horizontal="center" vertical="center" shrinkToFit="1"/>
      <protection hidden="1"/>
    </xf>
    <xf numFmtId="0" fontId="60" fillId="4" borderId="288" xfId="0" applyFont="1" applyFill="1" applyBorder="1" applyAlignment="1" applyProtection="1">
      <alignment horizontal="center" vertical="center" shrinkToFit="1"/>
      <protection hidden="1"/>
    </xf>
    <xf numFmtId="0" fontId="60" fillId="4" borderId="149" xfId="0" applyFont="1" applyFill="1" applyBorder="1" applyAlignment="1" applyProtection="1">
      <alignment horizontal="center" vertical="center" shrinkToFit="1"/>
      <protection hidden="1"/>
    </xf>
    <xf numFmtId="0" fontId="60" fillId="4" borderId="157" xfId="0" applyFont="1" applyFill="1" applyBorder="1" applyAlignment="1" applyProtection="1">
      <alignment horizontal="center" vertical="center" shrinkToFit="1"/>
      <protection hidden="1"/>
    </xf>
    <xf numFmtId="0" fontId="60" fillId="4" borderId="158" xfId="0" applyFont="1" applyFill="1" applyBorder="1" applyAlignment="1" applyProtection="1">
      <alignment horizontal="center" vertical="center" shrinkToFit="1"/>
      <protection hidden="1"/>
    </xf>
    <xf numFmtId="0" fontId="60" fillId="4" borderId="326" xfId="0" applyFont="1" applyFill="1" applyBorder="1" applyAlignment="1" applyProtection="1">
      <alignment horizontal="center" vertical="center" shrinkToFit="1"/>
      <protection hidden="1"/>
    </xf>
    <xf numFmtId="0" fontId="112" fillId="0" borderId="0" xfId="0" applyFont="1" applyAlignment="1" applyProtection="1">
      <alignment horizontal="left" vertical="center"/>
      <protection hidden="1"/>
    </xf>
    <xf numFmtId="0" fontId="127" fillId="0" borderId="0" xfId="0" applyFont="1" applyAlignment="1" applyProtection="1">
      <alignment horizontal="center" vertical="center" wrapText="1"/>
      <protection hidden="1"/>
    </xf>
    <xf numFmtId="0" fontId="34" fillId="4" borderId="303" xfId="0" applyFont="1" applyFill="1" applyBorder="1" applyAlignment="1" applyProtection="1">
      <alignment horizontal="left" vertical="center" shrinkToFit="1"/>
      <protection hidden="1"/>
    </xf>
    <xf numFmtId="0" fontId="34" fillId="4" borderId="1" xfId="0" applyFont="1" applyFill="1" applyBorder="1" applyAlignment="1" applyProtection="1">
      <alignment horizontal="left" vertical="center" shrinkToFit="1"/>
      <protection hidden="1"/>
    </xf>
    <xf numFmtId="0" fontId="28" fillId="23" borderId="304" xfId="0" applyFont="1" applyFill="1" applyBorder="1" applyAlignment="1" applyProtection="1">
      <alignment horizontal="center" vertical="center" shrinkToFit="1"/>
      <protection locked="0"/>
    </xf>
    <xf numFmtId="0" fontId="28" fillId="23" borderId="298" xfId="0" applyFont="1" applyFill="1" applyBorder="1" applyAlignment="1" applyProtection="1">
      <alignment horizontal="center" vertical="center" shrinkToFit="1"/>
      <protection locked="0"/>
    </xf>
    <xf numFmtId="0" fontId="84" fillId="9" borderId="384" xfId="0" applyFont="1" applyFill="1" applyBorder="1" applyAlignment="1" applyProtection="1">
      <alignment horizontal="center" vertical="center"/>
      <protection hidden="1"/>
    </xf>
    <xf numFmtId="0" fontId="84" fillId="9" borderId="24" xfId="0" applyFont="1" applyFill="1" applyBorder="1" applyAlignment="1" applyProtection="1">
      <alignment horizontal="center" vertical="center"/>
      <protection hidden="1"/>
    </xf>
    <xf numFmtId="0" fontId="84" fillId="9" borderId="385" xfId="0" applyFont="1" applyFill="1" applyBorder="1" applyAlignment="1" applyProtection="1">
      <alignment horizontal="center" vertical="center"/>
      <protection hidden="1"/>
    </xf>
    <xf numFmtId="0" fontId="84" fillId="9" borderId="159" xfId="0" applyFont="1" applyFill="1" applyBorder="1" applyAlignment="1" applyProtection="1">
      <alignment horizontal="center" vertical="center"/>
      <protection hidden="1"/>
    </xf>
    <xf numFmtId="0" fontId="68" fillId="4" borderId="304" xfId="0" applyFont="1" applyFill="1" applyBorder="1" applyAlignment="1" applyProtection="1">
      <alignment horizontal="center" vertical="center" wrapText="1"/>
      <protection hidden="1"/>
    </xf>
    <xf numFmtId="0" fontId="68" fillId="4" borderId="298" xfId="0" applyFont="1" applyFill="1" applyBorder="1" applyAlignment="1" applyProtection="1">
      <alignment horizontal="center" vertical="center" wrapText="1"/>
      <protection hidden="1"/>
    </xf>
    <xf numFmtId="0" fontId="78" fillId="4" borderId="280" xfId="0" applyFont="1" applyFill="1" applyBorder="1" applyProtection="1">
      <alignment vertical="center"/>
      <protection hidden="1"/>
    </xf>
    <xf numFmtId="0" fontId="78" fillId="4" borderId="281" xfId="0" applyFont="1" applyFill="1" applyBorder="1" applyProtection="1">
      <alignment vertical="center"/>
      <protection hidden="1"/>
    </xf>
    <xf numFmtId="0" fontId="78" fillId="4" borderId="314" xfId="0" applyFont="1" applyFill="1" applyBorder="1" applyProtection="1">
      <alignment vertical="center"/>
      <protection hidden="1"/>
    </xf>
    <xf numFmtId="0" fontId="78" fillId="4" borderId="14" xfId="0" applyFont="1" applyFill="1" applyBorder="1" applyProtection="1">
      <alignment vertical="center"/>
      <protection hidden="1"/>
    </xf>
    <xf numFmtId="0" fontId="79" fillId="4" borderId="281" xfId="0" quotePrefix="1" applyFont="1" applyFill="1" applyBorder="1" applyAlignment="1" applyProtection="1">
      <protection hidden="1"/>
    </xf>
    <xf numFmtId="0" fontId="79" fillId="4" borderId="287" xfId="0" quotePrefix="1" applyFont="1" applyFill="1" applyBorder="1" applyAlignment="1" applyProtection="1">
      <protection hidden="1"/>
    </xf>
    <xf numFmtId="0" fontId="79" fillId="4" borderId="14" xfId="0" quotePrefix="1" applyFont="1" applyFill="1" applyBorder="1" applyAlignment="1" applyProtection="1">
      <protection hidden="1"/>
    </xf>
    <xf numFmtId="0" fontId="79" fillId="4" borderId="315" xfId="0" quotePrefix="1" applyFont="1" applyFill="1" applyBorder="1" applyAlignment="1" applyProtection="1">
      <protection hidden="1"/>
    </xf>
    <xf numFmtId="0" fontId="25" fillId="8" borderId="0" xfId="0" applyFont="1" applyFill="1" applyProtection="1">
      <alignment vertical="center"/>
      <protection hidden="1"/>
    </xf>
    <xf numFmtId="0" fontId="24" fillId="4" borderId="17" xfId="0" applyFont="1" applyFill="1" applyBorder="1" applyAlignment="1" applyProtection="1">
      <alignment horizontal="center" vertical="center"/>
      <protection hidden="1"/>
    </xf>
    <xf numFmtId="0" fontId="24" fillId="4" borderId="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9" xfId="0" applyFont="1" applyFill="1" applyBorder="1" applyAlignment="1" applyProtection="1">
      <alignment horizontal="center" vertical="center"/>
      <protection hidden="1"/>
    </xf>
    <xf numFmtId="0" fontId="82" fillId="4" borderId="22"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82" fillId="4" borderId="325" xfId="0" applyFont="1" applyFill="1" applyBorder="1" applyAlignment="1" applyProtection="1">
      <alignment horizontal="center" vertical="center"/>
      <protection hidden="1"/>
    </xf>
    <xf numFmtId="0" fontId="82" fillId="4" borderId="16" xfId="0" applyFont="1" applyFill="1" applyBorder="1" applyAlignment="1" applyProtection="1">
      <alignment horizontal="center" vertical="center"/>
      <protection hidden="1"/>
    </xf>
    <xf numFmtId="0" fontId="82" fillId="4" borderId="0" xfId="0" applyFont="1" applyFill="1" applyAlignment="1" applyProtection="1">
      <alignment horizontal="center" vertical="center"/>
      <protection hidden="1"/>
    </xf>
    <xf numFmtId="0" fontId="82" fillId="4" borderId="308" xfId="0" applyFont="1" applyFill="1" applyBorder="1" applyAlignment="1" applyProtection="1">
      <alignment horizontal="center" vertical="center"/>
      <protection hidden="1"/>
    </xf>
    <xf numFmtId="0" fontId="67" fillId="4" borderId="383" xfId="0" applyFont="1" applyFill="1" applyBorder="1" applyAlignment="1" applyProtection="1">
      <alignment horizontal="center" vertical="center"/>
      <protection hidden="1"/>
    </xf>
    <xf numFmtId="0" fontId="67" fillId="4" borderId="110" xfId="0" applyFont="1" applyFill="1" applyBorder="1" applyAlignment="1" applyProtection="1">
      <alignment horizontal="center" vertical="center"/>
      <protection hidden="1"/>
    </xf>
    <xf numFmtId="176" fontId="24" fillId="8" borderId="295" xfId="0" applyNumberFormat="1" applyFont="1" applyFill="1" applyBorder="1" applyAlignment="1" applyProtection="1">
      <alignment horizontal="center" vertical="center" shrinkToFit="1"/>
      <protection locked="0"/>
    </xf>
    <xf numFmtId="0" fontId="86" fillId="2" borderId="1" xfId="0" applyFont="1" applyFill="1" applyBorder="1" applyAlignment="1" applyProtection="1">
      <alignment horizontal="center" vertical="center" wrapText="1" shrinkToFit="1"/>
      <protection hidden="1"/>
    </xf>
    <xf numFmtId="0" fontId="87" fillId="2" borderId="1" xfId="0" applyFont="1" applyFill="1" applyBorder="1" applyAlignment="1" applyProtection="1">
      <alignment horizontal="center" vertical="center" wrapText="1" shrinkToFit="1"/>
      <protection hidden="1"/>
    </xf>
    <xf numFmtId="0" fontId="87" fillId="2" borderId="304" xfId="0" applyFont="1" applyFill="1" applyBorder="1" applyAlignment="1" applyProtection="1">
      <alignment horizontal="center" vertical="center" wrapText="1" shrinkToFit="1"/>
      <protection hidden="1"/>
    </xf>
    <xf numFmtId="0" fontId="87" fillId="2" borderId="161" xfId="0" applyFont="1" applyFill="1" applyBorder="1" applyAlignment="1" applyProtection="1">
      <alignment horizontal="center" vertical="center" wrapText="1" shrinkToFit="1"/>
      <protection hidden="1"/>
    </xf>
    <xf numFmtId="0" fontId="87" fillId="2" borderId="386" xfId="0" applyFont="1" applyFill="1" applyBorder="1" applyAlignment="1" applyProtection="1">
      <alignment horizontal="center" vertical="center" wrapText="1" shrinkToFit="1"/>
      <protection hidden="1"/>
    </xf>
    <xf numFmtId="182" fontId="24" fillId="2" borderId="1" xfId="0" applyNumberFormat="1" applyFont="1" applyFill="1" applyBorder="1" applyAlignment="1" applyProtection="1">
      <alignment horizontal="center" vertical="center"/>
      <protection hidden="1"/>
    </xf>
    <xf numFmtId="182" fontId="24" fillId="2" borderId="161" xfId="0" applyNumberFormat="1" applyFont="1" applyFill="1" applyBorder="1" applyAlignment="1" applyProtection="1">
      <alignment horizontal="center" vertical="center"/>
      <protection hidden="1"/>
    </xf>
    <xf numFmtId="0" fontId="24" fillId="8" borderId="169" xfId="0" applyFont="1" applyFill="1" applyBorder="1" applyAlignment="1" applyProtection="1">
      <alignment horizontal="center" vertical="center"/>
      <protection locked="0"/>
    </xf>
    <xf numFmtId="0" fontId="24" fillId="8" borderId="170" xfId="0" applyFont="1" applyFill="1" applyBorder="1" applyAlignment="1" applyProtection="1">
      <alignment horizontal="center" vertical="center"/>
      <protection locked="0"/>
    </xf>
    <xf numFmtId="0" fontId="24" fillId="8" borderId="171" xfId="0" applyFont="1" applyFill="1" applyBorder="1" applyAlignment="1" applyProtection="1">
      <alignment horizontal="center" vertical="center"/>
      <protection locked="0"/>
    </xf>
    <xf numFmtId="0" fontId="24" fillId="8" borderId="149" xfId="0" applyFont="1" applyFill="1" applyBorder="1" applyAlignment="1" applyProtection="1">
      <alignment horizontal="center" vertical="center"/>
      <protection locked="0"/>
    </xf>
    <xf numFmtId="0" fontId="24" fillId="8" borderId="157" xfId="0" applyFont="1" applyFill="1" applyBorder="1" applyAlignment="1" applyProtection="1">
      <alignment horizontal="center" vertical="center"/>
      <protection locked="0"/>
    </xf>
    <xf numFmtId="0" fontId="24" fillId="8" borderId="158" xfId="0" applyFont="1" applyFill="1" applyBorder="1" applyAlignment="1" applyProtection="1">
      <alignment horizontal="center" vertical="center"/>
      <protection locked="0"/>
    </xf>
    <xf numFmtId="0" fontId="27" fillId="8" borderId="163" xfId="0" applyFont="1" applyFill="1" applyBorder="1" applyAlignment="1" applyProtection="1">
      <alignment horizontal="center" vertical="center" shrinkToFit="1"/>
      <protection locked="0"/>
    </xf>
    <xf numFmtId="0" fontId="27" fillId="8" borderId="164" xfId="0" applyFont="1" applyFill="1" applyBorder="1" applyAlignment="1" applyProtection="1">
      <alignment horizontal="center" vertical="center" shrinkToFit="1"/>
      <protection locked="0"/>
    </xf>
    <xf numFmtId="0" fontId="27" fillId="8" borderId="165" xfId="0" applyFont="1" applyFill="1" applyBorder="1" applyAlignment="1" applyProtection="1">
      <alignment horizontal="center" vertical="center" shrinkToFit="1"/>
      <protection locked="0"/>
    </xf>
    <xf numFmtId="0" fontId="27" fillId="8" borderId="16" xfId="0" applyFont="1" applyFill="1" applyBorder="1" applyAlignment="1" applyProtection="1">
      <alignment horizontal="center" vertical="center" shrinkToFit="1"/>
      <protection locked="0"/>
    </xf>
    <xf numFmtId="0" fontId="27" fillId="8" borderId="0" xfId="0" applyFont="1" applyFill="1" applyAlignment="1" applyProtection="1">
      <alignment horizontal="center" vertical="center" shrinkToFit="1"/>
      <protection locked="0"/>
    </xf>
    <xf numFmtId="0" fontId="27" fillId="8" borderId="3" xfId="0" applyFont="1" applyFill="1" applyBorder="1" applyAlignment="1" applyProtection="1">
      <alignment horizontal="center" vertical="center" shrinkToFit="1"/>
      <protection locked="0"/>
    </xf>
    <xf numFmtId="0" fontId="27" fillId="8" borderId="294" xfId="0" applyFont="1" applyFill="1" applyBorder="1" applyAlignment="1" applyProtection="1">
      <alignment horizontal="center" vertical="center" shrinkToFit="1"/>
      <protection locked="0"/>
    </xf>
    <xf numFmtId="0" fontId="27" fillId="8" borderId="289" xfId="0" applyFont="1" applyFill="1" applyBorder="1" applyAlignment="1" applyProtection="1">
      <alignment horizontal="center" vertical="center" shrinkToFit="1"/>
      <protection locked="0"/>
    </xf>
    <xf numFmtId="0" fontId="27" fillId="8" borderId="290" xfId="0" applyFont="1" applyFill="1" applyBorder="1" applyAlignment="1" applyProtection="1">
      <alignment horizontal="center" vertical="center" shrinkToFit="1"/>
      <protection locked="0"/>
    </xf>
    <xf numFmtId="0" fontId="24" fillId="8" borderId="169" xfId="0" applyFont="1" applyFill="1" applyBorder="1" applyAlignment="1" applyProtection="1">
      <alignment horizontal="center" vertical="center" shrinkToFit="1"/>
      <protection locked="0"/>
    </xf>
    <xf numFmtId="0" fontId="24" fillId="8" borderId="170" xfId="0" applyFont="1" applyFill="1" applyBorder="1" applyAlignment="1" applyProtection="1">
      <alignment horizontal="center" vertical="center" shrinkToFit="1"/>
      <protection locked="0"/>
    </xf>
    <xf numFmtId="0" fontId="24" fillId="8" borderId="171" xfId="0" applyFont="1" applyFill="1" applyBorder="1" applyAlignment="1" applyProtection="1">
      <alignment horizontal="center" vertical="center" shrinkToFit="1"/>
      <protection locked="0"/>
    </xf>
    <xf numFmtId="0" fontId="24" fillId="8" borderId="149" xfId="0" applyFont="1" applyFill="1" applyBorder="1" applyAlignment="1" applyProtection="1">
      <alignment horizontal="center" vertical="center" shrinkToFit="1"/>
      <protection locked="0"/>
    </xf>
    <xf numFmtId="0" fontId="24" fillId="8" borderId="157" xfId="0" applyFont="1" applyFill="1" applyBorder="1" applyAlignment="1" applyProtection="1">
      <alignment horizontal="center" vertical="center" shrinkToFit="1"/>
      <protection locked="0"/>
    </xf>
    <xf numFmtId="0" fontId="24" fillId="8" borderId="158" xfId="0" applyFont="1" applyFill="1" applyBorder="1" applyAlignment="1" applyProtection="1">
      <alignment horizontal="center" vertical="center" shrinkToFit="1"/>
      <protection locked="0"/>
    </xf>
    <xf numFmtId="176" fontId="24" fillId="2" borderId="17" xfId="0" applyNumberFormat="1" applyFont="1" applyFill="1" applyBorder="1" applyAlignment="1" applyProtection="1">
      <alignment horizontal="center" vertical="center"/>
      <protection hidden="1"/>
    </xf>
    <xf numFmtId="176" fontId="24" fillId="2" borderId="1" xfId="0" applyNumberFormat="1" applyFont="1" applyFill="1" applyBorder="1" applyAlignment="1" applyProtection="1">
      <alignment horizontal="center" vertical="center"/>
      <protection hidden="1"/>
    </xf>
    <xf numFmtId="176" fontId="24" fillId="2" borderId="2" xfId="0" applyNumberFormat="1" applyFont="1" applyFill="1" applyBorder="1" applyAlignment="1" applyProtection="1">
      <alignment horizontal="center" vertical="center"/>
      <protection hidden="1"/>
    </xf>
    <xf numFmtId="176" fontId="24" fillId="2" borderId="160" xfId="0" applyNumberFormat="1" applyFont="1" applyFill="1" applyBorder="1" applyAlignment="1" applyProtection="1">
      <alignment horizontal="center" vertical="center"/>
      <protection hidden="1"/>
    </xf>
    <xf numFmtId="176" fontId="24" fillId="2" borderId="161" xfId="0" applyNumberFormat="1" applyFont="1" applyFill="1" applyBorder="1" applyAlignment="1" applyProtection="1">
      <alignment horizontal="center" vertical="center"/>
      <protection hidden="1"/>
    </xf>
    <xf numFmtId="176" fontId="24" fillId="2" borderId="162" xfId="0" applyNumberFormat="1" applyFont="1" applyFill="1" applyBorder="1" applyAlignment="1" applyProtection="1">
      <alignment horizontal="center" vertical="center"/>
      <protection hidden="1"/>
    </xf>
    <xf numFmtId="180" fontId="24" fillId="2" borderId="17" xfId="0" applyNumberFormat="1" applyFont="1" applyFill="1" applyBorder="1" applyAlignment="1" applyProtection="1">
      <alignment horizontal="right" vertical="center"/>
      <protection hidden="1"/>
    </xf>
    <xf numFmtId="180" fontId="24" fillId="2" borderId="1" xfId="0" applyNumberFormat="1" applyFont="1" applyFill="1" applyBorder="1" applyAlignment="1" applyProtection="1">
      <alignment horizontal="right" vertical="center"/>
      <protection hidden="1"/>
    </xf>
    <xf numFmtId="180" fontId="24" fillId="2" borderId="160" xfId="0" applyNumberFormat="1" applyFont="1" applyFill="1" applyBorder="1" applyAlignment="1" applyProtection="1">
      <alignment horizontal="right" vertical="center"/>
      <protection hidden="1"/>
    </xf>
    <xf numFmtId="180" fontId="24" fillId="2" borderId="161" xfId="0" applyNumberFormat="1" applyFont="1" applyFill="1" applyBorder="1" applyAlignment="1" applyProtection="1">
      <alignment horizontal="right" vertical="center"/>
      <protection hidden="1"/>
    </xf>
    <xf numFmtId="182" fontId="24" fillId="2" borderId="1" xfId="0" applyNumberFormat="1" applyFont="1" applyFill="1" applyBorder="1" applyAlignment="1" applyProtection="1">
      <alignment horizontal="left" vertical="center"/>
      <protection hidden="1"/>
    </xf>
    <xf numFmtId="182" fontId="24" fillId="2" borderId="161" xfId="0" applyNumberFormat="1" applyFont="1" applyFill="1" applyBorder="1" applyAlignment="1" applyProtection="1">
      <alignment horizontal="left" vertical="center"/>
      <protection hidden="1"/>
    </xf>
    <xf numFmtId="182" fontId="24" fillId="2" borderId="1" xfId="0" applyNumberFormat="1" applyFont="1" applyFill="1" applyBorder="1" applyAlignment="1" applyProtection="1">
      <alignment horizontal="right" vertical="center"/>
      <protection hidden="1"/>
    </xf>
    <xf numFmtId="182" fontId="24" fillId="2" borderId="161" xfId="0" applyNumberFormat="1" applyFont="1" applyFill="1" applyBorder="1" applyAlignment="1" applyProtection="1">
      <alignment horizontal="right" vertical="center"/>
      <protection hidden="1"/>
    </xf>
    <xf numFmtId="49" fontId="24" fillId="2" borderId="17" xfId="0" applyNumberFormat="1" applyFont="1" applyFill="1" applyBorder="1" applyAlignment="1" applyProtection="1">
      <alignment horizontal="center" vertical="center"/>
      <protection hidden="1"/>
    </xf>
    <xf numFmtId="49" fontId="24" fillId="2" borderId="1" xfId="0" applyNumberFormat="1" applyFont="1" applyFill="1" applyBorder="1" applyAlignment="1" applyProtection="1">
      <alignment horizontal="center" vertical="center"/>
      <protection hidden="1"/>
    </xf>
    <xf numFmtId="49" fontId="24" fillId="2" borderId="2" xfId="0" applyNumberFormat="1" applyFont="1" applyFill="1" applyBorder="1" applyAlignment="1" applyProtection="1">
      <alignment horizontal="center" vertical="center"/>
      <protection hidden="1"/>
    </xf>
    <xf numFmtId="49" fontId="24" fillId="2" borderId="160" xfId="0" applyNumberFormat="1" applyFont="1" applyFill="1" applyBorder="1" applyAlignment="1" applyProtection="1">
      <alignment horizontal="center" vertical="center"/>
      <protection hidden="1"/>
    </xf>
    <xf numFmtId="49" fontId="24" fillId="2" borderId="161" xfId="0" applyNumberFormat="1" applyFont="1" applyFill="1" applyBorder="1" applyAlignment="1" applyProtection="1">
      <alignment horizontal="center" vertical="center"/>
      <protection hidden="1"/>
    </xf>
    <xf numFmtId="49" fontId="24" fillId="2" borderId="162" xfId="0" applyNumberFormat="1" applyFont="1" applyFill="1" applyBorder="1" applyAlignment="1" applyProtection="1">
      <alignment horizontal="center" vertical="center"/>
      <protection hidden="1"/>
    </xf>
    <xf numFmtId="49" fontId="24" fillId="8" borderId="169" xfId="0" applyNumberFormat="1" applyFont="1" applyFill="1" applyBorder="1" applyAlignment="1" applyProtection="1">
      <alignment horizontal="center" vertical="center"/>
      <protection locked="0"/>
    </xf>
    <xf numFmtId="49" fontId="24" fillId="8" borderId="170" xfId="0" applyNumberFormat="1" applyFont="1" applyFill="1" applyBorder="1" applyAlignment="1" applyProtection="1">
      <alignment horizontal="center" vertical="center"/>
      <protection locked="0"/>
    </xf>
    <xf numFmtId="49" fontId="24" fillId="8" borderId="171" xfId="0" applyNumberFormat="1" applyFont="1" applyFill="1" applyBorder="1" applyAlignment="1" applyProtection="1">
      <alignment horizontal="center" vertical="center"/>
      <protection locked="0"/>
    </xf>
    <xf numFmtId="49" fontId="24" fillId="8" borderId="149" xfId="0" applyNumberFormat="1" applyFont="1" applyFill="1" applyBorder="1" applyAlignment="1" applyProtection="1">
      <alignment horizontal="center" vertical="center"/>
      <protection locked="0"/>
    </xf>
    <xf numFmtId="49" fontId="24" fillId="8" borderId="157" xfId="0" applyNumberFormat="1" applyFont="1" applyFill="1" applyBorder="1" applyAlignment="1" applyProtection="1">
      <alignment horizontal="center" vertical="center"/>
      <protection locked="0"/>
    </xf>
    <xf numFmtId="49" fontId="24" fillId="8" borderId="158" xfId="0" applyNumberFormat="1" applyFont="1" applyFill="1" applyBorder="1" applyAlignment="1" applyProtection="1">
      <alignment horizontal="center" vertical="center"/>
      <protection locked="0"/>
    </xf>
    <xf numFmtId="49" fontId="24" fillId="8" borderId="390" xfId="0" applyNumberFormat="1" applyFont="1" applyFill="1" applyBorder="1" applyAlignment="1" applyProtection="1">
      <alignment horizontal="center" vertical="center"/>
      <protection locked="0"/>
    </xf>
    <xf numFmtId="49" fontId="24" fillId="8" borderId="391" xfId="0" applyNumberFormat="1" applyFont="1" applyFill="1" applyBorder="1" applyAlignment="1" applyProtection="1">
      <alignment horizontal="center" vertical="center"/>
      <protection locked="0"/>
    </xf>
    <xf numFmtId="49" fontId="24" fillId="8" borderId="392" xfId="0" applyNumberFormat="1" applyFont="1" applyFill="1" applyBorder="1" applyAlignment="1" applyProtection="1">
      <alignment horizontal="center" vertical="center"/>
      <protection locked="0"/>
    </xf>
    <xf numFmtId="176" fontId="24" fillId="8" borderId="163" xfId="0" applyNumberFormat="1" applyFont="1" applyFill="1" applyBorder="1" applyAlignment="1" applyProtection="1">
      <alignment horizontal="center" vertical="center"/>
      <protection locked="0"/>
    </xf>
    <xf numFmtId="176" fontId="24" fillId="8" borderId="164" xfId="0" applyNumberFormat="1" applyFont="1" applyFill="1" applyBorder="1" applyAlignment="1" applyProtection="1">
      <alignment horizontal="center" vertical="center"/>
      <protection locked="0"/>
    </xf>
    <xf numFmtId="176" fontId="24" fillId="8" borderId="165" xfId="0" applyNumberFormat="1" applyFont="1" applyFill="1" applyBorder="1" applyAlignment="1" applyProtection="1">
      <alignment horizontal="center" vertical="center"/>
      <protection locked="0"/>
    </xf>
    <xf numFmtId="176" fontId="24" fillId="8" borderId="16" xfId="0" applyNumberFormat="1" applyFont="1" applyFill="1" applyBorder="1" applyAlignment="1" applyProtection="1">
      <alignment horizontal="center" vertical="center"/>
      <protection locked="0"/>
    </xf>
    <xf numFmtId="176" fontId="24" fillId="8" borderId="0" xfId="0" applyNumberFormat="1" applyFont="1" applyFill="1" applyAlignment="1" applyProtection="1">
      <alignment horizontal="center" vertical="center"/>
      <protection locked="0"/>
    </xf>
    <xf numFmtId="176" fontId="24" fillId="8" borderId="3" xfId="0" applyNumberFormat="1" applyFont="1" applyFill="1" applyBorder="1" applyAlignment="1" applyProtection="1">
      <alignment horizontal="center" vertical="center"/>
      <protection locked="0"/>
    </xf>
    <xf numFmtId="176" fontId="24" fillId="8" borderId="294" xfId="0" applyNumberFormat="1" applyFont="1" applyFill="1" applyBorder="1" applyAlignment="1" applyProtection="1">
      <alignment horizontal="center" vertical="center"/>
      <protection locked="0"/>
    </xf>
    <xf numFmtId="176" fontId="24" fillId="8" borderId="289" xfId="0" applyNumberFormat="1" applyFont="1" applyFill="1" applyBorder="1" applyAlignment="1" applyProtection="1">
      <alignment horizontal="center" vertical="center"/>
      <protection locked="0"/>
    </xf>
    <xf numFmtId="176" fontId="24" fillId="8" borderId="290" xfId="0" applyNumberFormat="1" applyFont="1" applyFill="1" applyBorder="1" applyAlignment="1" applyProtection="1">
      <alignment horizontal="center" vertical="center"/>
      <protection locked="0"/>
    </xf>
    <xf numFmtId="0" fontId="24" fillId="8" borderId="390" xfId="0" applyFont="1" applyFill="1" applyBorder="1" applyAlignment="1" applyProtection="1">
      <alignment horizontal="center" vertical="center" shrinkToFit="1"/>
      <protection locked="0"/>
    </xf>
    <xf numFmtId="0" fontId="24" fillId="8" borderId="391" xfId="0" applyFont="1" applyFill="1" applyBorder="1" applyAlignment="1" applyProtection="1">
      <alignment horizontal="center" vertical="center" shrinkToFit="1"/>
      <protection locked="0"/>
    </xf>
    <xf numFmtId="0" fontId="24" fillId="8" borderId="392" xfId="0" applyFont="1" applyFill="1" applyBorder="1" applyAlignment="1" applyProtection="1">
      <alignment horizontal="center" vertical="center" shrinkToFit="1"/>
      <protection locked="0"/>
    </xf>
    <xf numFmtId="0" fontId="88" fillId="8" borderId="163" xfId="0" applyFont="1" applyFill="1" applyBorder="1" applyAlignment="1">
      <alignment horizontal="left" vertical="center"/>
    </xf>
    <xf numFmtId="0" fontId="88" fillId="8" borderId="164" xfId="0" applyFont="1" applyFill="1" applyBorder="1" applyAlignment="1">
      <alignment horizontal="left" vertical="center"/>
    </xf>
    <xf numFmtId="0" fontId="88" fillId="8" borderId="387" xfId="0" applyFont="1" applyFill="1" applyBorder="1" applyAlignment="1">
      <alignment horizontal="left" vertical="center"/>
    </xf>
    <xf numFmtId="0" fontId="88" fillId="8" borderId="12" xfId="0" applyFont="1" applyFill="1" applyBorder="1" applyAlignment="1">
      <alignment horizontal="left" vertical="center"/>
    </xf>
    <xf numFmtId="0" fontId="88" fillId="8" borderId="9" xfId="0" applyFont="1" applyFill="1" applyBorder="1" applyAlignment="1">
      <alignment horizontal="left" vertical="center"/>
    </xf>
    <xf numFmtId="0" fontId="88" fillId="8" borderId="298" xfId="0" applyFont="1" applyFill="1" applyBorder="1" applyAlignment="1">
      <alignment horizontal="left" vertical="center"/>
    </xf>
    <xf numFmtId="0" fontId="88" fillId="8" borderId="17" xfId="0" applyFont="1" applyFill="1" applyBorder="1" applyAlignment="1">
      <alignment horizontal="left" vertical="center"/>
    </xf>
    <xf numFmtId="0" fontId="88" fillId="8" borderId="1" xfId="0" applyFont="1" applyFill="1" applyBorder="1" applyAlignment="1">
      <alignment horizontal="left" vertical="center"/>
    </xf>
    <xf numFmtId="0" fontId="88" fillId="8" borderId="304" xfId="0" applyFont="1" applyFill="1" applyBorder="1" applyAlignment="1">
      <alignment horizontal="left" vertical="center"/>
    </xf>
    <xf numFmtId="182" fontId="24" fillId="8" borderId="164" xfId="0" applyNumberFormat="1" applyFont="1" applyFill="1" applyBorder="1" applyAlignment="1" applyProtection="1">
      <alignment horizontal="right" vertical="center"/>
      <protection locked="0"/>
    </xf>
    <xf numFmtId="182" fontId="24" fillId="8" borderId="0" xfId="0" applyNumberFormat="1" applyFont="1" applyFill="1" applyAlignment="1" applyProtection="1">
      <alignment horizontal="right" vertical="center"/>
      <protection locked="0"/>
    </xf>
    <xf numFmtId="182" fontId="24" fillId="8" borderId="289" xfId="0" applyNumberFormat="1" applyFont="1" applyFill="1" applyBorder="1" applyAlignment="1" applyProtection="1">
      <alignment horizontal="right" vertical="center"/>
      <protection locked="0"/>
    </xf>
    <xf numFmtId="182" fontId="24" fillId="8" borderId="164" xfId="0" applyNumberFormat="1" applyFont="1" applyFill="1" applyBorder="1" applyAlignment="1" applyProtection="1">
      <alignment horizontal="center" vertical="center"/>
      <protection hidden="1"/>
    </xf>
    <xf numFmtId="182" fontId="24" fillId="8" borderId="0" xfId="0" applyNumberFormat="1" applyFont="1" applyFill="1" applyAlignment="1" applyProtection="1">
      <alignment horizontal="center" vertical="center"/>
      <protection hidden="1"/>
    </xf>
    <xf numFmtId="182" fontId="24" fillId="8" borderId="289" xfId="0" applyNumberFormat="1" applyFont="1" applyFill="1" applyBorder="1" applyAlignment="1" applyProtection="1">
      <alignment horizontal="center" vertical="center"/>
      <protection hidden="1"/>
    </xf>
    <xf numFmtId="182" fontId="24" fillId="8" borderId="164" xfId="0" applyNumberFormat="1" applyFont="1" applyFill="1" applyBorder="1" applyAlignment="1">
      <alignment horizontal="right" vertical="center"/>
    </xf>
    <xf numFmtId="182" fontId="24" fillId="8" borderId="0" xfId="0" applyNumberFormat="1" applyFont="1" applyFill="1" applyAlignment="1">
      <alignment horizontal="right" vertical="center"/>
    </xf>
    <xf numFmtId="182" fontId="24" fillId="8" borderId="289" xfId="0" applyNumberFormat="1" applyFont="1" applyFill="1" applyBorder="1" applyAlignment="1">
      <alignment horizontal="right" vertical="center"/>
    </xf>
    <xf numFmtId="0" fontId="24" fillId="8" borderId="164" xfId="0" applyFont="1" applyFill="1" applyBorder="1" applyAlignment="1" applyProtection="1">
      <alignment horizontal="center" vertical="center"/>
      <protection hidden="1"/>
    </xf>
    <xf numFmtId="0" fontId="24" fillId="8" borderId="165" xfId="0" applyFont="1" applyFill="1" applyBorder="1" applyAlignment="1" applyProtection="1">
      <alignment horizontal="center" vertical="center"/>
      <protection hidden="1"/>
    </xf>
    <xf numFmtId="0" fontId="24" fillId="8" borderId="0" xfId="0" applyFont="1" applyFill="1" applyAlignment="1" applyProtection="1">
      <alignment horizontal="center" vertical="center"/>
      <protection hidden="1"/>
    </xf>
    <xf numFmtId="0" fontId="24" fillId="8" borderId="3" xfId="0" applyFont="1" applyFill="1" applyBorder="1" applyAlignment="1" applyProtection="1">
      <alignment horizontal="center" vertical="center"/>
      <protection hidden="1"/>
    </xf>
    <xf numFmtId="0" fontId="24" fillId="8" borderId="289" xfId="0" applyFont="1" applyFill="1" applyBorder="1" applyAlignment="1" applyProtection="1">
      <alignment horizontal="center" vertical="center"/>
      <protection hidden="1"/>
    </xf>
    <xf numFmtId="0" fontId="24" fillId="8" borderId="290" xfId="0" applyFont="1" applyFill="1" applyBorder="1" applyAlignment="1" applyProtection="1">
      <alignment horizontal="center" vertical="center"/>
      <protection hidden="1"/>
    </xf>
    <xf numFmtId="0" fontId="88" fillId="8" borderId="294" xfId="0" applyFont="1" applyFill="1" applyBorder="1" applyAlignment="1">
      <alignment horizontal="left" vertical="center"/>
    </xf>
    <xf numFmtId="0" fontId="88" fillId="8" borderId="289" xfId="0" applyFont="1" applyFill="1" applyBorder="1" applyAlignment="1">
      <alignment horizontal="left" vertical="center"/>
    </xf>
    <xf numFmtId="0" fontId="88" fillId="8" borderId="295" xfId="0" applyFont="1" applyFill="1" applyBorder="1" applyAlignment="1">
      <alignment horizontal="left" vertical="center"/>
    </xf>
    <xf numFmtId="180" fontId="24" fillId="8" borderId="163" xfId="0" applyNumberFormat="1" applyFont="1" applyFill="1" applyBorder="1" applyAlignment="1" applyProtection="1">
      <alignment horizontal="right" vertical="center"/>
      <protection hidden="1"/>
    </xf>
    <xf numFmtId="180" fontId="24" fillId="8" borderId="164" xfId="0" applyNumberFormat="1" applyFont="1" applyFill="1" applyBorder="1" applyAlignment="1" applyProtection="1">
      <alignment horizontal="right" vertical="center"/>
      <protection hidden="1"/>
    </xf>
    <xf numFmtId="180" fontId="24" fillId="8" borderId="16" xfId="0" applyNumberFormat="1" applyFont="1" applyFill="1" applyBorder="1" applyAlignment="1" applyProtection="1">
      <alignment horizontal="right" vertical="center"/>
      <protection hidden="1"/>
    </xf>
    <xf numFmtId="180" fontId="24" fillId="8" borderId="0" xfId="0" applyNumberFormat="1" applyFont="1" applyFill="1" applyAlignment="1" applyProtection="1">
      <alignment horizontal="right" vertical="center"/>
      <protection hidden="1"/>
    </xf>
    <xf numFmtId="180" fontId="24" fillId="8" borderId="294" xfId="0" applyNumberFormat="1" applyFont="1" applyFill="1" applyBorder="1" applyAlignment="1" applyProtection="1">
      <alignment horizontal="right" vertical="center"/>
      <protection hidden="1"/>
    </xf>
    <xf numFmtId="180" fontId="24" fillId="8" borderId="289" xfId="0" applyNumberFormat="1" applyFont="1" applyFill="1" applyBorder="1" applyAlignment="1" applyProtection="1">
      <alignment horizontal="right" vertical="center"/>
      <protection hidden="1"/>
    </xf>
    <xf numFmtId="182" fontId="24" fillId="8" borderId="164" xfId="0" applyNumberFormat="1" applyFont="1" applyFill="1" applyBorder="1" applyAlignment="1" applyProtection="1">
      <alignment horizontal="left" vertical="center"/>
      <protection locked="0"/>
    </xf>
    <xf numFmtId="182" fontId="24" fillId="8" borderId="0" xfId="0" applyNumberFormat="1" applyFont="1" applyFill="1" applyAlignment="1" applyProtection="1">
      <alignment horizontal="left" vertical="center"/>
      <protection locked="0"/>
    </xf>
    <xf numFmtId="182" fontId="24" fillId="8" borderId="289" xfId="0" applyNumberFormat="1" applyFont="1" applyFill="1" applyBorder="1" applyAlignment="1" applyProtection="1">
      <alignment horizontal="left" vertical="center"/>
      <protection locked="0"/>
    </xf>
    <xf numFmtId="0" fontId="24" fillId="8" borderId="163" xfId="0" applyFont="1" applyFill="1" applyBorder="1" applyAlignment="1" applyProtection="1">
      <alignment horizontal="center" vertical="center"/>
      <protection hidden="1"/>
    </xf>
    <xf numFmtId="0" fontId="24" fillId="8" borderId="12" xfId="0" applyFont="1" applyFill="1" applyBorder="1" applyAlignment="1" applyProtection="1">
      <alignment horizontal="center" vertical="center"/>
      <protection hidden="1"/>
    </xf>
    <xf numFmtId="0" fontId="24" fillId="8" borderId="9" xfId="0" applyFont="1" applyFill="1" applyBorder="1" applyAlignment="1" applyProtection="1">
      <alignment horizontal="center" vertical="center"/>
      <protection hidden="1"/>
    </xf>
    <xf numFmtId="0" fontId="24" fillId="8" borderId="10" xfId="0" applyFont="1" applyFill="1" applyBorder="1" applyAlignment="1" applyProtection="1">
      <alignment horizontal="center" vertical="center"/>
      <protection hidden="1"/>
    </xf>
    <xf numFmtId="176" fontId="24" fillId="8" borderId="169" xfId="0" applyNumberFormat="1" applyFont="1" applyFill="1" applyBorder="1" applyAlignment="1" applyProtection="1">
      <alignment horizontal="center" vertical="center"/>
      <protection locked="0"/>
    </xf>
    <xf numFmtId="176" fontId="24" fillId="8" borderId="170" xfId="0" applyNumberFormat="1" applyFont="1" applyFill="1" applyBorder="1" applyAlignment="1" applyProtection="1">
      <alignment horizontal="center" vertical="center"/>
      <protection locked="0"/>
    </xf>
    <xf numFmtId="176" fontId="24" fillId="8" borderId="176" xfId="0" applyNumberFormat="1" applyFont="1" applyFill="1" applyBorder="1" applyAlignment="1" applyProtection="1">
      <alignment horizontal="center" vertical="center"/>
      <protection locked="0"/>
    </xf>
    <xf numFmtId="176" fontId="24" fillId="8" borderId="149" xfId="0" applyNumberFormat="1" applyFont="1" applyFill="1" applyBorder="1" applyAlignment="1" applyProtection="1">
      <alignment horizontal="center" vertical="center"/>
      <protection locked="0"/>
    </xf>
    <xf numFmtId="176" fontId="24" fillId="8" borderId="157" xfId="0" applyNumberFormat="1" applyFont="1" applyFill="1" applyBorder="1" applyAlignment="1" applyProtection="1">
      <alignment horizontal="center" vertical="center"/>
      <protection locked="0"/>
    </xf>
    <xf numFmtId="176" fontId="24" fillId="8" borderId="179" xfId="0" applyNumberFormat="1" applyFont="1" applyFill="1" applyBorder="1" applyAlignment="1" applyProtection="1">
      <alignment horizontal="center" vertical="center"/>
      <protection locked="0"/>
    </xf>
    <xf numFmtId="20" fontId="67" fillId="8" borderId="177" xfId="0" applyNumberFormat="1" applyFont="1" applyFill="1" applyBorder="1" applyAlignment="1" applyProtection="1">
      <alignment horizontal="center" vertical="center"/>
      <protection hidden="1"/>
    </xf>
    <xf numFmtId="20" fontId="67" fillId="8" borderId="164" xfId="0" applyNumberFormat="1" applyFont="1" applyFill="1" applyBorder="1" applyAlignment="1" applyProtection="1">
      <alignment horizontal="center" vertical="center"/>
      <protection hidden="1"/>
    </xf>
    <xf numFmtId="20" fontId="67" fillId="8" borderId="36" xfId="0" applyNumberFormat="1" applyFont="1" applyFill="1" applyBorder="1" applyAlignment="1" applyProtection="1">
      <alignment horizontal="center" vertical="center"/>
      <protection hidden="1"/>
    </xf>
    <xf numFmtId="20" fontId="67" fillId="8" borderId="9" xfId="0" applyNumberFormat="1" applyFont="1" applyFill="1" applyBorder="1" applyAlignment="1" applyProtection="1">
      <alignment horizontal="center" vertical="center"/>
      <protection hidden="1"/>
    </xf>
    <xf numFmtId="181" fontId="67" fillId="8" borderId="164" xfId="0" applyNumberFormat="1" applyFont="1" applyFill="1" applyBorder="1" applyAlignment="1" applyProtection="1">
      <alignment horizontal="center" vertical="center"/>
      <protection locked="0"/>
    </xf>
    <xf numFmtId="181" fontId="67" fillId="8" borderId="178" xfId="0" applyNumberFormat="1" applyFont="1" applyFill="1" applyBorder="1" applyAlignment="1" applyProtection="1">
      <alignment horizontal="center" vertical="center"/>
      <protection locked="0"/>
    </xf>
    <xf numFmtId="181" fontId="67" fillId="8" borderId="9" xfId="0" applyNumberFormat="1" applyFont="1" applyFill="1" applyBorder="1" applyAlignment="1" applyProtection="1">
      <alignment horizontal="center" vertical="center"/>
      <protection locked="0"/>
    </xf>
    <xf numFmtId="181" fontId="67" fillId="8" borderId="33" xfId="0" applyNumberFormat="1" applyFont="1" applyFill="1" applyBorder="1" applyAlignment="1" applyProtection="1">
      <alignment horizontal="center" vertical="center"/>
      <protection locked="0"/>
    </xf>
    <xf numFmtId="49" fontId="60" fillId="8" borderId="177" xfId="0" applyNumberFormat="1" applyFont="1" applyFill="1" applyBorder="1" applyAlignment="1" applyProtection="1">
      <alignment horizontal="center" vertical="center"/>
      <protection locked="0"/>
    </xf>
    <xf numFmtId="49" fontId="60" fillId="8" borderId="164" xfId="0" applyNumberFormat="1" applyFont="1" applyFill="1" applyBorder="1" applyAlignment="1" applyProtection="1">
      <alignment horizontal="center" vertical="center"/>
      <protection locked="0"/>
    </xf>
    <xf numFmtId="49" fontId="60" fillId="8" borderId="178" xfId="0" applyNumberFormat="1" applyFont="1" applyFill="1" applyBorder="1" applyAlignment="1" applyProtection="1">
      <alignment horizontal="center" vertical="center"/>
      <protection locked="0"/>
    </xf>
    <xf numFmtId="49" fontId="60" fillId="8" borderId="36" xfId="0" applyNumberFormat="1" applyFont="1" applyFill="1" applyBorder="1" applyAlignment="1" applyProtection="1">
      <alignment horizontal="center" vertical="center"/>
      <protection locked="0"/>
    </xf>
    <xf numFmtId="49" fontId="60" fillId="8" borderId="9" xfId="0" applyNumberFormat="1" applyFont="1" applyFill="1" applyBorder="1" applyAlignment="1" applyProtection="1">
      <alignment horizontal="center" vertical="center"/>
      <protection locked="0"/>
    </xf>
    <xf numFmtId="49" fontId="60" fillId="8" borderId="33" xfId="0" applyNumberFormat="1" applyFont="1" applyFill="1" applyBorder="1" applyAlignment="1" applyProtection="1">
      <alignment horizontal="center" vertical="center"/>
      <protection locked="0"/>
    </xf>
    <xf numFmtId="49" fontId="60" fillId="8" borderId="177" xfId="0" applyNumberFormat="1" applyFont="1" applyFill="1" applyBorder="1" applyAlignment="1" applyProtection="1">
      <alignment horizontal="left" vertical="center"/>
      <protection locked="0"/>
    </xf>
    <xf numFmtId="49" fontId="60" fillId="8" borderId="164" xfId="0" applyNumberFormat="1" applyFont="1" applyFill="1" applyBorder="1" applyAlignment="1" applyProtection="1">
      <alignment horizontal="left" vertical="center"/>
      <protection locked="0"/>
    </xf>
    <xf numFmtId="49" fontId="60" fillId="8" borderId="178" xfId="0" applyNumberFormat="1" applyFont="1" applyFill="1" applyBorder="1" applyAlignment="1" applyProtection="1">
      <alignment horizontal="left" vertical="center"/>
      <protection locked="0"/>
    </xf>
    <xf numFmtId="49" fontId="60" fillId="8" borderId="36" xfId="0" applyNumberFormat="1" applyFont="1" applyFill="1" applyBorder="1" applyAlignment="1" applyProtection="1">
      <alignment horizontal="left" vertical="center"/>
      <protection locked="0"/>
    </xf>
    <xf numFmtId="49" fontId="60" fillId="8" borderId="9" xfId="0" applyNumberFormat="1" applyFont="1" applyFill="1" applyBorder="1" applyAlignment="1" applyProtection="1">
      <alignment horizontal="left" vertical="center"/>
      <protection locked="0"/>
    </xf>
    <xf numFmtId="49" fontId="60" fillId="8" borderId="33" xfId="0" applyNumberFormat="1" applyFont="1" applyFill="1" applyBorder="1" applyAlignment="1" applyProtection="1">
      <alignment horizontal="left" vertical="center"/>
      <protection locked="0"/>
    </xf>
    <xf numFmtId="0" fontId="20" fillId="0" borderId="232" xfId="0" applyFont="1" applyBorder="1" applyAlignment="1" applyProtection="1">
      <alignment horizontal="center" vertical="center"/>
      <protection locked="0"/>
    </xf>
    <xf numFmtId="0" fontId="20" fillId="0" borderId="170" xfId="0" applyFont="1" applyBorder="1" applyAlignment="1" applyProtection="1">
      <alignment horizontal="center" vertical="center"/>
      <protection locked="0"/>
    </xf>
    <xf numFmtId="0" fontId="20" fillId="0" borderId="176" xfId="0" applyFont="1" applyBorder="1" applyAlignment="1" applyProtection="1">
      <alignment horizontal="center" vertical="center"/>
      <protection locked="0"/>
    </xf>
    <xf numFmtId="0" fontId="20" fillId="0" borderId="233" xfId="0" applyFont="1" applyBorder="1" applyAlignment="1" applyProtection="1">
      <alignment horizontal="center" vertical="center"/>
      <protection locked="0"/>
    </xf>
    <xf numFmtId="0" fontId="20" fillId="0" borderId="157" xfId="0" applyFont="1" applyBorder="1" applyAlignment="1" applyProtection="1">
      <alignment horizontal="center" vertical="center"/>
      <protection locked="0"/>
    </xf>
    <xf numFmtId="0" fontId="20" fillId="0" borderId="179" xfId="0" applyFont="1" applyBorder="1" applyAlignment="1" applyProtection="1">
      <alignment horizontal="center" vertical="center"/>
      <protection locked="0"/>
    </xf>
    <xf numFmtId="0" fontId="27" fillId="4" borderId="31" xfId="0" applyFont="1" applyFill="1" applyBorder="1" applyAlignment="1" applyProtection="1">
      <alignment horizontal="center" vertical="center"/>
      <protection hidden="1"/>
    </xf>
    <xf numFmtId="0" fontId="27" fillId="4" borderId="6" xfId="0" applyFont="1" applyFill="1" applyBorder="1" applyAlignment="1" applyProtection="1">
      <alignment horizontal="center" vertical="center"/>
      <protection hidden="1"/>
    </xf>
    <xf numFmtId="0" fontId="27" fillId="4" borderId="172" xfId="0" applyFont="1" applyFill="1" applyBorder="1" applyAlignment="1" applyProtection="1">
      <alignment horizontal="center" vertical="center"/>
      <protection hidden="1"/>
    </xf>
    <xf numFmtId="0" fontId="27" fillId="4" borderId="33" xfId="0" applyFont="1" applyFill="1" applyBorder="1" applyAlignment="1" applyProtection="1">
      <alignment horizontal="center" vertical="center"/>
      <protection hidden="1"/>
    </xf>
    <xf numFmtId="0" fontId="27" fillId="4" borderId="34" xfId="0" applyFont="1" applyFill="1" applyBorder="1" applyAlignment="1" applyProtection="1">
      <alignment horizontal="center" vertical="center"/>
      <protection hidden="1"/>
    </xf>
    <xf numFmtId="0" fontId="27" fillId="4" borderId="36" xfId="0" applyFont="1" applyFill="1" applyBorder="1" applyAlignment="1" applyProtection="1">
      <alignment horizontal="center" vertical="center"/>
      <protection hidden="1"/>
    </xf>
    <xf numFmtId="49" fontId="60" fillId="2" borderId="38" xfId="0" applyNumberFormat="1" applyFont="1" applyFill="1" applyBorder="1" applyAlignment="1" applyProtection="1">
      <alignment horizontal="center" vertical="center"/>
      <protection hidden="1"/>
    </xf>
    <xf numFmtId="49" fontId="60" fillId="2" borderId="1" xfId="0" applyNumberFormat="1" applyFont="1" applyFill="1" applyBorder="1" applyAlignment="1" applyProtection="1">
      <alignment horizontal="center" vertical="center"/>
      <protection hidden="1"/>
    </xf>
    <xf numFmtId="49" fontId="60" fillId="2" borderId="37" xfId="0" applyNumberFormat="1" applyFont="1" applyFill="1" applyBorder="1" applyAlignment="1" applyProtection="1">
      <alignment horizontal="center" vertical="center"/>
      <protection hidden="1"/>
    </xf>
    <xf numFmtId="49" fontId="60" fillId="2" borderId="175" xfId="0" applyNumberFormat="1" applyFont="1" applyFill="1" applyBorder="1" applyAlignment="1" applyProtection="1">
      <alignment horizontal="center" vertical="center"/>
      <protection hidden="1"/>
    </xf>
    <xf numFmtId="49" fontId="60" fillId="2" borderId="161" xfId="0" applyNumberFormat="1" applyFont="1" applyFill="1" applyBorder="1" applyAlignment="1" applyProtection="1">
      <alignment horizontal="center" vertical="center"/>
      <protection hidden="1"/>
    </xf>
    <xf numFmtId="49" fontId="60" fillId="2" borderId="174" xfId="0" applyNumberFormat="1" applyFont="1" applyFill="1" applyBorder="1" applyAlignment="1" applyProtection="1">
      <alignment horizontal="center" vertical="center"/>
      <protection hidden="1"/>
    </xf>
    <xf numFmtId="0" fontId="20" fillId="0" borderId="395" xfId="0" applyFont="1" applyBorder="1" applyAlignment="1" applyProtection="1">
      <alignment horizontal="center" vertical="center"/>
      <protection locked="0"/>
    </xf>
    <xf numFmtId="0" fontId="20" fillId="0" borderId="391" xfId="0" applyFont="1" applyBorder="1" applyAlignment="1" applyProtection="1">
      <alignment horizontal="center" vertical="center"/>
      <protection locked="0"/>
    </xf>
    <xf numFmtId="0" fontId="20" fillId="0" borderId="394" xfId="0" applyFont="1" applyBorder="1" applyAlignment="1" applyProtection="1">
      <alignment horizontal="center" vertical="center"/>
      <protection locked="0"/>
    </xf>
    <xf numFmtId="49" fontId="60" fillId="8" borderId="38" xfId="0" applyNumberFormat="1" applyFont="1" applyFill="1" applyBorder="1" applyAlignment="1" applyProtection="1">
      <alignment horizontal="left" vertical="center"/>
      <protection locked="0"/>
    </xf>
    <xf numFmtId="49" fontId="60" fillId="8" borderId="1" xfId="0" applyNumberFormat="1" applyFont="1" applyFill="1" applyBorder="1" applyAlignment="1" applyProtection="1">
      <alignment horizontal="left" vertical="center"/>
      <protection locked="0"/>
    </xf>
    <xf numFmtId="49" fontId="60" fillId="8" borderId="37" xfId="0" applyNumberFormat="1" applyFont="1" applyFill="1" applyBorder="1" applyAlignment="1" applyProtection="1">
      <alignment horizontal="left" vertical="center"/>
      <protection locked="0"/>
    </xf>
    <xf numFmtId="20" fontId="67" fillId="8" borderId="38" xfId="0" applyNumberFormat="1" applyFont="1" applyFill="1" applyBorder="1" applyAlignment="1" applyProtection="1">
      <alignment horizontal="center" vertical="center"/>
      <protection hidden="1"/>
    </xf>
    <xf numFmtId="20" fontId="67" fillId="8" borderId="1" xfId="0" applyNumberFormat="1" applyFont="1" applyFill="1" applyBorder="1" applyAlignment="1" applyProtection="1">
      <alignment horizontal="center" vertical="center"/>
      <protection hidden="1"/>
    </xf>
    <xf numFmtId="181" fontId="67" fillId="8" borderId="1" xfId="0" applyNumberFormat="1" applyFont="1" applyFill="1" applyBorder="1" applyAlignment="1" applyProtection="1">
      <alignment horizontal="center" vertical="center"/>
      <protection locked="0"/>
    </xf>
    <xf numFmtId="181" fontId="67" fillId="8" borderId="37" xfId="0" applyNumberFormat="1" applyFont="1" applyFill="1" applyBorder="1" applyAlignment="1" applyProtection="1">
      <alignment horizontal="center" vertical="center"/>
      <protection locked="0"/>
    </xf>
    <xf numFmtId="49" fontId="60" fillId="8" borderId="35" xfId="0" applyNumberFormat="1" applyFont="1" applyFill="1" applyBorder="1" applyAlignment="1" applyProtection="1">
      <alignment horizontal="center" vertical="center"/>
      <protection locked="0"/>
    </xf>
    <xf numFmtId="49" fontId="60" fillId="8" borderId="0" xfId="0" applyNumberFormat="1" applyFont="1" applyFill="1" applyAlignment="1" applyProtection="1">
      <alignment horizontal="center" vertical="center"/>
      <protection locked="0"/>
    </xf>
    <xf numFmtId="49" fontId="60" fillId="8" borderId="32" xfId="0" applyNumberFormat="1" applyFont="1" applyFill="1" applyBorder="1" applyAlignment="1" applyProtection="1">
      <alignment horizontal="center" vertical="center"/>
      <protection locked="0"/>
    </xf>
    <xf numFmtId="49" fontId="60" fillId="8" borderId="396" xfId="0" applyNumberFormat="1" applyFont="1" applyFill="1" applyBorder="1" applyAlignment="1" applyProtection="1">
      <alignment horizontal="center" vertical="center"/>
      <protection locked="0"/>
    </xf>
    <xf numFmtId="49" fontId="60" fillId="8" borderId="289" xfId="0" applyNumberFormat="1" applyFont="1" applyFill="1" applyBorder="1" applyAlignment="1" applyProtection="1">
      <alignment horizontal="center" vertical="center"/>
      <protection locked="0"/>
    </xf>
    <xf numFmtId="49" fontId="60" fillId="8" borderId="349" xfId="0" applyNumberFormat="1" applyFont="1" applyFill="1" applyBorder="1" applyAlignment="1" applyProtection="1">
      <alignment horizontal="center" vertical="center"/>
      <protection locked="0"/>
    </xf>
    <xf numFmtId="49" fontId="60" fillId="8" borderId="35" xfId="0" applyNumberFormat="1" applyFont="1" applyFill="1" applyBorder="1" applyAlignment="1" applyProtection="1">
      <alignment horizontal="left" vertical="center"/>
      <protection locked="0"/>
    </xf>
    <xf numFmtId="49" fontId="60" fillId="8" borderId="0" xfId="0" applyNumberFormat="1" applyFont="1" applyFill="1" applyAlignment="1" applyProtection="1">
      <alignment horizontal="left" vertical="center"/>
      <protection locked="0"/>
    </xf>
    <xf numFmtId="49" fontId="60" fillId="8" borderId="32" xfId="0" applyNumberFormat="1" applyFont="1" applyFill="1" applyBorder="1" applyAlignment="1" applyProtection="1">
      <alignment horizontal="left" vertical="center"/>
      <protection locked="0"/>
    </xf>
    <xf numFmtId="49" fontId="60" fillId="8" borderId="396" xfId="0" applyNumberFormat="1" applyFont="1" applyFill="1" applyBorder="1" applyAlignment="1" applyProtection="1">
      <alignment horizontal="left" vertical="center"/>
      <protection locked="0"/>
    </xf>
    <xf numFmtId="49" fontId="60" fillId="8" borderId="289" xfId="0" applyNumberFormat="1" applyFont="1" applyFill="1" applyBorder="1" applyAlignment="1" applyProtection="1">
      <alignment horizontal="left" vertical="center"/>
      <protection locked="0"/>
    </xf>
    <xf numFmtId="49" fontId="60" fillId="8" borderId="349" xfId="0" applyNumberFormat="1" applyFont="1" applyFill="1" applyBorder="1" applyAlignment="1" applyProtection="1">
      <alignment horizontal="left" vertical="center"/>
      <protection locked="0"/>
    </xf>
    <xf numFmtId="176" fontId="24" fillId="8" borderId="12" xfId="0" applyNumberFormat="1" applyFont="1" applyFill="1" applyBorder="1" applyAlignment="1" applyProtection="1">
      <alignment horizontal="center" vertical="center"/>
      <protection locked="0"/>
    </xf>
    <xf numFmtId="176" fontId="24" fillId="8" borderId="9" xfId="0" applyNumberFormat="1" applyFont="1" applyFill="1" applyBorder="1" applyAlignment="1" applyProtection="1">
      <alignment horizontal="center" vertical="center"/>
      <protection locked="0"/>
    </xf>
    <xf numFmtId="176" fontId="24" fillId="8" borderId="33" xfId="0" applyNumberFormat="1" applyFont="1" applyFill="1" applyBorder="1" applyAlignment="1" applyProtection="1">
      <alignment horizontal="center" vertical="center"/>
      <protection locked="0"/>
    </xf>
    <xf numFmtId="176" fontId="24" fillId="8" borderId="390" xfId="0" applyNumberFormat="1" applyFont="1" applyFill="1" applyBorder="1" applyAlignment="1" applyProtection="1">
      <alignment horizontal="center" vertical="center"/>
      <protection locked="0"/>
    </xf>
    <xf numFmtId="176" fontId="24" fillId="8" borderId="391" xfId="0" applyNumberFormat="1" applyFont="1" applyFill="1" applyBorder="1" applyAlignment="1" applyProtection="1">
      <alignment horizontal="center" vertical="center"/>
      <protection locked="0"/>
    </xf>
    <xf numFmtId="176" fontId="24" fillId="8" borderId="394" xfId="0" applyNumberFormat="1" applyFont="1" applyFill="1" applyBorder="1" applyAlignment="1" applyProtection="1">
      <alignment horizontal="center" vertical="center"/>
      <protection locked="0"/>
    </xf>
    <xf numFmtId="20" fontId="67" fillId="8" borderId="396" xfId="0" applyNumberFormat="1" applyFont="1" applyFill="1" applyBorder="1" applyAlignment="1" applyProtection="1">
      <alignment horizontal="center" vertical="center"/>
      <protection hidden="1"/>
    </xf>
    <xf numFmtId="20" fontId="67" fillId="8" borderId="289" xfId="0" applyNumberFormat="1" applyFont="1" applyFill="1" applyBorder="1" applyAlignment="1" applyProtection="1">
      <alignment horizontal="center" vertical="center"/>
      <protection hidden="1"/>
    </xf>
    <xf numFmtId="181" fontId="67" fillId="8" borderId="0" xfId="0" applyNumberFormat="1" applyFont="1" applyFill="1" applyAlignment="1" applyProtection="1">
      <alignment horizontal="center" vertical="center"/>
      <protection locked="0"/>
    </xf>
    <xf numFmtId="181" fontId="67" fillId="8" borderId="32" xfId="0" applyNumberFormat="1" applyFont="1" applyFill="1" applyBorder="1" applyAlignment="1" applyProtection="1">
      <alignment horizontal="center" vertical="center"/>
      <protection locked="0"/>
    </xf>
    <xf numFmtId="181" fontId="67" fillId="8" borderId="289" xfId="0" applyNumberFormat="1" applyFont="1" applyFill="1" applyBorder="1" applyAlignment="1" applyProtection="1">
      <alignment horizontal="center" vertical="center"/>
      <protection locked="0"/>
    </xf>
    <xf numFmtId="181" fontId="67" fillId="8" borderId="349" xfId="0" applyNumberFormat="1" applyFont="1" applyFill="1" applyBorder="1" applyAlignment="1" applyProtection="1">
      <alignment horizontal="center" vertical="center"/>
      <protection locked="0"/>
    </xf>
    <xf numFmtId="49" fontId="60" fillId="8" borderId="38" xfId="0" applyNumberFormat="1" applyFont="1" applyFill="1" applyBorder="1" applyAlignment="1" applyProtection="1">
      <alignment horizontal="center" vertical="center"/>
      <protection locked="0"/>
    </xf>
    <xf numFmtId="49" fontId="60" fillId="8" borderId="1" xfId="0" applyNumberFormat="1" applyFont="1" applyFill="1" applyBorder="1" applyAlignment="1" applyProtection="1">
      <alignment horizontal="center" vertical="center"/>
      <protection locked="0"/>
    </xf>
    <xf numFmtId="49" fontId="60" fillId="8" borderId="37" xfId="0" applyNumberFormat="1" applyFont="1" applyFill="1" applyBorder="1" applyAlignment="1" applyProtection="1">
      <alignment horizontal="center" vertical="center"/>
      <protection locked="0"/>
    </xf>
    <xf numFmtId="0" fontId="89" fillId="4" borderId="281" xfId="0" quotePrefix="1" applyFont="1" applyFill="1" applyBorder="1" applyAlignment="1" applyProtection="1">
      <alignment horizontal="left"/>
      <protection hidden="1"/>
    </xf>
    <xf numFmtId="0" fontId="89" fillId="4" borderId="14" xfId="0" quotePrefix="1" applyFont="1" applyFill="1" applyBorder="1" applyAlignment="1" applyProtection="1">
      <alignment horizontal="left"/>
      <protection hidden="1"/>
    </xf>
    <xf numFmtId="0" fontId="20" fillId="2" borderId="17" xfId="0" applyFont="1" applyFill="1" applyBorder="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20" fillId="2" borderId="304" xfId="0" applyFont="1" applyFill="1" applyBorder="1" applyAlignment="1" applyProtection="1">
      <alignment horizontal="center" vertical="center"/>
      <protection hidden="1"/>
    </xf>
    <xf numFmtId="0" fontId="20" fillId="2" borderId="160" xfId="0" applyFont="1" applyFill="1" applyBorder="1" applyAlignment="1" applyProtection="1">
      <alignment horizontal="center" vertical="center"/>
      <protection hidden="1"/>
    </xf>
    <xf numFmtId="0" fontId="20" fillId="2" borderId="161" xfId="0" applyFont="1" applyFill="1" applyBorder="1" applyAlignment="1" applyProtection="1">
      <alignment horizontal="center" vertical="center"/>
      <protection hidden="1"/>
    </xf>
    <xf numFmtId="0" fontId="20" fillId="2" borderId="386" xfId="0" applyFont="1" applyFill="1" applyBorder="1" applyAlignment="1" applyProtection="1">
      <alignment horizontal="center" vertical="center"/>
      <protection hidden="1"/>
    </xf>
    <xf numFmtId="0" fontId="24" fillId="2" borderId="149" xfId="0" applyFont="1" applyFill="1" applyBorder="1" applyAlignment="1" applyProtection="1">
      <alignment horizontal="center" vertical="center"/>
      <protection hidden="1"/>
    </xf>
    <xf numFmtId="0" fontId="24" fillId="2" borderId="157" xfId="0" applyFont="1" applyFill="1" applyBorder="1" applyAlignment="1" applyProtection="1">
      <alignment horizontal="center" vertical="center"/>
      <protection hidden="1"/>
    </xf>
    <xf numFmtId="0" fontId="24" fillId="2" borderId="158" xfId="0" applyFont="1" applyFill="1" applyBorder="1" applyAlignment="1" applyProtection="1">
      <alignment horizontal="center" vertical="center"/>
      <protection hidden="1"/>
    </xf>
    <xf numFmtId="0" fontId="24" fillId="2" borderId="265" xfId="0" applyFont="1" applyFill="1" applyBorder="1" applyAlignment="1" applyProtection="1">
      <alignment horizontal="center" vertical="center"/>
      <protection hidden="1"/>
    </xf>
    <xf numFmtId="0" fontId="24" fillId="2" borderId="266" xfId="0" applyFont="1" applyFill="1" applyBorder="1" applyAlignment="1" applyProtection="1">
      <alignment horizontal="center" vertical="center"/>
      <protection hidden="1"/>
    </xf>
    <xf numFmtId="0" fontId="24" fillId="2" borderId="267" xfId="0" applyFont="1" applyFill="1" applyBorder="1" applyAlignment="1" applyProtection="1">
      <alignment horizontal="center" vertical="center"/>
      <protection hidden="1"/>
    </xf>
    <xf numFmtId="176" fontId="24" fillId="2" borderId="24" xfId="0" applyNumberFormat="1" applyFont="1" applyFill="1" applyBorder="1" applyAlignment="1" applyProtection="1">
      <alignment horizontal="center" vertical="center"/>
      <protection hidden="1"/>
    </xf>
    <xf numFmtId="176" fontId="24" fillId="2" borderId="269" xfId="0" applyNumberFormat="1" applyFont="1" applyFill="1" applyBorder="1" applyAlignment="1" applyProtection="1">
      <alignment horizontal="center" vertical="center"/>
      <protection hidden="1"/>
    </xf>
    <xf numFmtId="0" fontId="108" fillId="15" borderId="332" xfId="1" applyFont="1" applyFill="1" applyBorder="1" applyAlignment="1" applyProtection="1">
      <alignment horizontal="center" vertical="center" wrapText="1"/>
      <protection locked="0" hidden="1"/>
    </xf>
    <xf numFmtId="0" fontId="108" fillId="15" borderId="337" xfId="1" applyFont="1" applyFill="1" applyBorder="1" applyAlignment="1" applyProtection="1">
      <alignment horizontal="center" vertical="center" wrapText="1"/>
      <protection locked="0" hidden="1"/>
    </xf>
    <xf numFmtId="0" fontId="75" fillId="8" borderId="0" xfId="0" applyFont="1" applyFill="1" applyAlignment="1" applyProtection="1">
      <alignment horizontal="right" vertical="center"/>
      <protection hidden="1"/>
    </xf>
    <xf numFmtId="0" fontId="67" fillId="4" borderId="303" xfId="0" applyFont="1" applyFill="1" applyBorder="1" applyAlignment="1" applyProtection="1">
      <alignment horizontal="center" vertical="center"/>
      <protection hidden="1"/>
    </xf>
    <xf numFmtId="0" fontId="67" fillId="4" borderId="2" xfId="0" applyFont="1" applyFill="1" applyBorder="1" applyAlignment="1" applyProtection="1">
      <alignment horizontal="center" vertical="center"/>
      <protection hidden="1"/>
    </xf>
    <xf numFmtId="0" fontId="67" fillId="4" borderId="297" xfId="0" applyFont="1" applyFill="1" applyBorder="1" applyAlignment="1" applyProtection="1">
      <alignment horizontal="center" vertical="center"/>
      <protection hidden="1"/>
    </xf>
    <xf numFmtId="0" fontId="67" fillId="4" borderId="10" xfId="0" applyFont="1" applyFill="1" applyBorder="1" applyAlignment="1" applyProtection="1">
      <alignment horizontal="center" vertical="center"/>
      <protection hidden="1"/>
    </xf>
    <xf numFmtId="0" fontId="24" fillId="21" borderId="504" xfId="0" applyFont="1" applyFill="1" applyBorder="1" applyAlignment="1">
      <alignment horizontal="center" vertical="center"/>
    </xf>
    <xf numFmtId="0" fontId="67" fillId="21" borderId="504" xfId="0" applyFont="1" applyFill="1" applyBorder="1" applyAlignment="1" applyProtection="1">
      <alignment horizontal="center" vertical="center"/>
      <protection locked="0"/>
    </xf>
    <xf numFmtId="0" fontId="69" fillId="4" borderId="338" xfId="0" applyFont="1" applyFill="1" applyBorder="1" applyAlignment="1" applyProtection="1">
      <alignment horizontal="right" vertical="center" wrapText="1"/>
      <protection hidden="1"/>
    </xf>
    <xf numFmtId="0" fontId="69" fillId="4" borderId="339" xfId="0" applyFont="1" applyFill="1" applyBorder="1" applyAlignment="1" applyProtection="1">
      <alignment horizontal="right" vertical="center" wrapText="1"/>
      <protection hidden="1"/>
    </xf>
    <xf numFmtId="0" fontId="119" fillId="4" borderId="339" xfId="1" applyFont="1" applyFill="1" applyBorder="1" applyAlignment="1" applyProtection="1">
      <alignment horizontal="center" vertical="center" wrapText="1"/>
      <protection locked="0" hidden="1"/>
    </xf>
    <xf numFmtId="0" fontId="75" fillId="8" borderId="0" xfId="0" quotePrefix="1" applyFont="1" applyFill="1" applyAlignment="1" applyProtection="1">
      <alignment horizontal="left" vertical="center"/>
      <protection hidden="1"/>
    </xf>
    <xf numFmtId="0" fontId="24" fillId="4" borderId="331" xfId="0" applyFont="1" applyFill="1" applyBorder="1" applyAlignment="1" applyProtection="1">
      <alignment horizontal="center" vertical="center"/>
      <protection hidden="1"/>
    </xf>
    <xf numFmtId="0" fontId="24" fillId="4" borderId="332" xfId="0" applyFont="1" applyFill="1" applyBorder="1" applyAlignment="1" applyProtection="1">
      <alignment horizontal="center" vertical="center"/>
      <protection hidden="1"/>
    </xf>
    <xf numFmtId="0" fontId="35" fillId="15" borderId="339" xfId="0" applyFont="1" applyFill="1" applyBorder="1" applyAlignment="1" applyProtection="1">
      <alignment horizontal="center" vertical="center" wrapText="1"/>
      <protection hidden="1"/>
    </xf>
    <xf numFmtId="0" fontId="35" fillId="15" borderId="344" xfId="0" applyFont="1" applyFill="1" applyBorder="1" applyAlignment="1" applyProtection="1">
      <alignment horizontal="center" vertical="center" wrapText="1"/>
      <protection hidden="1"/>
    </xf>
    <xf numFmtId="0" fontId="37" fillId="30" borderId="335" xfId="0" applyFont="1" applyFill="1" applyBorder="1" applyAlignment="1" applyProtection="1">
      <alignment horizontal="center" vertical="center" wrapText="1"/>
      <protection hidden="1"/>
    </xf>
    <xf numFmtId="0" fontId="37" fillId="30" borderId="332" xfId="0" applyFont="1" applyFill="1" applyBorder="1" applyAlignment="1" applyProtection="1">
      <alignment horizontal="center" vertical="center" wrapText="1"/>
      <protection hidden="1"/>
    </xf>
    <xf numFmtId="0" fontId="37" fillId="30" borderId="342" xfId="0" applyFont="1" applyFill="1" applyBorder="1" applyAlignment="1" applyProtection="1">
      <alignment horizontal="center" vertical="center" wrapText="1"/>
      <protection hidden="1"/>
    </xf>
    <xf numFmtId="0" fontId="37" fillId="30" borderId="339" xfId="0" applyFont="1" applyFill="1" applyBorder="1" applyAlignment="1" applyProtection="1">
      <alignment horizontal="center" vertical="center" wrapText="1"/>
      <protection hidden="1"/>
    </xf>
    <xf numFmtId="0" fontId="18" fillId="8" borderId="488" xfId="1" applyFill="1" applyBorder="1" applyAlignment="1" applyProtection="1">
      <alignment horizontal="center" vertical="center" wrapText="1"/>
      <protection locked="0" hidden="1"/>
    </xf>
    <xf numFmtId="0" fontId="37" fillId="8" borderId="332" xfId="0" applyFont="1" applyFill="1" applyBorder="1" applyAlignment="1" applyProtection="1">
      <alignment horizontal="center" vertical="center" wrapText="1"/>
      <protection locked="0" hidden="1"/>
    </xf>
    <xf numFmtId="0" fontId="37" fillId="8" borderId="492" xfId="0" applyFont="1" applyFill="1" applyBorder="1" applyAlignment="1" applyProtection="1">
      <alignment horizontal="center" vertical="center" wrapText="1"/>
      <protection locked="0" hidden="1"/>
    </xf>
    <xf numFmtId="0" fontId="37" fillId="8" borderId="489" xfId="0" applyFont="1" applyFill="1" applyBorder="1" applyAlignment="1" applyProtection="1">
      <alignment horizontal="center" vertical="center" wrapText="1"/>
      <protection locked="0" hidden="1"/>
    </xf>
    <xf numFmtId="0" fontId="37" fillId="8" borderId="339" xfId="0" applyFont="1" applyFill="1" applyBorder="1" applyAlignment="1" applyProtection="1">
      <alignment horizontal="center" vertical="center" wrapText="1"/>
      <protection locked="0" hidden="1"/>
    </xf>
    <xf numFmtId="0" fontId="37" fillId="8" borderId="493" xfId="0" applyFont="1" applyFill="1" applyBorder="1" applyAlignment="1" applyProtection="1">
      <alignment horizontal="center" vertical="center" wrapText="1"/>
      <protection locked="0" hidden="1"/>
    </xf>
    <xf numFmtId="0" fontId="67" fillId="8" borderId="149" xfId="0" applyFont="1" applyFill="1" applyBorder="1" applyAlignment="1" applyProtection="1">
      <alignment horizontal="center" vertical="center"/>
      <protection locked="0"/>
    </xf>
    <xf numFmtId="0" fontId="67" fillId="8" borderId="157" xfId="0" applyFont="1" applyFill="1" applyBorder="1" applyAlignment="1" applyProtection="1">
      <alignment horizontal="center" vertical="center"/>
      <protection locked="0"/>
    </xf>
    <xf numFmtId="0" fontId="67" fillId="8" borderId="158" xfId="0" applyFont="1" applyFill="1" applyBorder="1" applyAlignment="1" applyProtection="1">
      <alignment horizontal="center" vertical="center"/>
      <protection locked="0"/>
    </xf>
    <xf numFmtId="0" fontId="67" fillId="8" borderId="1" xfId="0" applyFont="1" applyFill="1" applyBorder="1" applyAlignment="1" applyProtection="1">
      <alignment horizontal="center" vertical="center"/>
      <protection locked="0"/>
    </xf>
    <xf numFmtId="0" fontId="67" fillId="8" borderId="2" xfId="0" applyFont="1" applyFill="1" applyBorder="1" applyAlignment="1" applyProtection="1">
      <alignment horizontal="center" vertical="center"/>
      <protection locked="0"/>
    </xf>
    <xf numFmtId="0" fontId="67" fillId="21" borderId="504" xfId="0" applyFont="1" applyFill="1" applyBorder="1" applyAlignment="1">
      <alignment horizontal="center" vertical="center"/>
    </xf>
    <xf numFmtId="0" fontId="67" fillId="4" borderId="504" xfId="0" applyFont="1" applyFill="1" applyBorder="1" applyAlignment="1" applyProtection="1">
      <alignment horizontal="center" vertical="center"/>
      <protection hidden="1"/>
    </xf>
    <xf numFmtId="0" fontId="24" fillId="8" borderId="504" xfId="0" applyFont="1" applyFill="1" applyBorder="1" applyAlignment="1">
      <alignment horizontal="center" vertical="center"/>
    </xf>
    <xf numFmtId="0" fontId="67" fillId="0" borderId="504" xfId="0" applyFont="1" applyBorder="1" applyAlignment="1" applyProtection="1">
      <alignment horizontal="left" vertical="center"/>
      <protection locked="0"/>
    </xf>
    <xf numFmtId="0" fontId="68" fillId="8" borderId="332" xfId="0" applyFont="1" applyFill="1" applyBorder="1" applyAlignment="1" applyProtection="1">
      <alignment horizontal="left" vertical="center"/>
      <protection hidden="1"/>
    </xf>
    <xf numFmtId="0" fontId="68" fillId="8" borderId="0" xfId="0" applyFont="1" applyFill="1" applyAlignment="1" applyProtection="1">
      <alignment horizontal="left" vertical="center"/>
      <protection hidden="1"/>
    </xf>
    <xf numFmtId="0" fontId="24" fillId="8" borderId="163" xfId="0" applyFont="1" applyFill="1" applyBorder="1" applyAlignment="1">
      <alignment horizontal="center" vertical="center"/>
    </xf>
    <xf numFmtId="0" fontId="24" fillId="8" borderId="164" xfId="0" applyFont="1" applyFill="1" applyBorder="1" applyAlignment="1">
      <alignment horizontal="center" vertical="center"/>
    </xf>
    <xf numFmtId="0" fontId="24" fillId="8" borderId="165" xfId="0" applyFont="1" applyFill="1" applyBorder="1" applyAlignment="1">
      <alignment horizontal="center" vertical="center"/>
    </xf>
    <xf numFmtId="0" fontId="24" fillId="8" borderId="16" xfId="0" applyFont="1" applyFill="1" applyBorder="1" applyAlignment="1">
      <alignment horizontal="center" vertical="center"/>
    </xf>
    <xf numFmtId="0" fontId="24" fillId="8" borderId="0" xfId="0" applyFont="1" applyFill="1" applyAlignment="1">
      <alignment horizontal="center" vertical="center"/>
    </xf>
    <xf numFmtId="0" fontId="24" fillId="8" borderId="3" xfId="0" applyFont="1" applyFill="1" applyBorder="1" applyAlignment="1">
      <alignment horizontal="center" vertical="center"/>
    </xf>
    <xf numFmtId="0" fontId="67" fillId="8" borderId="163" xfId="0" applyFont="1" applyFill="1" applyBorder="1" applyAlignment="1" applyProtection="1">
      <alignment horizontal="center" vertical="center"/>
      <protection locked="0"/>
    </xf>
    <xf numFmtId="0" fontId="67" fillId="8" borderId="164" xfId="0" applyFont="1" applyFill="1" applyBorder="1" applyAlignment="1" applyProtection="1">
      <alignment horizontal="center" vertical="center"/>
      <protection locked="0"/>
    </xf>
    <xf numFmtId="0" fontId="67" fillId="8" borderId="165" xfId="0" applyFont="1" applyFill="1" applyBorder="1" applyAlignment="1" applyProtection="1">
      <alignment horizontal="center" vertical="center"/>
      <protection locked="0"/>
    </xf>
    <xf numFmtId="0" fontId="67" fillId="8" borderId="16" xfId="0" applyFont="1" applyFill="1" applyBorder="1" applyAlignment="1" applyProtection="1">
      <alignment horizontal="center" vertical="center"/>
      <protection locked="0"/>
    </xf>
    <xf numFmtId="0" fontId="67" fillId="8" borderId="0" xfId="0" applyFont="1" applyFill="1" applyAlignment="1" applyProtection="1">
      <alignment horizontal="center" vertical="center"/>
      <protection locked="0"/>
    </xf>
    <xf numFmtId="0" fontId="67" fillId="8" borderId="3" xfId="0" applyFont="1" applyFill="1" applyBorder="1" applyAlignment="1" applyProtection="1">
      <alignment horizontal="center" vertical="center"/>
      <protection locked="0"/>
    </xf>
    <xf numFmtId="0" fontId="67" fillId="21" borderId="163" xfId="0" applyFont="1" applyFill="1" applyBorder="1" applyAlignment="1">
      <alignment horizontal="center" vertical="center"/>
    </xf>
    <xf numFmtId="0" fontId="67" fillId="21" borderId="164" xfId="0" applyFont="1" applyFill="1" applyBorder="1" applyAlignment="1">
      <alignment horizontal="center" vertical="center"/>
    </xf>
    <xf numFmtId="0" fontId="67" fillId="21" borderId="165" xfId="0" applyFont="1" applyFill="1" applyBorder="1" applyAlignment="1">
      <alignment horizontal="center" vertical="center"/>
    </xf>
    <xf numFmtId="0" fontId="67" fillId="21" borderId="16" xfId="0" applyFont="1" applyFill="1" applyBorder="1" applyAlignment="1">
      <alignment horizontal="center" vertical="center"/>
    </xf>
    <xf numFmtId="0" fontId="67" fillId="21" borderId="0" xfId="0" applyFont="1" applyFill="1" applyAlignment="1">
      <alignment horizontal="center" vertical="center"/>
    </xf>
    <xf numFmtId="0" fontId="67" fillId="21" borderId="3" xfId="0" applyFont="1" applyFill="1" applyBorder="1" applyAlignment="1">
      <alignment horizontal="center" vertical="center"/>
    </xf>
    <xf numFmtId="0" fontId="67" fillId="4" borderId="397" xfId="0" applyFont="1" applyFill="1" applyBorder="1" applyAlignment="1" applyProtection="1">
      <alignment horizontal="center" vertical="center"/>
      <protection hidden="1"/>
    </xf>
    <xf numFmtId="0" fontId="67" fillId="4" borderId="165" xfId="0" applyFont="1" applyFill="1" applyBorder="1" applyAlignment="1" applyProtection="1">
      <alignment horizontal="center" vertical="center"/>
      <protection hidden="1"/>
    </xf>
    <xf numFmtId="0" fontId="67" fillId="4" borderId="305" xfId="0" applyFont="1" applyFill="1" applyBorder="1" applyAlignment="1" applyProtection="1">
      <alignment horizontal="center" vertical="center"/>
      <protection hidden="1"/>
    </xf>
    <xf numFmtId="0" fontId="67" fillId="4" borderId="3" xfId="0" applyFont="1" applyFill="1" applyBorder="1" applyAlignment="1" applyProtection="1">
      <alignment horizontal="center" vertical="center"/>
      <protection hidden="1"/>
    </xf>
    <xf numFmtId="0" fontId="67" fillId="4" borderId="149" xfId="0" applyFont="1" applyFill="1" applyBorder="1" applyAlignment="1" applyProtection="1">
      <alignment horizontal="center" vertical="center"/>
      <protection hidden="1"/>
    </xf>
    <xf numFmtId="0" fontId="43" fillId="20" borderId="490" xfId="0" applyFont="1" applyFill="1" applyBorder="1" applyAlignment="1" applyProtection="1">
      <alignment horizontal="center" vertical="center" wrapText="1"/>
      <protection hidden="1"/>
    </xf>
    <xf numFmtId="0" fontId="43" fillId="20" borderId="332" xfId="0" applyFont="1" applyFill="1" applyBorder="1" applyAlignment="1" applyProtection="1">
      <alignment horizontal="center" vertical="center" wrapText="1"/>
      <protection hidden="1"/>
    </xf>
    <xf numFmtId="0" fontId="43" fillId="20" borderId="491" xfId="0" applyFont="1" applyFill="1" applyBorder="1" applyAlignment="1" applyProtection="1">
      <alignment horizontal="center" vertical="center" wrapText="1"/>
      <protection hidden="1"/>
    </xf>
    <xf numFmtId="0" fontId="43" fillId="20" borderId="339" xfId="0" applyFont="1" applyFill="1" applyBorder="1" applyAlignment="1" applyProtection="1">
      <alignment horizontal="center" vertical="center" wrapText="1"/>
      <protection hidden="1"/>
    </xf>
    <xf numFmtId="0" fontId="37" fillId="8" borderId="335" xfId="0" applyFont="1" applyFill="1" applyBorder="1" applyAlignment="1" applyProtection="1">
      <alignment horizontal="center" vertical="center" wrapText="1"/>
      <protection locked="0" hidden="1"/>
    </xf>
    <xf numFmtId="0" fontId="37" fillId="8" borderId="336" xfId="0" applyFont="1" applyFill="1" applyBorder="1" applyAlignment="1" applyProtection="1">
      <alignment horizontal="center" vertical="center" wrapText="1"/>
      <protection locked="0" hidden="1"/>
    </xf>
    <xf numFmtId="0" fontId="37" fillId="8" borderId="342" xfId="0" applyFont="1" applyFill="1" applyBorder="1" applyAlignment="1" applyProtection="1">
      <alignment horizontal="center" vertical="center" wrapText="1"/>
      <protection locked="0" hidden="1"/>
    </xf>
    <xf numFmtId="0" fontId="37" fillId="8" borderId="343" xfId="0" applyFont="1" applyFill="1" applyBorder="1" applyAlignment="1" applyProtection="1">
      <alignment horizontal="center" vertical="center" wrapText="1"/>
      <protection locked="0" hidden="1"/>
    </xf>
    <xf numFmtId="0" fontId="24" fillId="8" borderId="17" xfId="0" applyFont="1" applyFill="1" applyBorder="1" applyAlignment="1">
      <alignment horizontal="center" vertical="center"/>
    </xf>
    <xf numFmtId="0" fontId="24" fillId="8" borderId="1" xfId="0" applyFont="1" applyFill="1" applyBorder="1" applyAlignment="1">
      <alignment horizontal="center" vertical="center"/>
    </xf>
    <xf numFmtId="0" fontId="24" fillId="8" borderId="2" xfId="0" applyFont="1" applyFill="1" applyBorder="1" applyAlignment="1">
      <alignment horizontal="center" vertical="center"/>
    </xf>
    <xf numFmtId="0" fontId="67" fillId="8" borderId="17" xfId="0" applyFont="1" applyFill="1" applyBorder="1" applyAlignment="1" applyProtection="1">
      <alignment horizontal="center" vertical="center"/>
      <protection locked="0"/>
    </xf>
    <xf numFmtId="0" fontId="67" fillId="21" borderId="17" xfId="0" applyFont="1" applyFill="1" applyBorder="1" applyAlignment="1">
      <alignment horizontal="center" vertical="center"/>
    </xf>
    <xf numFmtId="0" fontId="67" fillId="21" borderId="1" xfId="0" applyFont="1" applyFill="1" applyBorder="1" applyAlignment="1">
      <alignment horizontal="center" vertical="center"/>
    </xf>
    <xf numFmtId="0" fontId="67" fillId="21" borderId="2" xfId="0" applyFont="1" applyFill="1" applyBorder="1" applyAlignment="1">
      <alignment horizontal="center" vertical="center"/>
    </xf>
    <xf numFmtId="0" fontId="67" fillId="4" borderId="398" xfId="0" applyFont="1" applyFill="1" applyBorder="1" applyAlignment="1" applyProtection="1">
      <alignment horizontal="center" vertical="center"/>
      <protection hidden="1"/>
    </xf>
    <xf numFmtId="0" fontId="67" fillId="4" borderId="17" xfId="0" applyFont="1" applyFill="1" applyBorder="1" applyAlignment="1" applyProtection="1">
      <alignment horizontal="center" vertical="center"/>
      <protection hidden="1"/>
    </xf>
    <xf numFmtId="0" fontId="67" fillId="4" borderId="1" xfId="0" applyFont="1" applyFill="1" applyBorder="1" applyAlignment="1" applyProtection="1">
      <alignment horizontal="center" vertical="center"/>
      <protection hidden="1"/>
    </xf>
    <xf numFmtId="0" fontId="67" fillId="4" borderId="0" xfId="0" applyFont="1" applyFill="1" applyAlignment="1" applyProtection="1">
      <alignment horizontal="center" vertical="center"/>
      <protection hidden="1"/>
    </xf>
    <xf numFmtId="0" fontId="67" fillId="8" borderId="504" xfId="0" applyFont="1" applyFill="1" applyBorder="1" applyAlignment="1" applyProtection="1">
      <alignment horizontal="center" vertical="center"/>
      <protection locked="0"/>
    </xf>
    <xf numFmtId="0" fontId="24" fillId="8" borderId="505" xfId="0" applyFont="1" applyFill="1" applyBorder="1" applyAlignment="1">
      <alignment horizontal="center" vertical="center"/>
    </xf>
    <xf numFmtId="0" fontId="24" fillId="8" borderId="501" xfId="0" applyFont="1" applyFill="1" applyBorder="1" applyAlignment="1">
      <alignment horizontal="center" vertical="center"/>
    </xf>
    <xf numFmtId="0" fontId="24" fillId="8" borderId="506" xfId="0" applyFont="1" applyFill="1" applyBorder="1" applyAlignment="1">
      <alignment horizontal="center" vertical="center"/>
    </xf>
    <xf numFmtId="0" fontId="24" fillId="8" borderId="507" xfId="0" applyFont="1" applyFill="1" applyBorder="1" applyAlignment="1">
      <alignment horizontal="center" vertical="center"/>
    </xf>
    <xf numFmtId="0" fontId="24" fillId="8" borderId="508" xfId="0" applyFont="1" applyFill="1" applyBorder="1" applyAlignment="1">
      <alignment horizontal="center" vertical="center"/>
    </xf>
    <xf numFmtId="0" fontId="24" fillId="8" borderId="509" xfId="0" applyFont="1" applyFill="1" applyBorder="1" applyAlignment="1">
      <alignment horizontal="center" vertical="center"/>
    </xf>
    <xf numFmtId="0" fontId="67" fillId="8" borderId="505" xfId="0" applyFont="1" applyFill="1" applyBorder="1" applyAlignment="1" applyProtection="1">
      <alignment horizontal="center" vertical="center"/>
      <protection locked="0"/>
    </xf>
    <xf numFmtId="0" fontId="67" fillId="8" borderId="501" xfId="0" applyFont="1" applyFill="1" applyBorder="1" applyAlignment="1" applyProtection="1">
      <alignment horizontal="center" vertical="center"/>
      <protection locked="0"/>
    </xf>
    <xf numFmtId="0" fontId="67" fillId="8" borderId="506" xfId="0" applyFont="1" applyFill="1" applyBorder="1" applyAlignment="1" applyProtection="1">
      <alignment horizontal="center" vertical="center"/>
      <protection locked="0"/>
    </xf>
    <xf numFmtId="0" fontId="67" fillId="8" borderId="507" xfId="0" applyFont="1" applyFill="1" applyBorder="1" applyAlignment="1" applyProtection="1">
      <alignment horizontal="center" vertical="center"/>
      <protection locked="0"/>
    </xf>
    <xf numFmtId="0" fontId="67" fillId="8" borderId="508" xfId="0" applyFont="1" applyFill="1" applyBorder="1" applyAlignment="1" applyProtection="1">
      <alignment horizontal="center" vertical="center"/>
      <protection locked="0"/>
    </xf>
    <xf numFmtId="0" fontId="67" fillId="8" borderId="509" xfId="0" applyFont="1" applyFill="1" applyBorder="1" applyAlignment="1" applyProtection="1">
      <alignment horizontal="center" vertical="center"/>
      <protection locked="0"/>
    </xf>
    <xf numFmtId="0" fontId="67" fillId="21" borderId="505" xfId="0" applyFont="1" applyFill="1" applyBorder="1" applyAlignment="1">
      <alignment horizontal="center" vertical="center"/>
    </xf>
    <xf numFmtId="0" fontId="67" fillId="21" borderId="501" xfId="0" applyFont="1" applyFill="1" applyBorder="1" applyAlignment="1">
      <alignment horizontal="center" vertical="center"/>
    </xf>
    <xf numFmtId="0" fontId="67" fillId="21" borderId="506" xfId="0" applyFont="1" applyFill="1" applyBorder="1" applyAlignment="1">
      <alignment horizontal="center" vertical="center"/>
    </xf>
    <xf numFmtId="0" fontId="67" fillId="21" borderId="507" xfId="0" applyFont="1" applyFill="1" applyBorder="1" applyAlignment="1">
      <alignment horizontal="center" vertical="center"/>
    </xf>
    <xf numFmtId="0" fontId="67" fillId="21" borderId="508" xfId="0" applyFont="1" applyFill="1" applyBorder="1" applyAlignment="1">
      <alignment horizontal="center" vertical="center"/>
    </xf>
    <xf numFmtId="0" fontId="67" fillId="21" borderId="509" xfId="0" applyFont="1" applyFill="1" applyBorder="1" applyAlignment="1">
      <alignment horizontal="center" vertical="center"/>
    </xf>
    <xf numFmtId="0" fontId="81" fillId="4" borderId="281" xfId="0" quotePrefix="1" applyFont="1" applyFill="1" applyBorder="1" applyAlignment="1" applyProtection="1">
      <alignment horizontal="left"/>
      <protection hidden="1"/>
    </xf>
    <xf numFmtId="49" fontId="60" fillId="8" borderId="38" xfId="0" applyNumberFormat="1" applyFont="1" applyFill="1" applyBorder="1" applyAlignment="1" applyProtection="1">
      <alignment horizontal="left" vertical="center" shrinkToFit="1"/>
      <protection locked="0"/>
    </xf>
    <xf numFmtId="49" fontId="60" fillId="8" borderId="1" xfId="0" applyNumberFormat="1" applyFont="1" applyFill="1" applyBorder="1" applyAlignment="1" applyProtection="1">
      <alignment horizontal="left" vertical="center" shrinkToFit="1"/>
      <protection locked="0"/>
    </xf>
    <xf numFmtId="49" fontId="60" fillId="8" borderId="37" xfId="0" applyNumberFormat="1" applyFont="1" applyFill="1" applyBorder="1" applyAlignment="1" applyProtection="1">
      <alignment horizontal="left" vertical="center" shrinkToFit="1"/>
      <protection locked="0"/>
    </xf>
    <xf numFmtId="49" fontId="60" fillId="8" borderId="36" xfId="0" applyNumberFormat="1" applyFont="1" applyFill="1" applyBorder="1" applyAlignment="1" applyProtection="1">
      <alignment horizontal="left" vertical="center" shrinkToFit="1"/>
      <protection locked="0"/>
    </xf>
    <xf numFmtId="49" fontId="60" fillId="8" borderId="9" xfId="0" applyNumberFormat="1" applyFont="1" applyFill="1" applyBorder="1" applyAlignment="1" applyProtection="1">
      <alignment horizontal="left" vertical="center" shrinkToFit="1"/>
      <protection locked="0"/>
    </xf>
    <xf numFmtId="49" fontId="60" fillId="8" borderId="33" xfId="0" applyNumberFormat="1" applyFont="1" applyFill="1" applyBorder="1" applyAlignment="1" applyProtection="1">
      <alignment horizontal="left" vertical="center" shrinkToFit="1"/>
      <protection locked="0"/>
    </xf>
    <xf numFmtId="183" fontId="60" fillId="8" borderId="38" xfId="0" applyNumberFormat="1" applyFont="1" applyFill="1" applyBorder="1" applyAlignment="1" applyProtection="1">
      <alignment horizontal="center" vertical="center" shrinkToFit="1"/>
      <protection locked="0"/>
    </xf>
    <xf numFmtId="183" fontId="60" fillId="8" borderId="1" xfId="0" applyNumberFormat="1" applyFont="1" applyFill="1" applyBorder="1" applyAlignment="1" applyProtection="1">
      <alignment horizontal="center" vertical="center" shrinkToFit="1"/>
      <protection locked="0"/>
    </xf>
    <xf numFmtId="183" fontId="60" fillId="8" borderId="304" xfId="0" applyNumberFormat="1" applyFont="1" applyFill="1" applyBorder="1" applyAlignment="1" applyProtection="1">
      <alignment horizontal="center" vertical="center" shrinkToFit="1"/>
      <protection locked="0"/>
    </xf>
    <xf numFmtId="183" fontId="60" fillId="8" borderId="36" xfId="0" applyNumberFormat="1" applyFont="1" applyFill="1" applyBorder="1" applyAlignment="1" applyProtection="1">
      <alignment horizontal="center" vertical="center" shrinkToFit="1"/>
      <protection locked="0"/>
    </xf>
    <xf numFmtId="183" fontId="60" fillId="8" borderId="9" xfId="0" applyNumberFormat="1" applyFont="1" applyFill="1" applyBorder="1" applyAlignment="1" applyProtection="1">
      <alignment horizontal="center" vertical="center" shrinkToFit="1"/>
      <protection locked="0"/>
    </xf>
    <xf numFmtId="183" fontId="60" fillId="8" borderId="298" xfId="0" applyNumberFormat="1" applyFont="1" applyFill="1" applyBorder="1" applyAlignment="1" applyProtection="1">
      <alignment horizontal="center" vertical="center" shrinkToFit="1"/>
      <protection locked="0"/>
    </xf>
    <xf numFmtId="49" fontId="60" fillId="8" borderId="177" xfId="0" applyNumberFormat="1" applyFont="1" applyFill="1" applyBorder="1" applyAlignment="1" applyProtection="1">
      <alignment horizontal="left" vertical="center" shrinkToFit="1"/>
      <protection locked="0"/>
    </xf>
    <xf numFmtId="49" fontId="60" fillId="8" borderId="164" xfId="0" applyNumberFormat="1" applyFont="1" applyFill="1" applyBorder="1" applyAlignment="1" applyProtection="1">
      <alignment horizontal="left" vertical="center" shrinkToFit="1"/>
      <protection locked="0"/>
    </xf>
    <xf numFmtId="49" fontId="60" fillId="8" borderId="178" xfId="0" applyNumberFormat="1" applyFont="1" applyFill="1" applyBorder="1" applyAlignment="1" applyProtection="1">
      <alignment horizontal="left" vertical="center" shrinkToFit="1"/>
      <protection locked="0"/>
    </xf>
    <xf numFmtId="183" fontId="60" fillId="8" borderId="177" xfId="0" applyNumberFormat="1" applyFont="1" applyFill="1" applyBorder="1" applyAlignment="1" applyProtection="1">
      <alignment horizontal="center" vertical="center" shrinkToFit="1"/>
      <protection locked="0"/>
    </xf>
    <xf numFmtId="183" fontId="60" fillId="8" borderId="164" xfId="0" applyNumberFormat="1" applyFont="1" applyFill="1" applyBorder="1" applyAlignment="1" applyProtection="1">
      <alignment horizontal="center" vertical="center" shrinkToFit="1"/>
      <protection locked="0"/>
    </xf>
    <xf numFmtId="183" fontId="60" fillId="8" borderId="387" xfId="0" applyNumberFormat="1" applyFont="1" applyFill="1" applyBorder="1" applyAlignment="1" applyProtection="1">
      <alignment horizontal="center" vertical="center" shrinkToFit="1"/>
      <protection locked="0"/>
    </xf>
    <xf numFmtId="0" fontId="113" fillId="4" borderId="281" xfId="0" applyFont="1" applyFill="1" applyBorder="1" applyAlignment="1" applyProtection="1">
      <alignment horizontal="left" vertical="center"/>
      <protection hidden="1"/>
    </xf>
    <xf numFmtId="0" fontId="114" fillId="4" borderId="281" xfId="0" applyFont="1" applyFill="1" applyBorder="1" applyAlignment="1" applyProtection="1">
      <alignment horizontal="left" vertical="center"/>
      <protection hidden="1"/>
    </xf>
    <xf numFmtId="0" fontId="114" fillId="4" borderId="287" xfId="0" applyFont="1" applyFill="1" applyBorder="1" applyAlignment="1" applyProtection="1">
      <alignment horizontal="left" vertical="center"/>
      <protection hidden="1"/>
    </xf>
    <xf numFmtId="0" fontId="114" fillId="4" borderId="14" xfId="0" applyFont="1" applyFill="1" applyBorder="1" applyAlignment="1" applyProtection="1">
      <alignment horizontal="left" vertical="center"/>
      <protection hidden="1"/>
    </xf>
    <xf numFmtId="0" fontId="114" fillId="4" borderId="315" xfId="0" applyFont="1" applyFill="1" applyBorder="1" applyAlignment="1" applyProtection="1">
      <alignment horizontal="left" vertical="center"/>
      <protection hidden="1"/>
    </xf>
    <xf numFmtId="0" fontId="27" fillId="4" borderId="302" xfId="0" applyFont="1" applyFill="1" applyBorder="1" applyAlignment="1" applyProtection="1">
      <alignment horizontal="center" vertical="center"/>
      <protection hidden="1"/>
    </xf>
    <xf numFmtId="0" fontId="82" fillId="4" borderId="280" xfId="0" applyFont="1" applyFill="1" applyBorder="1" applyAlignment="1" applyProtection="1">
      <alignment horizontal="left" vertical="center"/>
      <protection hidden="1"/>
    </xf>
    <xf numFmtId="0" fontId="82" fillId="4" borderId="281" xfId="0" applyFont="1" applyFill="1" applyBorder="1" applyAlignment="1" applyProtection="1">
      <alignment horizontal="left" vertical="center"/>
      <protection hidden="1"/>
    </xf>
    <xf numFmtId="0" fontId="82" fillId="4" borderId="314" xfId="0" applyFont="1" applyFill="1" applyBorder="1" applyAlignment="1" applyProtection="1">
      <alignment horizontal="left" vertical="center"/>
      <protection hidden="1"/>
    </xf>
    <xf numFmtId="0" fontId="82" fillId="4" borderId="14" xfId="0" applyFont="1" applyFill="1" applyBorder="1" applyAlignment="1" applyProtection="1">
      <alignment horizontal="left" vertical="center"/>
      <protection hidden="1"/>
    </xf>
    <xf numFmtId="183" fontId="67" fillId="2" borderId="38" xfId="0" applyNumberFormat="1" applyFont="1" applyFill="1" applyBorder="1" applyAlignment="1" applyProtection="1">
      <alignment horizontal="center" vertical="center" shrinkToFit="1"/>
      <protection hidden="1"/>
    </xf>
    <xf numFmtId="183" fontId="67" fillId="2" borderId="1" xfId="0" applyNumberFormat="1" applyFont="1" applyFill="1" applyBorder="1" applyAlignment="1" applyProtection="1">
      <alignment horizontal="center" vertical="center" shrinkToFit="1"/>
      <protection hidden="1"/>
    </xf>
    <xf numFmtId="183" fontId="67" fillId="2" borderId="304" xfId="0" applyNumberFormat="1" applyFont="1" applyFill="1" applyBorder="1" applyAlignment="1" applyProtection="1">
      <alignment horizontal="center" vertical="center" shrinkToFit="1"/>
      <protection hidden="1"/>
    </xf>
    <xf numFmtId="183" fontId="67" fillId="2" borderId="175" xfId="0" applyNumberFormat="1" applyFont="1" applyFill="1" applyBorder="1" applyAlignment="1" applyProtection="1">
      <alignment horizontal="center" vertical="center" shrinkToFit="1"/>
      <protection hidden="1"/>
    </xf>
    <xf numFmtId="183" fontId="67" fillId="2" borderId="161" xfId="0" applyNumberFormat="1" applyFont="1" applyFill="1" applyBorder="1" applyAlignment="1" applyProtection="1">
      <alignment horizontal="center" vertical="center" shrinkToFit="1"/>
      <protection hidden="1"/>
    </xf>
    <xf numFmtId="183" fontId="67" fillId="2" borderId="386" xfId="0" applyNumberFormat="1" applyFont="1" applyFill="1" applyBorder="1" applyAlignment="1" applyProtection="1">
      <alignment horizontal="center" vertical="center" shrinkToFit="1"/>
      <protection hidden="1"/>
    </xf>
    <xf numFmtId="0" fontId="20" fillId="2" borderId="38" xfId="0" applyFont="1" applyFill="1" applyBorder="1" applyAlignment="1" applyProtection="1">
      <alignment horizontal="center" vertical="center"/>
      <protection hidden="1"/>
    </xf>
    <xf numFmtId="0" fontId="20" fillId="2" borderId="37" xfId="0" applyFont="1" applyFill="1" applyBorder="1" applyAlignment="1" applyProtection="1">
      <alignment horizontal="center" vertical="center"/>
      <protection hidden="1"/>
    </xf>
    <xf numFmtId="0" fontId="20" fillId="2" borderId="35" xfId="0"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32" xfId="0" applyFont="1" applyFill="1" applyBorder="1" applyAlignment="1" applyProtection="1">
      <alignment horizontal="center" vertical="center"/>
      <protection hidden="1"/>
    </xf>
    <xf numFmtId="20" fontId="67" fillId="2" borderId="38" xfId="0" applyNumberFormat="1" applyFont="1" applyFill="1" applyBorder="1" applyAlignment="1" applyProtection="1">
      <alignment horizontal="center" vertical="center"/>
      <protection hidden="1"/>
    </xf>
    <xf numFmtId="20" fontId="67" fillId="2" borderId="1" xfId="0" applyNumberFormat="1" applyFont="1" applyFill="1" applyBorder="1" applyAlignment="1" applyProtection="1">
      <alignment horizontal="center" vertical="center"/>
      <protection hidden="1"/>
    </xf>
    <xf numFmtId="20" fontId="67" fillId="2" borderId="175" xfId="0" applyNumberFormat="1" applyFont="1" applyFill="1" applyBorder="1" applyAlignment="1" applyProtection="1">
      <alignment horizontal="center" vertical="center"/>
      <protection hidden="1"/>
    </xf>
    <xf numFmtId="20" fontId="67" fillId="2" borderId="161" xfId="0" applyNumberFormat="1" applyFont="1" applyFill="1" applyBorder="1" applyAlignment="1" applyProtection="1">
      <alignment horizontal="center" vertical="center"/>
      <protection hidden="1"/>
    </xf>
    <xf numFmtId="181" fontId="67" fillId="2" borderId="1" xfId="0" applyNumberFormat="1" applyFont="1" applyFill="1" applyBorder="1" applyAlignment="1" applyProtection="1">
      <alignment horizontal="left" vertical="center"/>
      <protection hidden="1"/>
    </xf>
    <xf numFmtId="181" fontId="67" fillId="2" borderId="37" xfId="0" applyNumberFormat="1" applyFont="1" applyFill="1" applyBorder="1" applyAlignment="1" applyProtection="1">
      <alignment horizontal="left" vertical="center"/>
      <protection hidden="1"/>
    </xf>
    <xf numFmtId="181" fontId="67" fillId="2" borderId="161" xfId="0" applyNumberFormat="1" applyFont="1" applyFill="1" applyBorder="1" applyAlignment="1" applyProtection="1">
      <alignment horizontal="left" vertical="center"/>
      <protection hidden="1"/>
    </xf>
    <xf numFmtId="181" fontId="67" fillId="2" borderId="174" xfId="0" applyNumberFormat="1" applyFont="1" applyFill="1" applyBorder="1" applyAlignment="1" applyProtection="1">
      <alignment horizontal="left" vertical="center"/>
      <protection hidden="1"/>
    </xf>
    <xf numFmtId="0" fontId="24" fillId="8" borderId="12" xfId="0" applyFont="1" applyFill="1" applyBorder="1" applyAlignment="1">
      <alignment horizontal="center" vertical="center"/>
    </xf>
    <xf numFmtId="0" fontId="24" fillId="8" borderId="9" xfId="0" applyFont="1" applyFill="1" applyBorder="1" applyAlignment="1">
      <alignment horizontal="center" vertical="center"/>
    </xf>
    <xf numFmtId="0" fontId="24" fillId="8" borderId="10" xfId="0" applyFont="1" applyFill="1" applyBorder="1" applyAlignment="1">
      <alignment horizontal="center" vertical="center"/>
    </xf>
    <xf numFmtId="0" fontId="67" fillId="8" borderId="12" xfId="0" applyFont="1" applyFill="1" applyBorder="1" applyAlignment="1" applyProtection="1">
      <alignment horizontal="center" vertical="center"/>
      <protection locked="0"/>
    </xf>
    <xf numFmtId="0" fontId="67" fillId="8" borderId="9" xfId="0" applyFont="1" applyFill="1" applyBorder="1" applyAlignment="1" applyProtection="1">
      <alignment horizontal="center" vertical="center"/>
      <protection locked="0"/>
    </xf>
    <xf numFmtId="0" fontId="67" fillId="8" borderId="10" xfId="0" applyFont="1" applyFill="1" applyBorder="1" applyAlignment="1" applyProtection="1">
      <alignment horizontal="center" vertical="center"/>
      <protection locked="0"/>
    </xf>
    <xf numFmtId="0" fontId="24" fillId="2" borderId="17" xfId="0" applyFont="1" applyFill="1" applyBorder="1" applyAlignment="1">
      <alignment horizontal="center" vertic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160" xfId="0" applyFont="1" applyFill="1" applyBorder="1" applyAlignment="1">
      <alignment horizontal="center" vertical="center"/>
    </xf>
    <xf numFmtId="0" fontId="24" fillId="2" borderId="161" xfId="0" applyFont="1" applyFill="1" applyBorder="1" applyAlignment="1">
      <alignment horizontal="center" vertical="center"/>
    </xf>
    <xf numFmtId="0" fontId="24" fillId="2" borderId="162" xfId="0" applyFont="1" applyFill="1" applyBorder="1" applyAlignment="1">
      <alignment horizontal="center" vertical="center"/>
    </xf>
    <xf numFmtId="0" fontId="24" fillId="2" borderId="24" xfId="0" applyFont="1" applyFill="1" applyBorder="1" applyAlignment="1" applyProtection="1">
      <alignment horizontal="center" vertical="center"/>
      <protection hidden="1"/>
    </xf>
    <xf numFmtId="0" fontId="24" fillId="2" borderId="159" xfId="0" applyFont="1" applyFill="1" applyBorder="1" applyAlignment="1" applyProtection="1">
      <alignment horizontal="center" vertical="center"/>
      <protection hidden="1"/>
    </xf>
    <xf numFmtId="49" fontId="60" fillId="8" borderId="35" xfId="0" applyNumberFormat="1" applyFont="1" applyFill="1" applyBorder="1" applyAlignment="1" applyProtection="1">
      <alignment horizontal="left" vertical="center" shrinkToFit="1"/>
      <protection locked="0"/>
    </xf>
    <xf numFmtId="49" fontId="60" fillId="8" borderId="0" xfId="0" applyNumberFormat="1" applyFont="1" applyFill="1" applyAlignment="1" applyProtection="1">
      <alignment horizontal="left" vertical="center" shrinkToFit="1"/>
      <protection locked="0"/>
    </xf>
    <xf numFmtId="49" fontId="60" fillId="8" borderId="32" xfId="0" applyNumberFormat="1" applyFont="1" applyFill="1" applyBorder="1" applyAlignment="1" applyProtection="1">
      <alignment horizontal="left" vertical="center" shrinkToFit="1"/>
      <protection locked="0"/>
    </xf>
    <xf numFmtId="49" fontId="60" fillId="8" borderId="396" xfId="0" applyNumberFormat="1" applyFont="1" applyFill="1" applyBorder="1" applyAlignment="1" applyProtection="1">
      <alignment horizontal="left" vertical="center" shrinkToFit="1"/>
      <protection locked="0"/>
    </xf>
    <xf numFmtId="49" fontId="60" fillId="8" borderId="289" xfId="0" applyNumberFormat="1" applyFont="1" applyFill="1" applyBorder="1" applyAlignment="1" applyProtection="1">
      <alignment horizontal="left" vertical="center" shrinkToFit="1"/>
      <protection locked="0"/>
    </xf>
    <xf numFmtId="49" fontId="60" fillId="8" borderId="349" xfId="0" applyNumberFormat="1" applyFont="1" applyFill="1" applyBorder="1" applyAlignment="1" applyProtection="1">
      <alignment horizontal="left" vertical="center" shrinkToFit="1"/>
      <protection locked="0"/>
    </xf>
    <xf numFmtId="183" fontId="60" fillId="8" borderId="35" xfId="0" applyNumberFormat="1" applyFont="1" applyFill="1" applyBorder="1" applyAlignment="1" applyProtection="1">
      <alignment horizontal="center" vertical="center" shrinkToFit="1"/>
      <protection locked="0"/>
    </xf>
    <xf numFmtId="183" fontId="60" fillId="8" borderId="0" xfId="0" applyNumberFormat="1" applyFont="1" applyFill="1" applyAlignment="1" applyProtection="1">
      <alignment horizontal="center" vertical="center" shrinkToFit="1"/>
      <protection locked="0"/>
    </xf>
    <xf numFmtId="183" fontId="60" fillId="8" borderId="308" xfId="0" applyNumberFormat="1" applyFont="1" applyFill="1" applyBorder="1" applyAlignment="1" applyProtection="1">
      <alignment horizontal="center" vertical="center" shrinkToFit="1"/>
      <protection locked="0"/>
    </xf>
    <xf numFmtId="183" fontId="60" fillId="8" borderId="396" xfId="0" applyNumberFormat="1" applyFont="1" applyFill="1" applyBorder="1" applyAlignment="1" applyProtection="1">
      <alignment horizontal="center" vertical="center" shrinkToFit="1"/>
      <protection locked="0"/>
    </xf>
    <xf numFmtId="183" fontId="60" fillId="8" borderId="289" xfId="0" applyNumberFormat="1" applyFont="1" applyFill="1" applyBorder="1" applyAlignment="1" applyProtection="1">
      <alignment horizontal="center" vertical="center" shrinkToFit="1"/>
      <protection locked="0"/>
    </xf>
    <xf numFmtId="183" fontId="60" fillId="8" borderId="295" xfId="0" applyNumberFormat="1" applyFont="1" applyFill="1" applyBorder="1" applyAlignment="1" applyProtection="1">
      <alignment horizontal="center" vertical="center" shrinkToFit="1"/>
      <protection locked="0"/>
    </xf>
    <xf numFmtId="49" fontId="24" fillId="2" borderId="24" xfId="0" applyNumberFormat="1" applyFont="1" applyFill="1" applyBorder="1" applyAlignment="1" applyProtection="1">
      <alignment horizontal="center" vertical="center"/>
      <protection hidden="1"/>
    </xf>
    <xf numFmtId="49" fontId="24" fillId="2" borderId="269" xfId="0" applyNumberFormat="1" applyFont="1" applyFill="1" applyBorder="1" applyAlignment="1" applyProtection="1">
      <alignment horizontal="center" vertical="center"/>
      <protection hidden="1"/>
    </xf>
    <xf numFmtId="0" fontId="20" fillId="4" borderId="150" xfId="0" applyFont="1" applyFill="1" applyBorder="1" applyAlignment="1" applyProtection="1">
      <alignment horizontal="center" vertical="center" wrapText="1"/>
      <protection hidden="1"/>
    </xf>
    <xf numFmtId="0" fontId="20" fillId="4" borderId="24" xfId="0" applyFont="1" applyFill="1" applyBorder="1" applyAlignment="1" applyProtection="1">
      <alignment horizontal="center" vertical="center" wrapText="1"/>
      <protection hidden="1"/>
    </xf>
    <xf numFmtId="0" fontId="23" fillId="4" borderId="270" xfId="0" applyFont="1" applyFill="1" applyBorder="1" applyAlignment="1" applyProtection="1">
      <alignment horizontal="center" vertical="center" wrapText="1"/>
      <protection hidden="1"/>
    </xf>
    <xf numFmtId="0" fontId="23" fillId="4" borderId="271" xfId="0" applyFont="1" applyFill="1" applyBorder="1" applyAlignment="1" applyProtection="1">
      <alignment horizontal="center" vertical="center" wrapText="1"/>
      <protection hidden="1"/>
    </xf>
    <xf numFmtId="0" fontId="23" fillId="4" borderId="272" xfId="0" applyFont="1" applyFill="1" applyBorder="1" applyAlignment="1" applyProtection="1">
      <alignment horizontal="center" vertical="center" wrapText="1"/>
      <protection hidden="1"/>
    </xf>
    <xf numFmtId="0" fontId="23" fillId="4" borderId="149" xfId="0" applyFont="1" applyFill="1" applyBorder="1" applyAlignment="1" applyProtection="1">
      <alignment horizontal="center" vertical="center" wrapText="1"/>
      <protection hidden="1"/>
    </xf>
    <xf numFmtId="0" fontId="23" fillId="4" borderId="157" xfId="0" applyFont="1" applyFill="1" applyBorder="1" applyAlignment="1" applyProtection="1">
      <alignment horizontal="center" vertical="center" wrapText="1"/>
      <protection hidden="1"/>
    </xf>
    <xf numFmtId="0" fontId="23" fillId="4" borderId="158" xfId="0" applyFont="1" applyFill="1" applyBorder="1" applyAlignment="1" applyProtection="1">
      <alignment horizontal="center" vertical="center" wrapText="1"/>
      <protection hidden="1"/>
    </xf>
    <xf numFmtId="0" fontId="20" fillId="4" borderId="22" xfId="0" applyFont="1" applyFill="1" applyBorder="1" applyAlignment="1" applyProtection="1">
      <alignment horizontal="center" vertical="center" wrapText="1"/>
      <protection hidden="1"/>
    </xf>
    <xf numFmtId="0" fontId="20" fillId="4" borderId="4" xfId="0" applyFont="1" applyFill="1" applyBorder="1" applyAlignment="1" applyProtection="1">
      <alignment horizontal="center" vertical="center" wrapText="1"/>
      <protection hidden="1"/>
    </xf>
    <xf numFmtId="0" fontId="20" fillId="4" borderId="5" xfId="0" applyFont="1" applyFill="1" applyBorder="1" applyAlignment="1" applyProtection="1">
      <alignment horizontal="center" vertical="center" wrapText="1"/>
      <protection hidden="1"/>
    </xf>
    <xf numFmtId="0" fontId="20" fillId="4" borderId="16" xfId="0" applyFont="1" applyFill="1" applyBorder="1" applyAlignment="1" applyProtection="1">
      <alignment horizontal="center" vertical="center" wrapText="1"/>
      <protection hidden="1"/>
    </xf>
    <xf numFmtId="0" fontId="20" fillId="4" borderId="0" xfId="0" applyFont="1" applyFill="1" applyAlignment="1" applyProtection="1">
      <alignment horizontal="center" vertical="center" wrapText="1"/>
      <protection hidden="1"/>
    </xf>
    <xf numFmtId="0" fontId="20" fillId="4" borderId="3"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0" fillId="4" borderId="9" xfId="0" applyFont="1" applyFill="1" applyBorder="1" applyAlignment="1" applyProtection="1">
      <alignment horizontal="center" vertical="center" wrapText="1"/>
      <protection hidden="1"/>
    </xf>
    <xf numFmtId="0" fontId="20" fillId="4" borderId="10" xfId="0" applyFont="1" applyFill="1" applyBorder="1" applyAlignment="1" applyProtection="1">
      <alignment horizontal="center" vertical="center" wrapText="1"/>
      <protection hidden="1"/>
    </xf>
    <xf numFmtId="182" fontId="67" fillId="8" borderId="164" xfId="0" applyNumberFormat="1" applyFont="1" applyFill="1" applyBorder="1" applyAlignment="1" applyProtection="1">
      <alignment horizontal="center" vertical="center"/>
      <protection hidden="1"/>
    </xf>
    <xf numFmtId="182" fontId="67" fillId="8" borderId="0" xfId="0" applyNumberFormat="1" applyFont="1" applyFill="1" applyAlignment="1" applyProtection="1">
      <alignment horizontal="center" vertical="center"/>
      <protection hidden="1"/>
    </xf>
    <xf numFmtId="182" fontId="67" fillId="8" borderId="508" xfId="0" applyNumberFormat="1" applyFont="1" applyFill="1" applyBorder="1" applyAlignment="1" applyProtection="1">
      <alignment horizontal="center" vertical="center"/>
      <protection hidden="1"/>
    </xf>
    <xf numFmtId="176" fontId="24" fillId="2" borderId="37" xfId="0" applyNumberFormat="1" applyFont="1" applyFill="1" applyBorder="1" applyAlignment="1" applyProtection="1">
      <alignment horizontal="center" vertical="center"/>
      <protection hidden="1"/>
    </xf>
    <xf numFmtId="176" fontId="24" fillId="2" borderId="174" xfId="0" applyNumberFormat="1" applyFont="1" applyFill="1" applyBorder="1" applyAlignment="1" applyProtection="1">
      <alignment horizontal="center" vertical="center"/>
      <protection hidden="1"/>
    </xf>
    <xf numFmtId="49" fontId="24" fillId="21" borderId="17" xfId="0" applyNumberFormat="1" applyFont="1" applyFill="1" applyBorder="1" applyAlignment="1">
      <alignment horizontal="center" vertical="center"/>
    </xf>
    <xf numFmtId="49" fontId="24" fillId="21" borderId="1" xfId="0" applyNumberFormat="1" applyFont="1" applyFill="1" applyBorder="1" applyAlignment="1">
      <alignment horizontal="center" vertical="center"/>
    </xf>
    <xf numFmtId="49" fontId="24" fillId="21" borderId="2" xfId="0" applyNumberFormat="1" applyFont="1" applyFill="1" applyBorder="1" applyAlignment="1">
      <alignment horizontal="center" vertical="center"/>
    </xf>
    <xf numFmtId="49" fontId="24" fillId="21" borderId="663" xfId="0" applyNumberFormat="1" applyFont="1" applyFill="1" applyBorder="1" applyAlignment="1">
      <alignment horizontal="center" vertical="center"/>
    </xf>
    <xf numFmtId="49" fontId="24" fillId="21" borderId="508" xfId="0" applyNumberFormat="1" applyFont="1" applyFill="1" applyBorder="1" applyAlignment="1">
      <alignment horizontal="center" vertical="center"/>
    </xf>
    <xf numFmtId="49" fontId="24" fillId="21" borderId="664" xfId="0" applyNumberFormat="1" applyFont="1" applyFill="1" applyBorder="1" applyAlignment="1">
      <alignment horizontal="center" vertical="center"/>
    </xf>
    <xf numFmtId="180" fontId="67" fillId="8" borderId="511" xfId="0" applyNumberFormat="1" applyFont="1" applyFill="1" applyBorder="1" applyAlignment="1" applyProtection="1">
      <alignment horizontal="center" vertical="center"/>
      <protection hidden="1"/>
    </xf>
    <xf numFmtId="180" fontId="67" fillId="8" borderId="164" xfId="0" applyNumberFormat="1" applyFont="1" applyFill="1" applyBorder="1" applyAlignment="1" applyProtection="1">
      <alignment horizontal="center" vertical="center"/>
      <protection hidden="1"/>
    </xf>
    <xf numFmtId="180" fontId="67" fillId="8" borderId="510" xfId="0" applyNumberFormat="1" applyFont="1" applyFill="1" applyBorder="1" applyAlignment="1" applyProtection="1">
      <alignment horizontal="center" vertical="center"/>
      <protection hidden="1"/>
    </xf>
    <xf numFmtId="180" fontId="67" fillId="8" borderId="0" xfId="0" applyNumberFormat="1" applyFont="1" applyFill="1" applyAlignment="1" applyProtection="1">
      <alignment horizontal="center" vertical="center"/>
      <protection hidden="1"/>
    </xf>
    <xf numFmtId="180" fontId="67" fillId="8" borderId="507" xfId="0" applyNumberFormat="1" applyFont="1" applyFill="1" applyBorder="1" applyAlignment="1" applyProtection="1">
      <alignment horizontal="center" vertical="center"/>
      <protection hidden="1"/>
    </xf>
    <xf numFmtId="180" fontId="67" fillId="8" borderId="508" xfId="0" applyNumberFormat="1" applyFont="1" applyFill="1" applyBorder="1" applyAlignment="1" applyProtection="1">
      <alignment horizontal="center" vertical="center"/>
      <protection hidden="1"/>
    </xf>
    <xf numFmtId="49" fontId="24" fillId="21" borderId="163" xfId="0" applyNumberFormat="1" applyFont="1" applyFill="1" applyBorder="1" applyAlignment="1" applyProtection="1">
      <alignment horizontal="center" vertical="center"/>
      <protection locked="0"/>
    </xf>
    <xf numFmtId="49" fontId="24" fillId="21" borderId="164" xfId="0" applyNumberFormat="1" applyFont="1" applyFill="1" applyBorder="1" applyAlignment="1" applyProtection="1">
      <alignment horizontal="center" vertical="center"/>
      <protection locked="0"/>
    </xf>
    <xf numFmtId="49" fontId="24" fillId="21" borderId="16" xfId="0" applyNumberFormat="1" applyFont="1" applyFill="1" applyBorder="1" applyAlignment="1" applyProtection="1">
      <alignment horizontal="center" vertical="center"/>
      <protection locked="0"/>
    </xf>
    <xf numFmtId="49" fontId="24" fillId="21" borderId="0" xfId="0" applyNumberFormat="1" applyFont="1" applyFill="1" applyAlignment="1" applyProtection="1">
      <alignment horizontal="center" vertical="center"/>
      <protection locked="0"/>
    </xf>
    <xf numFmtId="182" fontId="67" fillId="8" borderId="164" xfId="0" applyNumberFormat="1" applyFont="1" applyFill="1" applyBorder="1" applyAlignment="1" applyProtection="1">
      <alignment horizontal="center" vertical="center"/>
      <protection locked="0"/>
    </xf>
    <xf numFmtId="182" fontId="67" fillId="8" borderId="0" xfId="0" applyNumberFormat="1" applyFont="1" applyFill="1" applyAlignment="1" applyProtection="1">
      <alignment horizontal="center" vertical="center"/>
      <protection locked="0"/>
    </xf>
    <xf numFmtId="182" fontId="67" fillId="8" borderId="508" xfId="0" applyNumberFormat="1" applyFont="1" applyFill="1" applyBorder="1" applyAlignment="1" applyProtection="1">
      <alignment horizontal="center" vertical="center"/>
      <protection locked="0"/>
    </xf>
    <xf numFmtId="0" fontId="60" fillId="2" borderId="38" xfId="0" applyFont="1" applyFill="1" applyBorder="1" applyAlignment="1" applyProtection="1">
      <alignment horizontal="left" vertical="center" shrinkToFit="1"/>
      <protection hidden="1"/>
    </xf>
    <xf numFmtId="0" fontId="60" fillId="2" borderId="1" xfId="0" applyFont="1" applyFill="1" applyBorder="1" applyAlignment="1" applyProtection="1">
      <alignment horizontal="left" vertical="center" shrinkToFit="1"/>
      <protection hidden="1"/>
    </xf>
    <xf numFmtId="0" fontId="60" fillId="2" borderId="37" xfId="0" applyFont="1" applyFill="1" applyBorder="1" applyAlignment="1" applyProtection="1">
      <alignment horizontal="left" vertical="center" shrinkToFit="1"/>
      <protection hidden="1"/>
    </xf>
    <xf numFmtId="0" fontId="60" fillId="2" borderId="175" xfId="0" applyFont="1" applyFill="1" applyBorder="1" applyAlignment="1" applyProtection="1">
      <alignment horizontal="left" vertical="center" shrinkToFit="1"/>
      <protection hidden="1"/>
    </xf>
    <xf numFmtId="0" fontId="60" fillId="2" borderId="161" xfId="0" applyFont="1" applyFill="1" applyBorder="1" applyAlignment="1" applyProtection="1">
      <alignment horizontal="left" vertical="center" shrinkToFit="1"/>
      <protection hidden="1"/>
    </xf>
    <xf numFmtId="0" fontId="60" fillId="2" borderId="174" xfId="0" applyFont="1" applyFill="1" applyBorder="1" applyAlignment="1" applyProtection="1">
      <alignment horizontal="left" vertical="center" shrinkToFit="1"/>
      <protection hidden="1"/>
    </xf>
    <xf numFmtId="0" fontId="21" fillId="9" borderId="384" xfId="0" applyFont="1" applyFill="1" applyBorder="1" applyAlignment="1" applyProtection="1">
      <alignment horizontal="center" vertical="center"/>
      <protection hidden="1"/>
    </xf>
    <xf numFmtId="0" fontId="21" fillId="9" borderId="24" xfId="0" applyFont="1" applyFill="1" applyBorder="1" applyAlignment="1" applyProtection="1">
      <alignment horizontal="center" vertical="center"/>
      <protection hidden="1"/>
    </xf>
    <xf numFmtId="0" fontId="21" fillId="9" borderId="385" xfId="0" applyFont="1" applyFill="1" applyBorder="1" applyAlignment="1" applyProtection="1">
      <alignment horizontal="center" vertical="center"/>
      <protection hidden="1"/>
    </xf>
    <xf numFmtId="0" fontId="21" fillId="9" borderId="159" xfId="0" applyFont="1" applyFill="1" applyBorder="1" applyAlignment="1" applyProtection="1">
      <alignment horizontal="center" vertical="center"/>
      <protection hidden="1"/>
    </xf>
    <xf numFmtId="0" fontId="67" fillId="21" borderId="12" xfId="0" applyFont="1" applyFill="1" applyBorder="1" applyAlignment="1">
      <alignment horizontal="center" vertical="center"/>
    </xf>
    <xf numFmtId="0" fontId="67" fillId="21" borderId="9" xfId="0" applyFont="1" applyFill="1" applyBorder="1" applyAlignment="1">
      <alignment horizontal="center" vertical="center"/>
    </xf>
    <xf numFmtId="0" fontId="67" fillId="21" borderId="10" xfId="0" applyFont="1" applyFill="1" applyBorder="1" applyAlignment="1">
      <alignment horizontal="center" vertical="center"/>
    </xf>
    <xf numFmtId="0" fontId="67" fillId="8" borderId="164" xfId="0" applyFont="1" applyFill="1" applyBorder="1" applyAlignment="1" applyProtection="1">
      <alignment horizontal="center" vertical="center"/>
      <protection hidden="1"/>
    </xf>
    <xf numFmtId="0" fontId="67" fillId="8" borderId="502" xfId="0" applyFont="1" applyFill="1" applyBorder="1" applyAlignment="1" applyProtection="1">
      <alignment horizontal="center" vertical="center"/>
      <protection hidden="1"/>
    </xf>
    <xf numFmtId="0" fontId="67" fillId="8" borderId="0" xfId="0" applyFont="1" applyFill="1" applyAlignment="1" applyProtection="1">
      <alignment horizontal="center" vertical="center"/>
      <protection hidden="1"/>
    </xf>
    <xf numFmtId="0" fontId="67" fillId="8" borderId="503" xfId="0" applyFont="1" applyFill="1" applyBorder="1" applyAlignment="1" applyProtection="1">
      <alignment horizontal="center" vertical="center"/>
      <protection hidden="1"/>
    </xf>
    <xf numFmtId="0" fontId="67" fillId="8" borderId="508" xfId="0" applyFont="1" applyFill="1" applyBorder="1" applyAlignment="1" applyProtection="1">
      <alignment horizontal="center" vertical="center"/>
      <protection hidden="1"/>
    </xf>
    <xf numFmtId="0" fontId="67" fillId="8" borderId="509" xfId="0" applyFont="1" applyFill="1" applyBorder="1" applyAlignment="1" applyProtection="1">
      <alignment horizontal="center" vertical="center"/>
      <protection hidden="1"/>
    </xf>
    <xf numFmtId="0" fontId="75" fillId="8" borderId="0" xfId="0" applyFont="1" applyFill="1" applyAlignment="1" applyProtection="1">
      <alignment horizontal="left" vertical="top"/>
      <protection hidden="1"/>
    </xf>
    <xf numFmtId="0" fontId="164" fillId="8" borderId="0" xfId="1" applyFont="1" applyFill="1" applyAlignment="1" applyProtection="1">
      <alignment horizontal="left" vertical="top"/>
      <protection hidden="1"/>
    </xf>
    <xf numFmtId="0" fontId="24" fillId="0" borderId="505" xfId="0" applyFont="1" applyBorder="1" applyAlignment="1" applyProtection="1">
      <alignment horizontal="center" vertical="center"/>
      <protection locked="0"/>
    </xf>
    <xf numFmtId="0" fontId="24" fillId="0" borderId="501" xfId="0" applyFont="1" applyBorder="1" applyAlignment="1" applyProtection="1">
      <alignment horizontal="center" vertical="center"/>
      <protection locked="0"/>
    </xf>
    <xf numFmtId="0" fontId="24" fillId="0" borderId="506" xfId="0" applyFont="1" applyBorder="1" applyAlignment="1" applyProtection="1">
      <alignment horizontal="center" vertical="center"/>
      <protection locked="0"/>
    </xf>
    <xf numFmtId="0" fontId="24" fillId="0" borderId="507" xfId="0" applyFont="1" applyBorder="1" applyAlignment="1" applyProtection="1">
      <alignment horizontal="center" vertical="center"/>
      <protection locked="0"/>
    </xf>
    <xf numFmtId="0" fontId="24" fillId="0" borderId="508" xfId="0" applyFont="1" applyBorder="1" applyAlignment="1" applyProtection="1">
      <alignment horizontal="center" vertical="center"/>
      <protection locked="0"/>
    </xf>
    <xf numFmtId="0" fontId="24" fillId="0" borderId="509" xfId="0" applyFont="1" applyBorder="1" applyAlignment="1" applyProtection="1">
      <alignment horizontal="center" vertical="center"/>
      <protection locked="0"/>
    </xf>
    <xf numFmtId="0" fontId="60" fillId="8" borderId="511" xfId="0" applyFont="1" applyFill="1" applyBorder="1" applyAlignment="1" applyProtection="1">
      <alignment horizontal="center" vertical="top" wrapText="1"/>
      <protection locked="0"/>
    </xf>
    <xf numFmtId="0" fontId="60" fillId="8" borderId="164" xfId="0" applyFont="1" applyFill="1" applyBorder="1" applyAlignment="1" applyProtection="1">
      <alignment horizontal="center" vertical="top" wrapText="1"/>
      <protection locked="0"/>
    </xf>
    <xf numFmtId="0" fontId="60" fillId="8" borderId="387" xfId="0" applyFont="1" applyFill="1" applyBorder="1" applyAlignment="1" applyProtection="1">
      <alignment horizontal="center" vertical="top" wrapText="1"/>
      <protection locked="0"/>
    </xf>
    <xf numFmtId="0" fontId="60" fillId="8" borderId="510" xfId="0" applyFont="1" applyFill="1" applyBorder="1" applyAlignment="1" applyProtection="1">
      <alignment horizontal="center" vertical="top" wrapText="1"/>
      <protection locked="0"/>
    </xf>
    <xf numFmtId="0" fontId="60" fillId="8" borderId="0" xfId="0" applyFont="1" applyFill="1" applyAlignment="1" applyProtection="1">
      <alignment horizontal="center" vertical="top" wrapText="1"/>
      <protection locked="0"/>
    </xf>
    <xf numFmtId="0" fontId="60" fillId="8" borderId="308" xfId="0" applyFont="1" applyFill="1" applyBorder="1" applyAlignment="1" applyProtection="1">
      <alignment horizontal="center" vertical="top" wrapText="1"/>
      <protection locked="0"/>
    </xf>
    <xf numFmtId="0" fontId="24" fillId="18" borderId="505" xfId="0" applyFont="1" applyFill="1" applyBorder="1" applyAlignment="1">
      <alignment horizontal="center" vertical="center"/>
    </xf>
    <xf numFmtId="0" fontId="24" fillId="18" borderId="501" xfId="0" applyFont="1" applyFill="1" applyBorder="1" applyAlignment="1">
      <alignment horizontal="center" vertical="center"/>
    </xf>
    <xf numFmtId="0" fontId="24" fillId="18" borderId="506" xfId="0" applyFont="1" applyFill="1" applyBorder="1" applyAlignment="1">
      <alignment horizontal="center" vertical="center"/>
    </xf>
    <xf numFmtId="0" fontId="24" fillId="18" borderId="507" xfId="0" applyFont="1" applyFill="1" applyBorder="1" applyAlignment="1">
      <alignment horizontal="center" vertical="center"/>
    </xf>
    <xf numFmtId="0" fontId="24" fillId="18" borderId="508" xfId="0" applyFont="1" applyFill="1" applyBorder="1" applyAlignment="1">
      <alignment horizontal="center" vertical="center"/>
    </xf>
    <xf numFmtId="0" fontId="24" fillId="18" borderId="509" xfId="0" applyFont="1" applyFill="1" applyBorder="1" applyAlignment="1">
      <alignment horizontal="center" vertical="center"/>
    </xf>
    <xf numFmtId="0" fontId="130" fillId="18" borderId="505" xfId="0" applyFont="1" applyFill="1" applyBorder="1" applyAlignment="1">
      <alignment horizontal="center" vertical="center"/>
    </xf>
    <xf numFmtId="0" fontId="130" fillId="18" borderId="501" xfId="0" applyFont="1" applyFill="1" applyBorder="1" applyAlignment="1">
      <alignment horizontal="center" vertical="center"/>
    </xf>
    <xf numFmtId="0" fontId="130" fillId="18" borderId="506" xfId="0" applyFont="1" applyFill="1" applyBorder="1" applyAlignment="1">
      <alignment horizontal="center" vertical="center"/>
    </xf>
    <xf numFmtId="0" fontId="130" fillId="18" borderId="507" xfId="0" applyFont="1" applyFill="1" applyBorder="1" applyAlignment="1">
      <alignment horizontal="center" vertical="center"/>
    </xf>
    <xf numFmtId="0" fontId="130" fillId="18" borderId="508" xfId="0" applyFont="1" applyFill="1" applyBorder="1" applyAlignment="1">
      <alignment horizontal="center" vertical="center"/>
    </xf>
    <xf numFmtId="0" fontId="130" fillId="18" borderId="509" xfId="0" applyFont="1" applyFill="1" applyBorder="1" applyAlignment="1">
      <alignment horizontal="center" vertical="center"/>
    </xf>
    <xf numFmtId="176" fontId="67" fillId="21" borderId="163" xfId="0" applyNumberFormat="1" applyFont="1" applyFill="1" applyBorder="1" applyAlignment="1" applyProtection="1">
      <alignment horizontal="center" vertical="center"/>
      <protection locked="0"/>
    </xf>
    <xf numFmtId="176" fontId="67" fillId="21" borderId="164" xfId="0" applyNumberFormat="1" applyFont="1" applyFill="1" applyBorder="1" applyAlignment="1" applyProtection="1">
      <alignment horizontal="center" vertical="center"/>
      <protection locked="0"/>
    </xf>
    <xf numFmtId="176" fontId="67" fillId="21" borderId="502" xfId="0" applyNumberFormat="1" applyFont="1" applyFill="1" applyBorder="1" applyAlignment="1" applyProtection="1">
      <alignment horizontal="center" vertical="center"/>
      <protection locked="0"/>
    </xf>
    <xf numFmtId="176" fontId="67" fillId="21" borderId="16" xfId="0" applyNumberFormat="1" applyFont="1" applyFill="1" applyBorder="1" applyAlignment="1" applyProtection="1">
      <alignment horizontal="center" vertical="center"/>
      <protection locked="0"/>
    </xf>
    <xf numFmtId="176" fontId="67" fillId="21" borderId="0" xfId="0" applyNumberFormat="1" applyFont="1" applyFill="1" applyAlignment="1" applyProtection="1">
      <alignment horizontal="center" vertical="center"/>
      <protection locked="0"/>
    </xf>
    <xf numFmtId="176" fontId="67" fillId="21" borderId="503" xfId="0" applyNumberFormat="1" applyFont="1" applyFill="1" applyBorder="1" applyAlignment="1" applyProtection="1">
      <alignment horizontal="center" vertical="center"/>
      <protection locked="0"/>
    </xf>
    <xf numFmtId="176" fontId="67" fillId="21" borderId="663" xfId="0" applyNumberFormat="1" applyFont="1" applyFill="1" applyBorder="1" applyAlignment="1" applyProtection="1">
      <alignment horizontal="center" vertical="center"/>
      <protection locked="0"/>
    </xf>
    <xf numFmtId="176" fontId="67" fillId="21" borderId="508" xfId="0" applyNumberFormat="1" applyFont="1" applyFill="1" applyBorder="1" applyAlignment="1" applyProtection="1">
      <alignment horizontal="center" vertical="center"/>
      <protection locked="0"/>
    </xf>
    <xf numFmtId="176" fontId="67" fillId="21" borderId="509" xfId="0" applyNumberFormat="1" applyFont="1" applyFill="1" applyBorder="1" applyAlignment="1" applyProtection="1">
      <alignment horizontal="center" vertical="center"/>
      <protection locked="0"/>
    </xf>
    <xf numFmtId="176" fontId="24" fillId="21" borderId="163" xfId="0" applyNumberFormat="1" applyFont="1" applyFill="1" applyBorder="1" applyAlignment="1" applyProtection="1">
      <alignment horizontal="center" vertical="center"/>
      <protection locked="0"/>
    </xf>
    <xf numFmtId="176" fontId="24" fillId="21" borderId="164" xfId="0" applyNumberFormat="1" applyFont="1" applyFill="1" applyBorder="1" applyAlignment="1" applyProtection="1">
      <alignment horizontal="center" vertical="center"/>
      <protection locked="0"/>
    </xf>
    <xf numFmtId="176" fontId="24" fillId="21" borderId="165" xfId="0" applyNumberFormat="1" applyFont="1" applyFill="1" applyBorder="1" applyAlignment="1" applyProtection="1">
      <alignment horizontal="center" vertical="center"/>
      <protection locked="0"/>
    </xf>
    <xf numFmtId="176" fontId="24" fillId="21" borderId="16" xfId="0" applyNumberFormat="1" applyFont="1" applyFill="1" applyBorder="1" applyAlignment="1" applyProtection="1">
      <alignment horizontal="center" vertical="center"/>
      <protection locked="0"/>
    </xf>
    <xf numFmtId="176" fontId="24" fillId="21" borderId="0" xfId="0" applyNumberFormat="1" applyFont="1" applyFill="1" applyAlignment="1" applyProtection="1">
      <alignment horizontal="center" vertical="center"/>
      <protection locked="0"/>
    </xf>
    <xf numFmtId="176" fontId="24" fillId="21" borderId="3" xfId="0" applyNumberFormat="1" applyFont="1" applyFill="1" applyBorder="1" applyAlignment="1" applyProtection="1">
      <alignment horizontal="center" vertical="center"/>
      <protection locked="0"/>
    </xf>
    <xf numFmtId="176" fontId="24" fillId="21" borderId="663" xfId="0" applyNumberFormat="1" applyFont="1" applyFill="1" applyBorder="1" applyAlignment="1" applyProtection="1">
      <alignment horizontal="center" vertical="center"/>
      <protection locked="0"/>
    </xf>
    <xf numFmtId="176" fontId="24" fillId="21" borderId="508" xfId="0" applyNumberFormat="1" applyFont="1" applyFill="1" applyBorder="1" applyAlignment="1" applyProtection="1">
      <alignment horizontal="center" vertical="center"/>
      <protection locked="0"/>
    </xf>
    <xf numFmtId="176" fontId="24" fillId="21" borderId="664" xfId="0" applyNumberFormat="1" applyFont="1" applyFill="1" applyBorder="1" applyAlignment="1" applyProtection="1">
      <alignment horizontal="center" vertical="center"/>
      <protection locked="0"/>
    </xf>
    <xf numFmtId="0" fontId="67" fillId="21" borderId="24" xfId="0" applyFont="1" applyFill="1" applyBorder="1" applyAlignment="1">
      <alignment horizontal="center" vertical="center"/>
    </xf>
    <xf numFmtId="0" fontId="24" fillId="18" borderId="504" xfId="0" applyFont="1" applyFill="1" applyBorder="1" applyAlignment="1">
      <alignment horizontal="center" vertical="center"/>
    </xf>
    <xf numFmtId="0" fontId="67" fillId="0" borderId="24" xfId="0" applyFont="1" applyBorder="1" applyAlignment="1" applyProtection="1">
      <alignment horizontal="center" vertical="center"/>
      <protection locked="0"/>
    </xf>
    <xf numFmtId="0" fontId="47" fillId="0" borderId="55" xfId="0" applyFont="1" applyBorder="1" applyAlignment="1" applyProtection="1">
      <alignment horizontal="center" vertical="center" shrinkToFit="1"/>
      <protection locked="0"/>
    </xf>
    <xf numFmtId="0" fontId="47" fillId="0" borderId="46" xfId="0" applyFont="1" applyBorder="1" applyAlignment="1" applyProtection="1">
      <alignment horizontal="center" vertical="center" shrinkToFit="1"/>
      <protection locked="0"/>
    </xf>
    <xf numFmtId="0" fontId="47" fillId="0" borderId="56" xfId="0" applyFont="1" applyBorder="1" applyAlignment="1" applyProtection="1">
      <alignment horizontal="center" vertical="center" shrinkToFit="1"/>
      <protection locked="0"/>
    </xf>
    <xf numFmtId="0" fontId="47" fillId="0" borderId="0" xfId="0" applyFont="1" applyAlignment="1" applyProtection="1">
      <alignment horizontal="center" vertical="center" shrinkToFit="1"/>
      <protection locked="0"/>
    </xf>
    <xf numFmtId="0" fontId="43" fillId="15" borderId="342" xfId="0" applyFont="1" applyFill="1" applyBorder="1" applyAlignment="1" applyProtection="1">
      <alignment vertical="center" wrapText="1"/>
      <protection hidden="1"/>
    </xf>
    <xf numFmtId="0" fontId="43" fillId="15" borderId="339" xfId="0" applyFont="1" applyFill="1" applyBorder="1" applyAlignment="1" applyProtection="1">
      <alignment vertical="center" wrapText="1"/>
      <protection hidden="1"/>
    </xf>
    <xf numFmtId="0" fontId="43" fillId="15" borderId="344" xfId="0" applyFont="1" applyFill="1" applyBorder="1" applyAlignment="1" applyProtection="1">
      <alignment vertical="center" wrapText="1"/>
      <protection hidden="1"/>
    </xf>
    <xf numFmtId="0" fontId="31" fillId="11" borderId="358" xfId="0" applyFont="1" applyFill="1" applyBorder="1" applyAlignment="1" applyProtection="1">
      <alignment horizontal="center" vertical="center" wrapText="1" shrinkToFit="1"/>
      <protection hidden="1"/>
    </xf>
    <xf numFmtId="0" fontId="31" fillId="11" borderId="359" xfId="0" applyFont="1" applyFill="1" applyBorder="1" applyAlignment="1" applyProtection="1">
      <alignment horizontal="center" vertical="center" wrapText="1" shrinkToFit="1"/>
      <protection hidden="1"/>
    </xf>
    <xf numFmtId="0" fontId="31" fillId="11" borderId="308" xfId="0" applyFont="1" applyFill="1" applyBorder="1" applyAlignment="1" applyProtection="1">
      <alignment horizontal="center" vertical="center" wrapText="1" shrinkToFit="1"/>
      <protection hidden="1"/>
    </xf>
    <xf numFmtId="0" fontId="31" fillId="11" borderId="406" xfId="0" applyFont="1" applyFill="1" applyBorder="1" applyAlignment="1" applyProtection="1">
      <alignment horizontal="center" vertical="center" wrapText="1" shrinkToFit="1"/>
      <protection hidden="1"/>
    </xf>
    <xf numFmtId="0" fontId="31" fillId="11" borderId="375" xfId="0" applyFont="1" applyFill="1" applyBorder="1" applyAlignment="1" applyProtection="1">
      <alignment horizontal="center" vertical="center" wrapText="1" shrinkToFit="1"/>
      <protection hidden="1"/>
    </xf>
    <xf numFmtId="0" fontId="41" fillId="9" borderId="39" xfId="0" applyFont="1" applyFill="1" applyBorder="1" applyAlignment="1" applyProtection="1">
      <alignment horizontal="right" vertical="center" wrapText="1" shrinkToFit="1"/>
      <protection hidden="1"/>
    </xf>
    <xf numFmtId="182" fontId="47" fillId="8" borderId="62" xfId="0" applyNumberFormat="1" applyFont="1" applyFill="1" applyBorder="1" applyAlignment="1" applyProtection="1">
      <alignment horizontal="center" vertical="center" shrinkToFit="1"/>
      <protection hidden="1"/>
    </xf>
    <xf numFmtId="182" fontId="47" fillId="8" borderId="64" xfId="0" applyNumberFormat="1" applyFont="1" applyFill="1" applyBorder="1" applyAlignment="1" applyProtection="1">
      <alignment horizontal="center" vertical="center" shrinkToFit="1"/>
      <protection hidden="1"/>
    </xf>
    <xf numFmtId="182" fontId="47" fillId="8" borderId="69" xfId="0" applyNumberFormat="1" applyFont="1" applyFill="1" applyBorder="1" applyAlignment="1" applyProtection="1">
      <alignment horizontal="center" vertical="center" shrinkToFit="1"/>
      <protection hidden="1"/>
    </xf>
    <xf numFmtId="0" fontId="64" fillId="22" borderId="55" xfId="0" applyFont="1" applyFill="1" applyBorder="1" applyAlignment="1">
      <alignment horizontal="center" vertical="center" shrinkToFit="1"/>
    </xf>
    <xf numFmtId="0" fontId="64" fillId="22" borderId="62" xfId="0" applyFont="1" applyFill="1" applyBorder="1" applyAlignment="1">
      <alignment horizontal="center" vertical="center" shrinkToFit="1"/>
    </xf>
    <xf numFmtId="0" fontId="64" fillId="22" borderId="56" xfId="0" applyFont="1" applyFill="1" applyBorder="1" applyAlignment="1">
      <alignment horizontal="center" vertical="center" shrinkToFit="1"/>
    </xf>
    <xf numFmtId="0" fontId="64" fillId="22" borderId="64" xfId="0" applyFont="1" applyFill="1" applyBorder="1" applyAlignment="1">
      <alignment horizontal="center" vertical="center" shrinkToFit="1"/>
    </xf>
    <xf numFmtId="0" fontId="47" fillId="2" borderId="55" xfId="0" applyFont="1" applyFill="1" applyBorder="1" applyAlignment="1" applyProtection="1">
      <alignment horizontal="center" vertical="center" wrapText="1" shrinkToFit="1"/>
      <protection locked="0"/>
    </xf>
    <xf numFmtId="0" fontId="47" fillId="2" borderId="46" xfId="0" applyFont="1" applyFill="1" applyBorder="1" applyAlignment="1" applyProtection="1">
      <alignment horizontal="center" vertical="center" wrapText="1" shrinkToFit="1"/>
      <protection locked="0"/>
    </xf>
    <xf numFmtId="0" fontId="47" fillId="2" borderId="62" xfId="0" applyFont="1" applyFill="1" applyBorder="1" applyAlignment="1" applyProtection="1">
      <alignment horizontal="center" vertical="center" wrapText="1" shrinkToFit="1"/>
      <protection locked="0"/>
    </xf>
    <xf numFmtId="0" fontId="47" fillId="2" borderId="56" xfId="0" applyFont="1" applyFill="1" applyBorder="1" applyAlignment="1" applyProtection="1">
      <alignment horizontal="center" vertical="center" wrapText="1" shrinkToFit="1"/>
      <protection locked="0"/>
    </xf>
    <xf numFmtId="0" fontId="47" fillId="2" borderId="0" xfId="0" applyFont="1" applyFill="1" applyAlignment="1" applyProtection="1">
      <alignment horizontal="center" vertical="center" wrapText="1" shrinkToFit="1"/>
      <protection locked="0"/>
    </xf>
    <xf numFmtId="0" fontId="47" fillId="2" borderId="64" xfId="0" applyFont="1" applyFill="1" applyBorder="1" applyAlignment="1" applyProtection="1">
      <alignment horizontal="center" vertical="center" wrapText="1" shrinkToFit="1"/>
      <protection locked="0"/>
    </xf>
    <xf numFmtId="0" fontId="106" fillId="4" borderId="280" xfId="0" applyFont="1" applyFill="1" applyBorder="1" applyAlignment="1" applyProtection="1">
      <alignment horizontal="left" vertical="center"/>
      <protection hidden="1"/>
    </xf>
    <xf numFmtId="0" fontId="106" fillId="4" borderId="281" xfId="0" applyFont="1" applyFill="1" applyBorder="1" applyAlignment="1" applyProtection="1">
      <alignment horizontal="left" vertical="center"/>
      <protection hidden="1"/>
    </xf>
    <xf numFmtId="0" fontId="106" fillId="4" borderId="287" xfId="0" applyFont="1" applyFill="1" applyBorder="1" applyAlignment="1" applyProtection="1">
      <alignment horizontal="left" vertical="center"/>
      <protection hidden="1"/>
    </xf>
    <xf numFmtId="0" fontId="106" fillId="4" borderId="297" xfId="0" applyFont="1" applyFill="1" applyBorder="1" applyAlignment="1" applyProtection="1">
      <alignment horizontal="left" vertical="center"/>
      <protection hidden="1"/>
    </xf>
    <xf numFmtId="0" fontId="106" fillId="4" borderId="9" xfId="0" applyFont="1" applyFill="1" applyBorder="1" applyAlignment="1" applyProtection="1">
      <alignment horizontal="left" vertical="center"/>
      <protection hidden="1"/>
    </xf>
    <xf numFmtId="0" fontId="106" fillId="4" borderId="298" xfId="0" applyFont="1" applyFill="1" applyBorder="1" applyAlignment="1" applyProtection="1">
      <alignment horizontal="left" vertical="center"/>
      <protection hidden="1"/>
    </xf>
    <xf numFmtId="0" fontId="41" fillId="9" borderId="338" xfId="0" applyFont="1" applyFill="1" applyBorder="1" applyAlignment="1" applyProtection="1">
      <alignment horizontal="right" vertical="center" wrapText="1"/>
      <protection hidden="1"/>
    </xf>
    <xf numFmtId="0" fontId="41" fillId="9" borderId="339" xfId="0" applyFont="1" applyFill="1" applyBorder="1" applyAlignment="1" applyProtection="1">
      <alignment horizontal="right" vertical="center" wrapText="1"/>
      <protection hidden="1"/>
    </xf>
    <xf numFmtId="0" fontId="72" fillId="2" borderId="494" xfId="0" applyFont="1" applyFill="1" applyBorder="1" applyAlignment="1" applyProtection="1">
      <alignment horizontal="center" vertical="center" shrinkToFit="1"/>
      <protection locked="0"/>
    </xf>
    <xf numFmtId="0" fontId="72" fillId="2" borderId="495" xfId="0" applyFont="1" applyFill="1" applyBorder="1" applyAlignment="1" applyProtection="1">
      <alignment horizontal="center" vertical="center" shrinkToFit="1"/>
      <protection locked="0"/>
    </xf>
    <xf numFmtId="0" fontId="72" fillId="2" borderId="496" xfId="0" applyFont="1" applyFill="1" applyBorder="1" applyAlignment="1" applyProtection="1">
      <alignment horizontal="center" vertical="center" shrinkToFit="1"/>
      <protection locked="0"/>
    </xf>
    <xf numFmtId="0" fontId="40" fillId="9" borderId="456" xfId="0" applyFont="1" applyFill="1" applyBorder="1" applyAlignment="1" applyProtection="1">
      <alignment horizontal="left" vertical="center" shrinkToFit="1"/>
      <protection hidden="1"/>
    </xf>
    <xf numFmtId="0" fontId="40" fillId="9" borderId="289" xfId="0" applyFont="1" applyFill="1" applyBorder="1" applyAlignment="1" applyProtection="1">
      <alignment horizontal="left" vertical="center" shrinkToFit="1"/>
      <protection hidden="1"/>
    </xf>
    <xf numFmtId="0" fontId="116" fillId="9" borderId="484" xfId="0" applyFont="1" applyFill="1" applyBorder="1" applyAlignment="1" applyProtection="1">
      <alignment horizontal="center" vertical="center"/>
      <protection hidden="1"/>
    </xf>
    <xf numFmtId="0" fontId="116" fillId="9" borderId="332" xfId="0" applyFont="1" applyFill="1" applyBorder="1" applyAlignment="1" applyProtection="1">
      <alignment horizontal="center" vertical="center"/>
      <protection hidden="1"/>
    </xf>
    <xf numFmtId="0" fontId="116" fillId="9" borderId="486" xfId="0" applyFont="1" applyFill="1" applyBorder="1" applyAlignment="1" applyProtection="1">
      <alignment horizontal="center" vertical="center"/>
      <protection hidden="1"/>
    </xf>
    <xf numFmtId="0" fontId="116" fillId="9" borderId="73" xfId="0" applyFont="1" applyFill="1" applyBorder="1" applyAlignment="1" applyProtection="1">
      <alignment horizontal="center" vertical="center"/>
      <protection hidden="1"/>
    </xf>
    <xf numFmtId="0" fontId="116" fillId="9" borderId="50" xfId="0" applyFont="1" applyFill="1" applyBorder="1" applyAlignment="1" applyProtection="1">
      <alignment horizontal="center" vertical="center"/>
      <protection hidden="1"/>
    </xf>
    <xf numFmtId="0" fontId="116" fillId="9" borderId="195" xfId="0" applyFont="1" applyFill="1" applyBorder="1" applyAlignment="1" applyProtection="1">
      <alignment horizontal="center" vertical="center"/>
      <protection hidden="1"/>
    </xf>
    <xf numFmtId="0" fontId="43" fillId="20" borderId="484" xfId="0" applyFont="1" applyFill="1" applyBorder="1" applyAlignment="1" applyProtection="1">
      <alignment horizontal="center" vertical="center" wrapText="1"/>
      <protection hidden="1"/>
    </xf>
    <xf numFmtId="0" fontId="43" fillId="20" borderId="336" xfId="0" applyFont="1" applyFill="1" applyBorder="1" applyAlignment="1" applyProtection="1">
      <alignment horizontal="center" vertical="center" wrapText="1"/>
      <protection hidden="1"/>
    </xf>
    <xf numFmtId="0" fontId="43" fillId="20" borderId="485" xfId="0" applyFont="1" applyFill="1" applyBorder="1" applyAlignment="1" applyProtection="1">
      <alignment horizontal="center" vertical="center" wrapText="1"/>
      <protection hidden="1"/>
    </xf>
    <xf numFmtId="0" fontId="43" fillId="20" borderId="343" xfId="0" applyFont="1" applyFill="1" applyBorder="1" applyAlignment="1" applyProtection="1">
      <alignment horizontal="center" vertical="center" wrapText="1"/>
      <protection hidden="1"/>
    </xf>
    <xf numFmtId="0" fontId="29" fillId="8" borderId="335" xfId="0" applyFont="1" applyFill="1" applyBorder="1" applyAlignment="1" applyProtection="1">
      <alignment horizontal="center" vertical="center" wrapText="1"/>
      <protection locked="0" hidden="1"/>
    </xf>
    <xf numFmtId="0" fontId="29" fillId="8" borderId="332" xfId="0" applyFont="1" applyFill="1" applyBorder="1" applyAlignment="1" applyProtection="1">
      <alignment horizontal="center" vertical="center" wrapText="1"/>
      <protection locked="0" hidden="1"/>
    </xf>
    <xf numFmtId="0" fontId="29" fillId="8" borderId="336" xfId="0" applyFont="1" applyFill="1" applyBorder="1" applyAlignment="1" applyProtection="1">
      <alignment horizontal="center" vertical="center" wrapText="1"/>
      <protection locked="0" hidden="1"/>
    </xf>
    <xf numFmtId="0" fontId="29" fillId="8" borderId="342" xfId="0" applyFont="1" applyFill="1" applyBorder="1" applyAlignment="1" applyProtection="1">
      <alignment horizontal="center" vertical="center" wrapText="1"/>
      <protection locked="0" hidden="1"/>
    </xf>
    <xf numFmtId="0" fontId="29" fillId="8" borderId="339" xfId="0" applyFont="1" applyFill="1" applyBorder="1" applyAlignment="1" applyProtection="1">
      <alignment horizontal="center" vertical="center" wrapText="1"/>
      <protection locked="0" hidden="1"/>
    </xf>
    <xf numFmtId="0" fontId="29" fillId="8" borderId="343" xfId="0" applyFont="1" applyFill="1" applyBorder="1" applyAlignment="1" applyProtection="1">
      <alignment horizontal="center" vertical="center" wrapText="1"/>
      <protection locked="0" hidden="1"/>
    </xf>
    <xf numFmtId="0" fontId="43" fillId="20" borderId="486" xfId="0" applyFont="1" applyFill="1" applyBorder="1" applyAlignment="1" applyProtection="1">
      <alignment horizontal="center" vertical="center" wrapText="1"/>
      <protection hidden="1"/>
    </xf>
    <xf numFmtId="0" fontId="43" fillId="20" borderId="487" xfId="0" applyFont="1" applyFill="1" applyBorder="1" applyAlignment="1" applyProtection="1">
      <alignment horizontal="center" vertical="center" wrapText="1"/>
      <protection hidden="1"/>
    </xf>
    <xf numFmtId="0" fontId="18" fillId="8" borderId="334" xfId="1" applyFill="1" applyBorder="1" applyAlignment="1" applyProtection="1">
      <alignment horizontal="center" vertical="center" wrapText="1"/>
      <protection locked="0" hidden="1"/>
    </xf>
    <xf numFmtId="0" fontId="43" fillId="8" borderId="341" xfId="0" applyFont="1" applyFill="1" applyBorder="1" applyAlignment="1" applyProtection="1">
      <alignment horizontal="center" vertical="center" wrapText="1"/>
      <protection locked="0" hidden="1"/>
    </xf>
    <xf numFmtId="0" fontId="43" fillId="8" borderId="343" xfId="0" applyFont="1" applyFill="1" applyBorder="1" applyAlignment="1" applyProtection="1">
      <alignment horizontal="center" vertical="center" wrapText="1"/>
      <protection locked="0" hidden="1"/>
    </xf>
    <xf numFmtId="0" fontId="117" fillId="9" borderId="339" xfId="1" applyFont="1" applyFill="1" applyBorder="1" applyAlignment="1" applyProtection="1">
      <alignment horizontal="center" vertical="center" wrapText="1"/>
      <protection locked="0" hidden="1"/>
    </xf>
    <xf numFmtId="0" fontId="117" fillId="9" borderId="340" xfId="1" applyFont="1" applyFill="1" applyBorder="1" applyAlignment="1" applyProtection="1">
      <alignment horizontal="center" vertical="center" wrapText="1"/>
      <protection locked="0" hidden="1"/>
    </xf>
    <xf numFmtId="0" fontId="116" fillId="9" borderId="331" xfId="0" applyFont="1" applyFill="1" applyBorder="1" applyAlignment="1" applyProtection="1">
      <alignment horizontal="center" vertical="center" wrapText="1"/>
      <protection hidden="1"/>
    </xf>
    <xf numFmtId="0" fontId="116" fillId="9" borderId="332" xfId="0" applyFont="1" applyFill="1" applyBorder="1" applyAlignment="1" applyProtection="1">
      <alignment horizontal="center" vertical="center" wrapText="1"/>
      <protection hidden="1"/>
    </xf>
    <xf numFmtId="0" fontId="116" fillId="9" borderId="333" xfId="0" applyFont="1" applyFill="1" applyBorder="1" applyAlignment="1" applyProtection="1">
      <alignment horizontal="center" vertical="center" wrapText="1"/>
      <protection hidden="1"/>
    </xf>
    <xf numFmtId="0" fontId="31" fillId="11" borderId="144" xfId="0" applyFont="1" applyFill="1" applyBorder="1" applyAlignment="1" applyProtection="1">
      <alignment horizontal="center" vertical="center" wrapText="1" shrinkToFit="1"/>
      <protection hidden="1"/>
    </xf>
    <xf numFmtId="0" fontId="31" fillId="11" borderId="105" xfId="0" applyFont="1" applyFill="1" applyBorder="1" applyAlignment="1" applyProtection="1">
      <alignment horizontal="center" vertical="center" wrapText="1" shrinkToFit="1"/>
      <protection hidden="1"/>
    </xf>
    <xf numFmtId="0" fontId="31" fillId="18" borderId="47" xfId="0" applyFont="1" applyFill="1" applyBorder="1" applyAlignment="1" applyProtection="1">
      <alignment horizontal="center" vertical="center" wrapText="1"/>
      <protection hidden="1"/>
    </xf>
    <xf numFmtId="0" fontId="31" fillId="18" borderId="73" xfId="0" applyFont="1" applyFill="1" applyBorder="1" applyAlignment="1" applyProtection="1">
      <alignment horizontal="center" vertical="center" wrapText="1"/>
      <protection hidden="1"/>
    </xf>
    <xf numFmtId="0" fontId="48" fillId="2" borderId="57" xfId="0" applyFont="1" applyFill="1" applyBorder="1" applyAlignment="1" applyProtection="1">
      <alignment horizontal="center" vertical="center" shrinkToFit="1"/>
      <protection locked="0"/>
    </xf>
    <xf numFmtId="0" fontId="18" fillId="2" borderId="97" xfId="1" applyFill="1" applyBorder="1" applyAlignment="1" applyProtection="1">
      <alignment horizontal="center" vertical="center" shrinkToFit="1"/>
      <protection locked="0"/>
    </xf>
    <xf numFmtId="0" fontId="18" fillId="2" borderId="483" xfId="1" applyFill="1" applyBorder="1" applyAlignment="1" applyProtection="1">
      <alignment horizontal="center" vertical="center" shrinkToFit="1"/>
      <protection locked="0"/>
    </xf>
    <xf numFmtId="0" fontId="45" fillId="18" borderId="95" xfId="0" applyFont="1" applyFill="1" applyBorder="1" applyAlignment="1" applyProtection="1">
      <alignment horizontal="left" vertical="center" shrinkToFit="1"/>
      <protection hidden="1"/>
    </xf>
    <xf numFmtId="0" fontId="45" fillId="18" borderId="48" xfId="0" applyFont="1" applyFill="1" applyBorder="1" applyAlignment="1" applyProtection="1">
      <alignment horizontal="left" vertical="center" shrinkToFit="1"/>
      <protection hidden="1"/>
    </xf>
    <xf numFmtId="0" fontId="45" fillId="18" borderId="148" xfId="0" applyFont="1" applyFill="1" applyBorder="1" applyAlignment="1" applyProtection="1">
      <alignment horizontal="left" vertical="center" shrinkToFit="1"/>
      <protection hidden="1"/>
    </xf>
    <xf numFmtId="0" fontId="149" fillId="53" borderId="0" xfId="0" applyFont="1" applyFill="1" applyAlignment="1" applyProtection="1">
      <alignment horizontal="center" vertical="center" wrapText="1"/>
      <protection hidden="1"/>
    </xf>
    <xf numFmtId="0" fontId="149" fillId="53" borderId="64" xfId="0" applyFont="1" applyFill="1" applyBorder="1" applyAlignment="1" applyProtection="1">
      <alignment horizontal="center" vertical="center" wrapText="1"/>
      <protection hidden="1"/>
    </xf>
    <xf numFmtId="0" fontId="149" fillId="53" borderId="50" xfId="0" applyFont="1" applyFill="1" applyBorder="1" applyAlignment="1" applyProtection="1">
      <alignment horizontal="center" vertical="center" wrapText="1"/>
      <protection hidden="1"/>
    </xf>
    <xf numFmtId="0" fontId="149" fillId="53" borderId="65" xfId="0" applyFont="1" applyFill="1" applyBorder="1" applyAlignment="1" applyProtection="1">
      <alignment horizontal="center" vertical="center" wrapText="1"/>
      <protection hidden="1"/>
    </xf>
    <xf numFmtId="0" fontId="28" fillId="2" borderId="56" xfId="0" applyFont="1" applyFill="1" applyBorder="1" applyAlignment="1" applyProtection="1">
      <alignment horizontal="center" vertical="center" shrinkToFit="1"/>
      <protection locked="0" hidden="1"/>
    </xf>
    <xf numFmtId="0" fontId="28" fillId="2" borderId="0" xfId="0" applyFont="1" applyFill="1" applyAlignment="1" applyProtection="1">
      <alignment horizontal="center" vertical="center" shrinkToFit="1"/>
      <protection locked="0" hidden="1"/>
    </xf>
    <xf numFmtId="0" fontId="28" fillId="2" borderId="57" xfId="0" applyFont="1" applyFill="1" applyBorder="1" applyAlignment="1" applyProtection="1">
      <alignment horizontal="center" vertical="center" shrinkToFit="1"/>
      <protection locked="0" hidden="1"/>
    </xf>
    <xf numFmtId="0" fontId="28" fillId="2" borderId="50" xfId="0" applyFont="1" applyFill="1" applyBorder="1" applyAlignment="1" applyProtection="1">
      <alignment horizontal="center" vertical="center" shrinkToFit="1"/>
      <protection locked="0" hidden="1"/>
    </xf>
    <xf numFmtId="0" fontId="28" fillId="2" borderId="64" xfId="0" applyFont="1" applyFill="1" applyBorder="1" applyAlignment="1" applyProtection="1">
      <alignment horizontal="center" vertical="center"/>
      <protection locked="0"/>
    </xf>
    <xf numFmtId="0" fontId="28" fillId="2" borderId="65" xfId="0" applyFont="1" applyFill="1" applyBorder="1" applyAlignment="1" applyProtection="1">
      <alignment horizontal="center" vertical="center"/>
      <protection locked="0"/>
    </xf>
    <xf numFmtId="0" fontId="149" fillId="22" borderId="56" xfId="0" applyFont="1" applyFill="1" applyBorder="1" applyAlignment="1" applyProtection="1">
      <alignment horizontal="center" vertical="center" wrapText="1" shrinkToFit="1"/>
      <protection locked="0" hidden="1"/>
    </xf>
    <xf numFmtId="0" fontId="149" fillId="22" borderId="0" xfId="0" applyFont="1" applyFill="1" applyAlignment="1" applyProtection="1">
      <alignment horizontal="center" vertical="center" shrinkToFit="1"/>
      <protection locked="0" hidden="1"/>
    </xf>
    <xf numFmtId="0" fontId="149" fillId="22" borderId="467" xfId="0" applyFont="1" applyFill="1" applyBorder="1" applyAlignment="1" applyProtection="1">
      <alignment horizontal="center" vertical="center" shrinkToFit="1"/>
      <protection locked="0" hidden="1"/>
    </xf>
    <xf numFmtId="0" fontId="149" fillId="22" borderId="56" xfId="0" applyFont="1" applyFill="1" applyBorder="1" applyAlignment="1" applyProtection="1">
      <alignment horizontal="center" vertical="center" shrinkToFit="1"/>
      <protection locked="0" hidden="1"/>
    </xf>
    <xf numFmtId="0" fontId="149" fillId="22" borderId="57" xfId="0" applyFont="1" applyFill="1" applyBorder="1" applyAlignment="1" applyProtection="1">
      <alignment horizontal="center" vertical="center" shrinkToFit="1"/>
      <protection locked="0" hidden="1"/>
    </xf>
    <xf numFmtId="0" fontId="149" fillId="22" borderId="50" xfId="0" applyFont="1" applyFill="1" applyBorder="1" applyAlignment="1" applyProtection="1">
      <alignment horizontal="center" vertical="center" shrinkToFit="1"/>
      <protection locked="0" hidden="1"/>
    </xf>
    <xf numFmtId="0" fontId="149" fillId="22" borderId="481" xfId="0" applyFont="1" applyFill="1" applyBorder="1" applyAlignment="1" applyProtection="1">
      <alignment horizontal="center" vertical="center" shrinkToFit="1"/>
      <protection locked="0" hidden="1"/>
    </xf>
    <xf numFmtId="0" fontId="31" fillId="53" borderId="56" xfId="0" applyFont="1" applyFill="1" applyBorder="1" applyAlignment="1" applyProtection="1">
      <alignment horizontal="center" vertical="center" wrapText="1"/>
      <protection hidden="1"/>
    </xf>
    <xf numFmtId="0" fontId="31" fillId="53" borderId="57" xfId="0" applyFont="1" applyFill="1" applyBorder="1" applyAlignment="1" applyProtection="1">
      <alignment horizontal="center" vertical="center" wrapText="1"/>
      <protection hidden="1"/>
    </xf>
    <xf numFmtId="0" fontId="31" fillId="11" borderId="61" xfId="0" applyFont="1" applyFill="1" applyBorder="1" applyAlignment="1" applyProtection="1">
      <alignment horizontal="center" vertical="center" wrapText="1"/>
      <protection hidden="1"/>
    </xf>
    <xf numFmtId="0" fontId="31" fillId="11" borderId="53" xfId="0" applyFont="1" applyFill="1" applyBorder="1" applyAlignment="1" applyProtection="1">
      <alignment horizontal="center" vertical="center" wrapText="1"/>
      <protection hidden="1"/>
    </xf>
    <xf numFmtId="0" fontId="31" fillId="11" borderId="69" xfId="0" applyFont="1" applyFill="1" applyBorder="1" applyAlignment="1" applyProtection="1">
      <alignment horizontal="center" vertical="center" wrapText="1"/>
      <protection hidden="1"/>
    </xf>
    <xf numFmtId="0" fontId="48" fillId="2" borderId="46" xfId="0" applyFont="1" applyFill="1" applyBorder="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48" fillId="2" borderId="61" xfId="0" applyFont="1" applyFill="1" applyBorder="1" applyAlignment="1" applyProtection="1">
      <alignment horizontal="center" vertical="center" wrapText="1"/>
      <protection locked="0"/>
    </xf>
    <xf numFmtId="0" fontId="48" fillId="2" borderId="53" xfId="0" applyFont="1" applyFill="1" applyBorder="1" applyAlignment="1" applyProtection="1">
      <alignment horizontal="center" vertical="center" wrapText="1"/>
      <protection locked="0"/>
    </xf>
    <xf numFmtId="0" fontId="41" fillId="18" borderId="46" xfId="0" applyFont="1" applyFill="1" applyBorder="1" applyAlignment="1" applyProtection="1">
      <alignment vertical="center" wrapText="1"/>
      <protection locked="0"/>
    </xf>
    <xf numFmtId="0" fontId="41" fillId="18" borderId="49" xfId="0" applyFont="1" applyFill="1" applyBorder="1" applyAlignment="1" applyProtection="1">
      <alignment vertical="center" wrapText="1"/>
      <protection locked="0"/>
    </xf>
    <xf numFmtId="0" fontId="41" fillId="18" borderId="0" xfId="0" applyFont="1" applyFill="1" applyAlignment="1" applyProtection="1">
      <alignment vertical="center" wrapText="1"/>
      <protection locked="0"/>
    </xf>
    <xf numFmtId="0" fontId="41" fillId="18" borderId="39" xfId="0" applyFont="1" applyFill="1" applyBorder="1" applyAlignment="1" applyProtection="1">
      <alignment vertical="center" wrapText="1"/>
      <protection locked="0"/>
    </xf>
    <xf numFmtId="0" fontId="41" fillId="18" borderId="53" xfId="0" applyFont="1" applyFill="1" applyBorder="1" applyAlignment="1" applyProtection="1">
      <alignment vertical="center" wrapText="1"/>
      <protection locked="0"/>
    </xf>
    <xf numFmtId="0" fontId="41" fillId="18" borderId="54" xfId="0" applyFont="1" applyFill="1" applyBorder="1" applyAlignment="1" applyProtection="1">
      <alignment vertical="center" wrapText="1"/>
      <protection locked="0"/>
    </xf>
    <xf numFmtId="0" fontId="46" fillId="0" borderId="101" xfId="10" applyFont="1" applyBorder="1" applyAlignment="1" applyProtection="1">
      <alignment horizontal="center" vertical="center" shrinkToFit="1"/>
      <protection locked="0" hidden="1"/>
    </xf>
    <xf numFmtId="0" fontId="46" fillId="0" borderId="497" xfId="10" applyFont="1" applyBorder="1" applyAlignment="1" applyProtection="1">
      <alignment horizontal="center" vertical="center" shrinkToFit="1"/>
      <protection locked="0" hidden="1"/>
    </xf>
    <xf numFmtId="0" fontId="46" fillId="0" borderId="103" xfId="10" applyFont="1" applyBorder="1" applyAlignment="1" applyProtection="1">
      <alignment horizontal="center" vertical="center" shrinkToFit="1"/>
      <protection locked="0" hidden="1"/>
    </xf>
    <xf numFmtId="0" fontId="46" fillId="0" borderId="245" xfId="10" applyFont="1" applyBorder="1" applyAlignment="1" applyProtection="1">
      <alignment horizontal="center" vertical="center" shrinkToFit="1"/>
      <protection locked="0" hidden="1"/>
    </xf>
    <xf numFmtId="0" fontId="46" fillId="0" borderId="246" xfId="10" applyFont="1" applyBorder="1" applyAlignment="1" applyProtection="1">
      <alignment horizontal="center" vertical="center" shrinkToFit="1"/>
      <protection locked="0" hidden="1"/>
    </xf>
    <xf numFmtId="0" fontId="46" fillId="0" borderId="247" xfId="10" applyFont="1" applyBorder="1" applyAlignment="1" applyProtection="1">
      <alignment horizontal="center" vertical="center" shrinkToFit="1"/>
      <protection locked="0" hidden="1"/>
    </xf>
    <xf numFmtId="0" fontId="45" fillId="18" borderId="95" xfId="0" applyFont="1" applyFill="1" applyBorder="1" applyAlignment="1" applyProtection="1">
      <alignment vertical="center" shrinkToFit="1"/>
      <protection hidden="1"/>
    </xf>
    <xf numFmtId="0" fontId="31" fillId="11" borderId="260" xfId="0" applyFont="1" applyFill="1" applyBorder="1" applyAlignment="1" applyProtection="1">
      <alignment horizontal="center" vertical="center" wrapText="1" shrinkToFit="1"/>
      <protection hidden="1"/>
    </xf>
    <xf numFmtId="0" fontId="47" fillId="2" borderId="260" xfId="0" applyFont="1" applyFill="1" applyBorder="1" applyAlignment="1" applyProtection="1">
      <alignment horizontal="center" vertical="center" wrapText="1" shrinkToFit="1"/>
      <protection locked="0" hidden="1"/>
    </xf>
    <xf numFmtId="0" fontId="22" fillId="11" borderId="57" xfId="0" applyFont="1" applyFill="1" applyBorder="1" applyAlignment="1" applyProtection="1">
      <alignment horizontal="center" vertical="center" wrapText="1"/>
      <protection hidden="1"/>
    </xf>
    <xf numFmtId="0" fontId="22" fillId="11" borderId="50" xfId="0" applyFont="1" applyFill="1" applyBorder="1" applyAlignment="1" applyProtection="1">
      <alignment horizontal="center" vertical="center" wrapText="1"/>
      <protection hidden="1"/>
    </xf>
    <xf numFmtId="0" fontId="22" fillId="11" borderId="65" xfId="0" applyFont="1" applyFill="1" applyBorder="1" applyAlignment="1" applyProtection="1">
      <alignment horizontal="center" vertical="center" wrapText="1"/>
      <protection hidden="1"/>
    </xf>
    <xf numFmtId="0" fontId="66" fillId="2" borderId="57" xfId="0" applyFont="1" applyFill="1" applyBorder="1" applyAlignment="1" applyProtection="1">
      <alignment horizontal="center" vertical="center"/>
      <protection locked="0" hidden="1"/>
    </xf>
    <xf numFmtId="0" fontId="66" fillId="2" borderId="65" xfId="0" applyFont="1" applyFill="1" applyBorder="1" applyAlignment="1" applyProtection="1">
      <alignment horizontal="center" vertical="center"/>
      <protection locked="0" hidden="1"/>
    </xf>
    <xf numFmtId="0" fontId="22" fillId="11" borderId="260" xfId="0" applyFont="1" applyFill="1" applyBorder="1" applyAlignment="1" applyProtection="1">
      <alignment horizontal="center" vertical="center" wrapText="1"/>
      <protection hidden="1"/>
    </xf>
    <xf numFmtId="0" fontId="22" fillId="11" borderId="57" xfId="0" applyFont="1" applyFill="1" applyBorder="1" applyAlignment="1" applyProtection="1">
      <alignment horizontal="center" vertical="center"/>
      <protection hidden="1"/>
    </xf>
    <xf numFmtId="0" fontId="22" fillId="11" borderId="50" xfId="0" applyFont="1" applyFill="1" applyBorder="1" applyAlignment="1" applyProtection="1">
      <alignment horizontal="center" vertical="center"/>
      <protection hidden="1"/>
    </xf>
    <xf numFmtId="0" fontId="22" fillId="11" borderId="65" xfId="0" applyFont="1" applyFill="1" applyBorder="1" applyAlignment="1" applyProtection="1">
      <alignment horizontal="center" vertical="center"/>
      <protection hidden="1"/>
    </xf>
    <xf numFmtId="0" fontId="66" fillId="2" borderId="50" xfId="0" applyFont="1" applyFill="1" applyBorder="1" applyAlignment="1" applyProtection="1">
      <alignment horizontal="center" vertical="center" shrinkToFit="1"/>
      <protection locked="0" hidden="1"/>
    </xf>
    <xf numFmtId="0" fontId="66" fillId="2" borderId="58" xfId="0" applyFont="1" applyFill="1" applyBorder="1" applyAlignment="1" applyProtection="1">
      <alignment horizontal="center" vertical="center" shrinkToFit="1"/>
      <protection locked="0" hidden="1"/>
    </xf>
    <xf numFmtId="38" fontId="66" fillId="2" borderId="260" xfId="2" applyFont="1" applyFill="1" applyBorder="1" applyAlignment="1" applyProtection="1">
      <alignment horizontal="center" vertical="center"/>
      <protection locked="0" hidden="1"/>
    </xf>
    <xf numFmtId="0" fontId="48" fillId="2" borderId="135" xfId="0" applyFont="1" applyFill="1" applyBorder="1" applyAlignment="1" applyProtection="1">
      <alignment horizontal="center" vertical="center" shrinkToFit="1"/>
      <protection locked="0"/>
    </xf>
    <xf numFmtId="0" fontId="48" fillId="2" borderId="137" xfId="0" applyFont="1" applyFill="1" applyBorder="1" applyAlignment="1" applyProtection="1">
      <alignment horizontal="center" vertical="center" shrinkToFit="1"/>
      <protection locked="0"/>
    </xf>
    <xf numFmtId="0" fontId="43" fillId="0" borderId="72" xfId="0" applyFont="1" applyBorder="1" applyAlignment="1" applyProtection="1">
      <alignment horizontal="left" vertical="center" wrapText="1"/>
      <protection hidden="1"/>
    </xf>
    <xf numFmtId="0" fontId="43" fillId="0" borderId="46" xfId="0" applyFont="1" applyBorder="1" applyAlignment="1" applyProtection="1">
      <alignment horizontal="left" vertical="center" wrapText="1"/>
      <protection hidden="1"/>
    </xf>
    <xf numFmtId="0" fontId="43" fillId="0" borderId="62" xfId="0" applyFont="1" applyBorder="1" applyAlignment="1" applyProtection="1">
      <alignment horizontal="left" vertical="center" wrapText="1"/>
      <protection hidden="1"/>
    </xf>
    <xf numFmtId="0" fontId="43" fillId="0" borderId="47" xfId="0" applyFont="1" applyBorder="1" applyAlignment="1" applyProtection="1">
      <alignment horizontal="left" vertical="center" wrapText="1"/>
      <protection hidden="1"/>
    </xf>
    <xf numFmtId="0" fontId="43" fillId="0" borderId="0" xfId="0" applyFont="1" applyAlignment="1" applyProtection="1">
      <alignment horizontal="left" vertical="center" wrapText="1"/>
      <protection hidden="1"/>
    </xf>
    <xf numFmtId="0" fontId="43" fillId="0" borderId="64" xfId="0" applyFont="1" applyBorder="1" applyAlignment="1" applyProtection="1">
      <alignment horizontal="left" vertical="center" wrapText="1"/>
      <protection hidden="1"/>
    </xf>
    <xf numFmtId="0" fontId="43" fillId="0" borderId="71" xfId="0" applyFont="1" applyBorder="1" applyAlignment="1" applyProtection="1">
      <alignment horizontal="left" vertical="center" wrapText="1"/>
      <protection hidden="1"/>
    </xf>
    <xf numFmtId="0" fontId="43" fillId="0" borderId="53" xfId="0" applyFont="1" applyBorder="1" applyAlignment="1" applyProtection="1">
      <alignment horizontal="left" vertical="center" wrapText="1"/>
      <protection hidden="1"/>
    </xf>
    <xf numFmtId="0" fontId="43" fillId="0" borderId="69" xfId="0" applyFont="1" applyBorder="1" applyAlignment="1" applyProtection="1">
      <alignment horizontal="left" vertical="center" wrapText="1"/>
      <protection hidden="1"/>
    </xf>
    <xf numFmtId="0" fontId="31" fillId="8" borderId="51" xfId="0" applyFont="1" applyFill="1" applyBorder="1" applyAlignment="1" applyProtection="1">
      <alignment horizontal="center" vertical="center" wrapText="1"/>
      <protection hidden="1"/>
    </xf>
    <xf numFmtId="0" fontId="66" fillId="0" borderId="46" xfId="0" applyFont="1" applyBorder="1" applyAlignment="1" applyProtection="1">
      <alignment horizontal="center" vertical="center"/>
      <protection locked="0" hidden="1"/>
    </xf>
    <xf numFmtId="0" fontId="66" fillId="0" borderId="49" xfId="0" applyFont="1" applyBorder="1" applyAlignment="1" applyProtection="1">
      <alignment horizontal="center" vertical="center"/>
      <protection locked="0" hidden="1"/>
    </xf>
    <xf numFmtId="0" fontId="66" fillId="0" borderId="0" xfId="0" applyFont="1" applyAlignment="1" applyProtection="1">
      <alignment horizontal="center" vertical="center"/>
      <protection locked="0" hidden="1"/>
    </xf>
    <xf numFmtId="0" fontId="66" fillId="0" borderId="39" xfId="0" applyFont="1" applyBorder="1" applyAlignment="1" applyProtection="1">
      <alignment horizontal="center" vertical="center"/>
      <protection locked="0" hidden="1"/>
    </xf>
    <xf numFmtId="0" fontId="43" fillId="0" borderId="73" xfId="0" applyFont="1" applyBorder="1" applyAlignment="1" applyProtection="1">
      <alignment horizontal="left" vertical="center" wrapText="1"/>
      <protection hidden="1"/>
    </xf>
    <xf numFmtId="0" fontId="43" fillId="0" borderId="50" xfId="0" applyFont="1" applyBorder="1" applyAlignment="1" applyProtection="1">
      <alignment horizontal="left" vertical="center" wrapText="1"/>
      <protection hidden="1"/>
    </xf>
    <xf numFmtId="0" fontId="66" fillId="0" borderId="50" xfId="0" applyFont="1" applyBorder="1" applyAlignment="1" applyProtection="1">
      <alignment horizontal="center" vertical="center"/>
      <protection locked="0" hidden="1"/>
    </xf>
    <xf numFmtId="0" fontId="66" fillId="0" borderId="58" xfId="0" applyFont="1" applyBorder="1" applyAlignment="1" applyProtection="1">
      <alignment horizontal="center" vertical="center"/>
      <protection locked="0" hidden="1"/>
    </xf>
    <xf numFmtId="0" fontId="48" fillId="2" borderId="55" xfId="0" applyFont="1" applyFill="1" applyBorder="1" applyAlignment="1" applyProtection="1">
      <alignment horizontal="center" vertical="center" shrinkToFit="1"/>
      <protection locked="0" hidden="1"/>
    </xf>
    <xf numFmtId="0" fontId="48" fillId="2" borderId="46" xfId="0" applyFont="1" applyFill="1" applyBorder="1" applyAlignment="1" applyProtection="1">
      <alignment horizontal="center" vertical="center" shrinkToFit="1"/>
      <protection locked="0" hidden="1"/>
    </xf>
    <xf numFmtId="0" fontId="48" fillId="2" borderId="62" xfId="0" applyFont="1" applyFill="1" applyBorder="1" applyAlignment="1" applyProtection="1">
      <alignment horizontal="center" vertical="center" shrinkToFit="1"/>
      <protection locked="0" hidden="1"/>
    </xf>
    <xf numFmtId="0" fontId="48" fillId="2" borderId="56" xfId="0" applyFont="1" applyFill="1" applyBorder="1" applyAlignment="1" applyProtection="1">
      <alignment horizontal="center" vertical="center" shrinkToFit="1"/>
      <protection locked="0" hidden="1"/>
    </xf>
    <xf numFmtId="0" fontId="48" fillId="2" borderId="64" xfId="0" applyFont="1" applyFill="1" applyBorder="1" applyAlignment="1" applyProtection="1">
      <alignment horizontal="center" vertical="center" shrinkToFit="1"/>
      <protection locked="0" hidden="1"/>
    </xf>
    <xf numFmtId="0" fontId="48" fillId="2" borderId="57" xfId="0" applyFont="1" applyFill="1" applyBorder="1" applyAlignment="1" applyProtection="1">
      <alignment horizontal="center" vertical="center" shrinkToFit="1"/>
      <protection locked="0" hidden="1"/>
    </xf>
    <xf numFmtId="0" fontId="48" fillId="2" borderId="50" xfId="0" applyFont="1" applyFill="1" applyBorder="1" applyAlignment="1" applyProtection="1">
      <alignment horizontal="center" vertical="center" shrinkToFit="1"/>
      <protection locked="0" hidden="1"/>
    </xf>
    <xf numFmtId="0" fontId="48" fillId="2" borderId="65" xfId="0" applyFont="1" applyFill="1" applyBorder="1" applyAlignment="1" applyProtection="1">
      <alignment horizontal="center" vertical="center" shrinkToFit="1"/>
      <protection locked="0" hidden="1"/>
    </xf>
    <xf numFmtId="0" fontId="31" fillId="18" borderId="51" xfId="0" applyFont="1" applyFill="1" applyBorder="1" applyAlignment="1" applyProtection="1">
      <alignment horizontal="center" vertical="center" wrapText="1" shrinkToFit="1"/>
      <protection hidden="1"/>
    </xf>
    <xf numFmtId="0" fontId="31" fillId="18" borderId="477" xfId="0" applyFont="1" applyFill="1" applyBorder="1" applyAlignment="1" applyProtection="1">
      <alignment horizontal="center" vertical="center" wrapText="1" shrinkToFit="1"/>
      <protection hidden="1"/>
    </xf>
    <xf numFmtId="0" fontId="31" fillId="30" borderId="732" xfId="10" applyFont="1" applyFill="1" applyBorder="1" applyAlignment="1" applyProtection="1">
      <alignment horizontal="center" vertical="center" wrapText="1"/>
      <protection hidden="1"/>
    </xf>
    <xf numFmtId="0" fontId="31" fillId="30" borderId="461" xfId="10" applyFont="1" applyFill="1" applyBorder="1" applyAlignment="1" applyProtection="1">
      <alignment horizontal="center" vertical="center" wrapText="1"/>
      <protection hidden="1"/>
    </xf>
    <xf numFmtId="0" fontId="31" fillId="30" borderId="731" xfId="10" applyFont="1" applyFill="1" applyBorder="1" applyAlignment="1" applyProtection="1">
      <alignment horizontal="center" vertical="center" wrapText="1"/>
      <protection hidden="1"/>
    </xf>
    <xf numFmtId="0" fontId="31" fillId="30" borderId="56" xfId="10" applyFont="1" applyFill="1" applyBorder="1" applyAlignment="1" applyProtection="1">
      <alignment horizontal="center" vertical="center" wrapText="1"/>
      <protection hidden="1"/>
    </xf>
    <xf numFmtId="0" fontId="31" fillId="30" borderId="0" xfId="10" applyFont="1" applyFill="1" applyAlignment="1" applyProtection="1">
      <alignment horizontal="center" vertical="center" wrapText="1"/>
      <protection hidden="1"/>
    </xf>
    <xf numFmtId="0" fontId="31" fillId="30" borderId="64" xfId="10" applyFont="1" applyFill="1" applyBorder="1" applyAlignment="1" applyProtection="1">
      <alignment horizontal="center" vertical="center" wrapText="1"/>
      <protection hidden="1"/>
    </xf>
    <xf numFmtId="0" fontId="31" fillId="30" borderId="737" xfId="10" applyFont="1" applyFill="1" applyBorder="1" applyAlignment="1" applyProtection="1">
      <alignment horizontal="center" vertical="center" wrapText="1"/>
      <protection hidden="1"/>
    </xf>
    <xf numFmtId="0" fontId="31" fillId="30" borderId="725" xfId="10" applyFont="1" applyFill="1" applyBorder="1" applyAlignment="1" applyProtection="1">
      <alignment horizontal="center" vertical="center" wrapText="1"/>
      <protection hidden="1"/>
    </xf>
    <xf numFmtId="0" fontId="31" fillId="30" borderId="736" xfId="10" applyFont="1" applyFill="1" applyBorder="1" applyAlignment="1" applyProtection="1">
      <alignment horizontal="center" vertical="center" wrapText="1"/>
      <protection hidden="1"/>
    </xf>
    <xf numFmtId="3" fontId="28" fillId="2" borderId="732" xfId="10" applyNumberFormat="1" applyFont="1" applyFill="1" applyBorder="1" applyAlignment="1" applyProtection="1">
      <alignment horizontal="center" vertical="center" shrinkToFit="1"/>
      <protection locked="0" hidden="1"/>
    </xf>
    <xf numFmtId="3" fontId="28" fillId="2" borderId="731" xfId="10" applyNumberFormat="1" applyFont="1" applyFill="1" applyBorder="1" applyAlignment="1" applyProtection="1">
      <alignment horizontal="center" vertical="center" shrinkToFit="1"/>
      <protection locked="0" hidden="1"/>
    </xf>
    <xf numFmtId="3" fontId="28" fillId="2" borderId="56" xfId="10" applyNumberFormat="1" applyFont="1" applyFill="1" applyBorder="1" applyAlignment="1" applyProtection="1">
      <alignment horizontal="center" vertical="center" shrinkToFit="1"/>
      <protection locked="0" hidden="1"/>
    </xf>
    <xf numFmtId="3" fontId="28" fillId="2" borderId="64" xfId="10" applyNumberFormat="1" applyFont="1" applyFill="1" applyBorder="1" applyAlignment="1" applyProtection="1">
      <alignment horizontal="center" vertical="center" shrinkToFit="1"/>
      <protection locked="0" hidden="1"/>
    </xf>
    <xf numFmtId="3" fontId="28" fillId="2" borderId="737" xfId="10" applyNumberFormat="1" applyFont="1" applyFill="1" applyBorder="1" applyAlignment="1" applyProtection="1">
      <alignment horizontal="center" vertical="center" shrinkToFit="1"/>
      <protection locked="0" hidden="1"/>
    </xf>
    <xf numFmtId="3" fontId="28" fillId="2" borderId="736" xfId="10" applyNumberFormat="1" applyFont="1" applyFill="1" applyBorder="1" applyAlignment="1" applyProtection="1">
      <alignment horizontal="center" vertical="center" shrinkToFit="1"/>
      <protection locked="0" hidden="1"/>
    </xf>
    <xf numFmtId="0" fontId="63" fillId="8" borderId="145" xfId="0" applyFont="1" applyFill="1" applyBorder="1" applyAlignment="1" applyProtection="1">
      <alignment horizontal="right" vertical="center" wrapText="1"/>
      <protection hidden="1"/>
    </xf>
    <xf numFmtId="0" fontId="63" fillId="8" borderId="146" xfId="0" applyFont="1" applyFill="1" applyBorder="1" applyAlignment="1" applyProtection="1">
      <alignment horizontal="right" vertical="center" wrapText="1"/>
      <protection hidden="1"/>
    </xf>
    <xf numFmtId="0" fontId="63" fillId="8" borderId="147" xfId="0" applyFont="1" applyFill="1" applyBorder="1" applyAlignment="1" applyProtection="1">
      <alignment horizontal="right" vertical="center" wrapText="1"/>
      <protection hidden="1"/>
    </xf>
    <xf numFmtId="0" fontId="31" fillId="11" borderId="96" xfId="0" applyFont="1" applyFill="1" applyBorder="1" applyAlignment="1" applyProtection="1">
      <alignment horizontal="center" vertical="center" wrapText="1"/>
      <protection hidden="1"/>
    </xf>
    <xf numFmtId="0" fontId="48" fillId="2" borderId="732" xfId="10" applyFont="1" applyFill="1" applyBorder="1" applyAlignment="1" applyProtection="1">
      <alignment horizontal="center" vertical="center" wrapText="1"/>
      <protection locked="0"/>
    </xf>
    <xf numFmtId="0" fontId="48" fillId="2" borderId="466" xfId="10" applyFont="1" applyFill="1" applyBorder="1" applyAlignment="1" applyProtection="1">
      <alignment horizontal="center" vertical="center" wrapText="1"/>
      <protection locked="0"/>
    </xf>
    <xf numFmtId="0" fontId="48" fillId="2" borderId="56" xfId="10" applyFont="1" applyFill="1" applyBorder="1" applyAlignment="1" applyProtection="1">
      <alignment horizontal="center" vertical="center" wrapText="1"/>
      <protection locked="0"/>
    </xf>
    <xf numFmtId="0" fontId="48" fillId="2" borderId="467" xfId="10" applyFont="1" applyFill="1" applyBorder="1" applyAlignment="1" applyProtection="1">
      <alignment horizontal="center" vertical="center" wrapText="1"/>
      <protection locked="0"/>
    </xf>
    <xf numFmtId="0" fontId="48" fillId="2" borderId="737" xfId="10" applyFont="1" applyFill="1" applyBorder="1" applyAlignment="1" applyProtection="1">
      <alignment horizontal="center" vertical="center" wrapText="1"/>
      <protection locked="0"/>
    </xf>
    <xf numFmtId="0" fontId="48" fillId="2" borderId="738" xfId="10" applyFont="1" applyFill="1" applyBorder="1" applyAlignment="1" applyProtection="1">
      <alignment horizontal="center" vertical="center" wrapText="1"/>
      <protection locked="0"/>
    </xf>
    <xf numFmtId="0" fontId="47" fillId="2" borderId="729" xfId="0" applyFont="1" applyFill="1" applyBorder="1" applyAlignment="1" applyProtection="1">
      <alignment horizontal="center" vertical="center" wrapText="1" shrinkToFit="1"/>
      <protection locked="0"/>
    </xf>
    <xf numFmtId="0" fontId="47" fillId="2" borderId="461" xfId="0" applyFont="1" applyFill="1" applyBorder="1" applyAlignment="1" applyProtection="1">
      <alignment horizontal="center" vertical="center" wrapText="1" shrinkToFit="1"/>
      <protection locked="0"/>
    </xf>
    <xf numFmtId="0" fontId="47" fillId="2" borderId="731" xfId="0" applyFont="1" applyFill="1" applyBorder="1" applyAlignment="1" applyProtection="1">
      <alignment horizontal="center" vertical="center" wrapText="1" shrinkToFit="1"/>
      <protection locked="0"/>
    </xf>
    <xf numFmtId="0" fontId="47" fillId="2" borderId="99" xfId="0" applyFont="1" applyFill="1" applyBorder="1" applyAlignment="1" applyProtection="1">
      <alignment horizontal="center" vertical="center" wrapText="1" shrinkToFit="1"/>
      <protection locked="0"/>
    </xf>
    <xf numFmtId="0" fontId="47" fillId="2" borderId="734" xfId="0" applyFont="1" applyFill="1" applyBorder="1" applyAlignment="1" applyProtection="1">
      <alignment horizontal="center" vertical="center" wrapText="1" shrinkToFit="1"/>
      <protection locked="0"/>
    </xf>
    <xf numFmtId="0" fontId="47" fillId="2" borderId="725" xfId="0" applyFont="1" applyFill="1" applyBorder="1" applyAlignment="1" applyProtection="1">
      <alignment horizontal="center" vertical="center" wrapText="1" shrinkToFit="1"/>
      <protection locked="0"/>
    </xf>
    <xf numFmtId="0" fontId="47" fillId="2" borderId="736" xfId="0" applyFont="1" applyFill="1" applyBorder="1" applyAlignment="1" applyProtection="1">
      <alignment horizontal="center" vertical="center" wrapText="1" shrinkToFit="1"/>
      <protection locked="0"/>
    </xf>
    <xf numFmtId="0" fontId="163" fillId="11" borderId="732" xfId="0" applyFont="1" applyFill="1" applyBorder="1" applyAlignment="1" applyProtection="1">
      <alignment horizontal="center" vertical="center" wrapText="1" shrinkToFit="1"/>
      <protection hidden="1"/>
    </xf>
    <xf numFmtId="0" fontId="163" fillId="11" borderId="461" xfId="0" applyFont="1" applyFill="1" applyBorder="1" applyAlignment="1" applyProtection="1">
      <alignment horizontal="center" vertical="center" wrapText="1" shrinkToFit="1"/>
      <protection hidden="1"/>
    </xf>
    <xf numFmtId="0" fontId="163" fillId="11" borderId="56" xfId="0" applyFont="1" applyFill="1" applyBorder="1" applyAlignment="1" applyProtection="1">
      <alignment horizontal="center" vertical="center" wrapText="1" shrinkToFit="1"/>
      <protection hidden="1"/>
    </xf>
    <xf numFmtId="0" fontId="163" fillId="11" borderId="0" xfId="0" applyFont="1" applyFill="1" applyAlignment="1" applyProtection="1">
      <alignment horizontal="center" vertical="center" wrapText="1" shrinkToFit="1"/>
      <protection hidden="1"/>
    </xf>
    <xf numFmtId="0" fontId="163" fillId="11" borderId="737" xfId="0" applyFont="1" applyFill="1" applyBorder="1" applyAlignment="1" applyProtection="1">
      <alignment horizontal="center" vertical="center" wrapText="1" shrinkToFit="1"/>
      <protection hidden="1"/>
    </xf>
    <xf numFmtId="0" fontId="163" fillId="11" borderId="725" xfId="0" applyFont="1" applyFill="1" applyBorder="1" applyAlignment="1" applyProtection="1">
      <alignment horizontal="center" vertical="center" wrapText="1" shrinkToFit="1"/>
      <protection hidden="1"/>
    </xf>
    <xf numFmtId="0" fontId="31" fillId="11" borderId="461" xfId="0" applyFont="1" applyFill="1" applyBorder="1" applyAlignment="1" applyProtection="1">
      <alignment horizontal="center" vertical="center" wrapText="1" shrinkToFit="1"/>
      <protection hidden="1"/>
    </xf>
    <xf numFmtId="0" fontId="31" fillId="11" borderId="731" xfId="0" applyFont="1" applyFill="1" applyBorder="1" applyAlignment="1" applyProtection="1">
      <alignment horizontal="center" vertical="center" wrapText="1" shrinkToFit="1"/>
      <protection hidden="1"/>
    </xf>
    <xf numFmtId="3" fontId="31" fillId="30" borderId="732" xfId="10" applyNumberFormat="1" applyFont="1" applyFill="1" applyBorder="1" applyAlignment="1" applyProtection="1">
      <alignment horizontal="center" vertical="center" wrapText="1" shrinkToFit="1"/>
      <protection locked="0" hidden="1"/>
    </xf>
    <xf numFmtId="3" fontId="31" fillId="30" borderId="461" xfId="10" applyNumberFormat="1" applyFont="1" applyFill="1" applyBorder="1" applyAlignment="1" applyProtection="1">
      <alignment horizontal="center" vertical="center" wrapText="1" shrinkToFit="1"/>
      <protection locked="0" hidden="1"/>
    </xf>
    <xf numFmtId="3" fontId="31" fillId="30" borderId="731" xfId="10" applyNumberFormat="1" applyFont="1" applyFill="1" applyBorder="1" applyAlignment="1" applyProtection="1">
      <alignment horizontal="center" vertical="center" wrapText="1" shrinkToFit="1"/>
      <protection locked="0" hidden="1"/>
    </xf>
    <xf numFmtId="3" fontId="31" fillId="30" borderId="56" xfId="10" applyNumberFormat="1" applyFont="1" applyFill="1" applyBorder="1" applyAlignment="1" applyProtection="1">
      <alignment horizontal="center" vertical="center" wrapText="1" shrinkToFit="1"/>
      <protection locked="0" hidden="1"/>
    </xf>
    <xf numFmtId="3" fontId="31" fillId="30" borderId="0" xfId="10" applyNumberFormat="1" applyFont="1" applyFill="1" applyAlignment="1" applyProtection="1">
      <alignment horizontal="center" vertical="center" wrapText="1" shrinkToFit="1"/>
      <protection locked="0" hidden="1"/>
    </xf>
    <xf numFmtId="3" fontId="31" fillId="30" borderId="64" xfId="10" applyNumberFormat="1" applyFont="1" applyFill="1" applyBorder="1" applyAlignment="1" applyProtection="1">
      <alignment horizontal="center" vertical="center" wrapText="1" shrinkToFit="1"/>
      <protection locked="0" hidden="1"/>
    </xf>
    <xf numFmtId="3" fontId="31" fillId="30" borderId="737" xfId="10" applyNumberFormat="1" applyFont="1" applyFill="1" applyBorder="1" applyAlignment="1" applyProtection="1">
      <alignment horizontal="center" vertical="center" wrapText="1" shrinkToFit="1"/>
      <protection locked="0" hidden="1"/>
    </xf>
    <xf numFmtId="3" fontId="31" fillId="30" borderId="725" xfId="10" applyNumberFormat="1" applyFont="1" applyFill="1" applyBorder="1" applyAlignment="1" applyProtection="1">
      <alignment horizontal="center" vertical="center" wrapText="1" shrinkToFit="1"/>
      <protection locked="0" hidden="1"/>
    </xf>
    <xf numFmtId="3" fontId="31" fillId="30" borderId="736" xfId="10" applyNumberFormat="1" applyFont="1" applyFill="1" applyBorder="1" applyAlignment="1" applyProtection="1">
      <alignment horizontal="center" vertical="center" wrapText="1" shrinkToFit="1"/>
      <protection locked="0" hidden="1"/>
    </xf>
    <xf numFmtId="0" fontId="18" fillId="15" borderId="335" xfId="1" applyFill="1" applyBorder="1" applyAlignment="1" applyProtection="1">
      <alignment vertical="center" wrapText="1"/>
      <protection locked="0" hidden="1"/>
    </xf>
    <xf numFmtId="0" fontId="18" fillId="15" borderId="332" xfId="1" applyFill="1" applyBorder="1" applyAlignment="1" applyProtection="1">
      <alignment vertical="center" wrapText="1"/>
      <protection locked="0" hidden="1"/>
    </xf>
    <xf numFmtId="0" fontId="18" fillId="15" borderId="337" xfId="1" applyFill="1" applyBorder="1" applyAlignment="1" applyProtection="1">
      <alignment vertical="center" wrapText="1"/>
      <protection locked="0" hidden="1"/>
    </xf>
    <xf numFmtId="0" fontId="31" fillId="11" borderId="751" xfId="0" applyFont="1" applyFill="1" applyBorder="1" applyAlignment="1" applyProtection="1">
      <alignment horizontal="center" vertical="center" wrapText="1" shrinkToFit="1"/>
      <protection hidden="1"/>
    </xf>
    <xf numFmtId="0" fontId="31" fillId="11" borderId="458" xfId="0" applyFont="1" applyFill="1" applyBorder="1" applyAlignment="1" applyProtection="1">
      <alignment horizontal="center" vertical="center" wrapText="1" shrinkToFit="1"/>
      <protection hidden="1"/>
    </xf>
    <xf numFmtId="0" fontId="31" fillId="11" borderId="97" xfId="0" applyFont="1" applyFill="1" applyBorder="1" applyAlignment="1" applyProtection="1">
      <alignment horizontal="center" vertical="center" wrapText="1" shrinkToFit="1"/>
      <protection hidden="1"/>
    </xf>
    <xf numFmtId="0" fontId="18" fillId="0" borderId="729" xfId="1" applyFill="1" applyBorder="1" applyAlignment="1" applyProtection="1">
      <alignment horizontal="center" vertical="center" wrapText="1" shrinkToFit="1"/>
      <protection locked="0"/>
    </xf>
    <xf numFmtId="0" fontId="31" fillId="0" borderId="461" xfId="0" applyFont="1" applyBorder="1" applyAlignment="1" applyProtection="1">
      <alignment horizontal="center" vertical="center" wrapText="1" shrinkToFit="1"/>
      <protection locked="0"/>
    </xf>
    <xf numFmtId="0" fontId="31" fillId="0" borderId="731" xfId="0" applyFont="1" applyBorder="1" applyAlignment="1" applyProtection="1">
      <alignment horizontal="center" vertical="center" wrapText="1" shrinkToFit="1"/>
      <protection locked="0"/>
    </xf>
    <xf numFmtId="0" fontId="31" fillId="0" borderId="99" xfId="0" applyFont="1" applyBorder="1" applyAlignment="1" applyProtection="1">
      <alignment horizontal="center" vertical="center" wrapText="1" shrinkToFit="1"/>
      <protection locked="0"/>
    </xf>
    <xf numFmtId="0" fontId="31" fillId="0" borderId="0" xfId="0" applyFont="1" applyAlignment="1" applyProtection="1">
      <alignment horizontal="center" vertical="center" wrapText="1" shrinkToFit="1"/>
      <protection locked="0"/>
    </xf>
    <xf numFmtId="0" fontId="31" fillId="0" borderId="64" xfId="0" applyFont="1" applyBorder="1" applyAlignment="1" applyProtection="1">
      <alignment horizontal="center" vertical="center" wrapText="1" shrinkToFit="1"/>
      <protection locked="0"/>
    </xf>
    <xf numFmtId="49" fontId="29" fillId="0" borderId="301" xfId="0" applyNumberFormat="1" applyFont="1" applyBorder="1" applyAlignment="1" applyProtection="1">
      <alignment horizontal="center" vertical="center" shrinkToFit="1"/>
      <protection locked="0"/>
    </xf>
    <xf numFmtId="49" fontId="29" fillId="0" borderId="172" xfId="0" applyNumberFormat="1" applyFont="1" applyBorder="1" applyAlignment="1" applyProtection="1">
      <alignment horizontal="center" vertical="center" shrinkToFit="1"/>
      <protection locked="0"/>
    </xf>
    <xf numFmtId="49" fontId="29" fillId="0" borderId="314" xfId="0" applyNumberFormat="1" applyFont="1" applyBorder="1" applyAlignment="1" applyProtection="1">
      <alignment horizontal="center" vertical="center" shrinkToFit="1"/>
      <protection locked="0"/>
    </xf>
    <xf numFmtId="49" fontId="29" fillId="0" borderId="181" xfId="0" applyNumberFormat="1" applyFont="1" applyBorder="1" applyAlignment="1" applyProtection="1">
      <alignment horizontal="center" vertical="center" shrinkToFit="1"/>
      <protection locked="0"/>
    </xf>
    <xf numFmtId="0" fontId="28" fillId="23" borderId="16" xfId="0" applyFont="1" applyFill="1" applyBorder="1" applyAlignment="1" applyProtection="1">
      <alignment vertical="center" shrinkToFit="1"/>
      <protection locked="0"/>
    </xf>
    <xf numFmtId="0" fontId="28" fillId="23" borderId="0" xfId="0" applyFont="1" applyFill="1" applyAlignment="1" applyProtection="1">
      <alignment vertical="center" shrinkToFit="1"/>
      <protection locked="0"/>
    </xf>
    <xf numFmtId="0" fontId="28" fillId="23" borderId="32" xfId="0" applyFont="1" applyFill="1" applyBorder="1" applyAlignment="1" applyProtection="1">
      <alignment vertical="center" shrinkToFit="1"/>
      <protection locked="0"/>
    </xf>
    <xf numFmtId="0" fontId="28" fillId="23" borderId="35" xfId="0" applyFont="1" applyFill="1" applyBorder="1" applyAlignment="1" applyProtection="1">
      <alignment vertical="center" shrinkToFit="1"/>
      <protection locked="0"/>
    </xf>
    <xf numFmtId="0" fontId="28" fillId="23" borderId="308" xfId="0" applyFont="1" applyFill="1" applyBorder="1" applyAlignment="1" applyProtection="1">
      <alignment vertical="center" shrinkToFit="1"/>
      <protection locked="0"/>
    </xf>
    <xf numFmtId="0" fontId="28" fillId="23" borderId="3" xfId="0" applyFont="1" applyFill="1" applyBorder="1" applyAlignment="1" applyProtection="1">
      <alignment vertical="center" shrinkToFit="1"/>
      <protection locked="0"/>
    </xf>
    <xf numFmtId="0" fontId="98" fillId="8" borderId="0" xfId="0" applyFont="1" applyFill="1" applyAlignment="1" applyProtection="1">
      <alignment horizontal="left"/>
      <protection hidden="1"/>
    </xf>
    <xf numFmtId="0" fontId="78" fillId="4" borderId="280" xfId="0" applyFont="1" applyFill="1" applyBorder="1" applyAlignment="1" applyProtection="1">
      <alignment vertical="center" shrinkToFit="1"/>
      <protection hidden="1"/>
    </xf>
    <xf numFmtId="0" fontId="78" fillId="4" borderId="281" xfId="0" applyFont="1" applyFill="1" applyBorder="1" applyAlignment="1" applyProtection="1">
      <alignment vertical="center" shrinkToFit="1"/>
      <protection hidden="1"/>
    </xf>
    <xf numFmtId="0" fontId="78" fillId="4" borderId="282" xfId="0" applyFont="1" applyFill="1" applyBorder="1" applyAlignment="1" applyProtection="1">
      <alignment vertical="center" shrinkToFit="1"/>
      <protection hidden="1"/>
    </xf>
    <xf numFmtId="0" fontId="78" fillId="4" borderId="297" xfId="0" applyFont="1" applyFill="1" applyBorder="1" applyAlignment="1" applyProtection="1">
      <alignment vertical="center" shrinkToFit="1"/>
      <protection hidden="1"/>
    </xf>
    <xf numFmtId="0" fontId="78" fillId="4" borderId="9" xfId="0" applyFont="1" applyFill="1" applyBorder="1" applyAlignment="1" applyProtection="1">
      <alignment vertical="center" shrinkToFit="1"/>
      <protection hidden="1"/>
    </xf>
    <xf numFmtId="0" fontId="78" fillId="4" borderId="10" xfId="0" applyFont="1" applyFill="1" applyBorder="1" applyAlignment="1" applyProtection="1">
      <alignment vertical="center" shrinkToFit="1"/>
      <protection hidden="1"/>
    </xf>
    <xf numFmtId="0" fontId="0" fillId="23" borderId="256" xfId="0" applyFill="1" applyBorder="1" applyAlignment="1" applyProtection="1">
      <alignment vertical="center" shrinkToFit="1"/>
      <protection locked="0"/>
    </xf>
    <xf numFmtId="0" fontId="0" fillId="23" borderId="237" xfId="0" applyFill="1" applyBorder="1" applyAlignment="1" applyProtection="1">
      <alignment vertical="center" shrinkToFit="1"/>
      <protection locked="0"/>
    </xf>
    <xf numFmtId="0" fontId="0" fillId="23" borderId="346" xfId="0" applyFill="1" applyBorder="1" applyAlignment="1" applyProtection="1">
      <alignment vertical="center" shrinkToFit="1"/>
      <protection locked="0"/>
    </xf>
    <xf numFmtId="0" fontId="0" fillId="23" borderId="257" xfId="0" applyFill="1" applyBorder="1" applyAlignment="1" applyProtection="1">
      <alignment vertical="center" shrinkToFit="1"/>
      <protection locked="0"/>
    </xf>
    <xf numFmtId="0" fontId="0" fillId="23" borderId="258" xfId="0" applyFill="1" applyBorder="1" applyAlignment="1" applyProtection="1">
      <alignment vertical="center" shrinkToFit="1"/>
      <protection locked="0"/>
    </xf>
    <xf numFmtId="0" fontId="0" fillId="23" borderId="347" xfId="0" applyFill="1" applyBorder="1" applyAlignment="1" applyProtection="1">
      <alignment vertical="center" shrinkToFit="1"/>
      <protection locked="0"/>
    </xf>
    <xf numFmtId="0" fontId="135" fillId="4" borderId="286" xfId="0" applyFont="1" applyFill="1" applyBorder="1" applyAlignment="1" applyProtection="1">
      <alignment horizontal="center" vertical="center" shrinkToFit="1"/>
      <protection hidden="1"/>
    </xf>
    <xf numFmtId="0" fontId="135" fillId="4" borderId="281" xfId="0" applyFont="1" applyFill="1" applyBorder="1" applyAlignment="1" applyProtection="1">
      <alignment horizontal="center" vertical="center" shrinkToFit="1"/>
      <protection hidden="1"/>
    </xf>
    <xf numFmtId="0" fontId="135" fillId="4" borderId="296" xfId="0" applyFont="1" applyFill="1" applyBorder="1" applyAlignment="1" applyProtection="1">
      <alignment horizontal="center" vertical="center" shrinkToFit="1"/>
      <protection hidden="1"/>
    </xf>
    <xf numFmtId="0" fontId="135" fillId="4" borderId="12" xfId="0" applyFont="1" applyFill="1" applyBorder="1" applyAlignment="1" applyProtection="1">
      <alignment horizontal="center" vertical="center" shrinkToFit="1"/>
      <protection hidden="1"/>
    </xf>
    <xf numFmtId="0" fontId="135" fillId="4" borderId="9" xfId="0" applyFont="1" applyFill="1" applyBorder="1" applyAlignment="1" applyProtection="1">
      <alignment horizontal="center" vertical="center" shrinkToFit="1"/>
      <protection hidden="1"/>
    </xf>
    <xf numFmtId="0" fontId="135" fillId="4" borderId="33" xfId="0" applyFont="1" applyFill="1" applyBorder="1" applyAlignment="1" applyProtection="1">
      <alignment horizontal="center" vertical="center" shrinkToFit="1"/>
      <protection hidden="1"/>
    </xf>
    <xf numFmtId="0" fontId="20" fillId="4" borderId="305" xfId="0" applyFont="1" applyFill="1" applyBorder="1" applyAlignment="1" applyProtection="1">
      <alignment horizontal="center" vertical="center" shrinkToFit="1"/>
      <protection hidden="1"/>
    </xf>
    <xf numFmtId="0" fontId="20" fillId="4" borderId="0" xfId="0" applyFont="1" applyFill="1" applyAlignment="1" applyProtection="1">
      <alignment horizontal="center" vertical="center" shrinkToFit="1"/>
      <protection hidden="1"/>
    </xf>
    <xf numFmtId="0" fontId="20" fillId="4" borderId="3" xfId="0" applyFont="1" applyFill="1" applyBorder="1" applyAlignment="1" applyProtection="1">
      <alignment horizontal="center" vertical="center" shrinkToFit="1"/>
      <protection hidden="1"/>
    </xf>
    <xf numFmtId="0" fontId="76" fillId="2" borderId="281" xfId="1" applyFont="1" applyFill="1" applyBorder="1" applyAlignment="1" applyProtection="1">
      <alignment horizontal="center" vertical="center" shrinkToFit="1"/>
      <protection locked="0"/>
    </xf>
    <xf numFmtId="0" fontId="76" fillId="2" borderId="287" xfId="1" applyFont="1" applyFill="1" applyBorder="1" applyAlignment="1" applyProtection="1">
      <alignment horizontal="center" vertical="center" shrinkToFit="1"/>
      <protection locked="0"/>
    </xf>
    <xf numFmtId="0" fontId="76" fillId="2" borderId="294" xfId="1" applyFont="1" applyFill="1" applyBorder="1" applyAlignment="1" applyProtection="1">
      <alignment horizontal="center" vertical="center" shrinkToFit="1"/>
      <protection locked="0"/>
    </xf>
    <xf numFmtId="0" fontId="76" fillId="2" borderId="289" xfId="1" applyFont="1" applyFill="1" applyBorder="1" applyAlignment="1" applyProtection="1">
      <alignment horizontal="center" vertical="center" shrinkToFit="1"/>
      <protection locked="0"/>
    </xf>
    <xf numFmtId="0" fontId="76" fillId="2" borderId="295" xfId="1" applyFont="1" applyFill="1" applyBorder="1" applyAlignment="1" applyProtection="1">
      <alignment horizontal="center" vertical="center" shrinkToFit="1"/>
      <protection locked="0"/>
    </xf>
    <xf numFmtId="0" fontId="0" fillId="23" borderId="261" xfId="0" applyFill="1" applyBorder="1" applyAlignment="1" applyProtection="1">
      <alignment horizontal="left" vertical="center" shrinkToFit="1"/>
      <protection locked="0"/>
    </xf>
    <xf numFmtId="0" fontId="0" fillId="23" borderId="262" xfId="0" applyFill="1" applyBorder="1" applyAlignment="1" applyProtection="1">
      <alignment horizontal="left" vertical="center" shrinkToFit="1"/>
      <protection locked="0"/>
    </xf>
    <xf numFmtId="0" fontId="0" fillId="23" borderId="263" xfId="0" applyFill="1" applyBorder="1" applyAlignment="1" applyProtection="1">
      <alignment horizontal="left" vertical="center" shrinkToFit="1"/>
      <protection locked="0"/>
    </xf>
    <xf numFmtId="0" fontId="0" fillId="23" borderId="173" xfId="0" applyFill="1" applyBorder="1" applyAlignment="1" applyProtection="1">
      <alignment horizontal="left" vertical="center" shrinkToFit="1"/>
      <protection locked="0"/>
    </xf>
    <xf numFmtId="0" fontId="106" fillId="4" borderId="280" xfId="0" applyFont="1" applyFill="1" applyBorder="1" applyAlignment="1" applyProtection="1">
      <alignment horizontal="left" vertical="center" shrinkToFit="1"/>
      <protection hidden="1"/>
    </xf>
    <xf numFmtId="0" fontId="106" fillId="4" borderId="281" xfId="0" applyFont="1" applyFill="1" applyBorder="1" applyAlignment="1" applyProtection="1">
      <alignment horizontal="left" vertical="center" shrinkToFit="1"/>
      <protection hidden="1"/>
    </xf>
    <xf numFmtId="0" fontId="106" fillId="4" borderId="287" xfId="0" applyFont="1" applyFill="1" applyBorder="1" applyAlignment="1" applyProtection="1">
      <alignment horizontal="left" vertical="center" shrinkToFit="1"/>
      <protection hidden="1"/>
    </xf>
    <xf numFmtId="0" fontId="106" fillId="4" borderId="297" xfId="0" applyFont="1" applyFill="1" applyBorder="1" applyAlignment="1" applyProtection="1">
      <alignment horizontal="left" vertical="center" shrinkToFit="1"/>
      <protection hidden="1"/>
    </xf>
    <xf numFmtId="0" fontId="106" fillId="4" borderId="9" xfId="0" applyFont="1" applyFill="1" applyBorder="1" applyAlignment="1" applyProtection="1">
      <alignment horizontal="left" vertical="center" shrinkToFit="1"/>
      <protection hidden="1"/>
    </xf>
    <xf numFmtId="0" fontId="106" fillId="4" borderId="298" xfId="0" applyFont="1" applyFill="1" applyBorder="1" applyAlignment="1" applyProtection="1">
      <alignment horizontal="left" vertical="center" shrinkToFit="1"/>
      <protection hidden="1"/>
    </xf>
    <xf numFmtId="0" fontId="43" fillId="4" borderId="288" xfId="0" applyFont="1" applyFill="1" applyBorder="1" applyAlignment="1" applyProtection="1">
      <alignment horizontal="center" vertical="center" shrinkToFit="1"/>
      <protection hidden="1"/>
    </xf>
    <xf numFmtId="0" fontId="43" fillId="4" borderId="289" xfId="0" applyFont="1" applyFill="1" applyBorder="1" applyAlignment="1" applyProtection="1">
      <alignment horizontal="center" vertical="center" shrinkToFit="1"/>
      <protection hidden="1"/>
    </xf>
    <xf numFmtId="0" fontId="43" fillId="4" borderId="290" xfId="0" applyFont="1" applyFill="1" applyBorder="1" applyAlignment="1" applyProtection="1">
      <alignment horizontal="center" vertical="center" shrinkToFit="1"/>
      <protection hidden="1"/>
    </xf>
    <xf numFmtId="0" fontId="60" fillId="4" borderId="349" xfId="0" applyFont="1" applyFill="1" applyBorder="1" applyAlignment="1" applyProtection="1">
      <alignment horizontal="center" vertical="center" shrinkToFit="1"/>
      <protection hidden="1"/>
    </xf>
    <xf numFmtId="49" fontId="23" fillId="23" borderId="396" xfId="0" applyNumberFormat="1" applyFont="1" applyFill="1" applyBorder="1" applyAlignment="1" applyProtection="1">
      <alignment vertical="center" shrinkToFit="1"/>
      <protection locked="0"/>
    </xf>
    <xf numFmtId="49" fontId="23" fillId="23" borderId="289" xfId="0" applyNumberFormat="1" applyFont="1" applyFill="1" applyBorder="1" applyAlignment="1" applyProtection="1">
      <alignment vertical="center" shrinkToFit="1"/>
      <protection locked="0"/>
    </xf>
    <xf numFmtId="49" fontId="23" fillId="23" borderId="290" xfId="0" applyNumberFormat="1" applyFont="1" applyFill="1" applyBorder="1" applyAlignment="1" applyProtection="1">
      <alignment vertical="center" shrinkToFit="1"/>
      <protection locked="0"/>
    </xf>
    <xf numFmtId="49" fontId="23" fillId="23" borderId="38" xfId="0" applyNumberFormat="1" applyFont="1" applyFill="1" applyBorder="1" applyAlignment="1" applyProtection="1">
      <alignment horizontal="left" vertical="center" shrinkToFit="1"/>
      <protection locked="0"/>
    </xf>
    <xf numFmtId="49" fontId="23" fillId="23" borderId="1" xfId="0" applyNumberFormat="1" applyFont="1" applyFill="1" applyBorder="1" applyAlignment="1" applyProtection="1">
      <alignment horizontal="left" vertical="center" shrinkToFit="1"/>
      <protection locked="0"/>
    </xf>
    <xf numFmtId="49" fontId="23" fillId="23" borderId="304" xfId="0" applyNumberFormat="1" applyFont="1" applyFill="1" applyBorder="1" applyAlignment="1" applyProtection="1">
      <alignment horizontal="left" vertical="center" shrinkToFit="1"/>
      <protection locked="0"/>
    </xf>
    <xf numFmtId="49" fontId="23" fillId="23" borderId="36" xfId="0" applyNumberFormat="1" applyFont="1" applyFill="1" applyBorder="1" applyAlignment="1" applyProtection="1">
      <alignment horizontal="left" vertical="center" shrinkToFit="1"/>
      <protection locked="0"/>
    </xf>
    <xf numFmtId="49" fontId="23" fillId="23" borderId="9" xfId="0" applyNumberFormat="1" applyFont="1" applyFill="1" applyBorder="1" applyAlignment="1" applyProtection="1">
      <alignment horizontal="left" vertical="center" shrinkToFit="1"/>
      <protection locked="0"/>
    </xf>
    <xf numFmtId="49" fontId="23" fillId="23" borderId="298" xfId="0" applyNumberFormat="1" applyFont="1" applyFill="1" applyBorder="1" applyAlignment="1" applyProtection="1">
      <alignment horizontal="left" vertical="center" shrinkToFit="1"/>
      <protection locked="0"/>
    </xf>
    <xf numFmtId="49" fontId="23" fillId="2" borderId="38" xfId="0" applyNumberFormat="1" applyFont="1" applyFill="1" applyBorder="1" applyAlignment="1" applyProtection="1">
      <alignment horizontal="left" vertical="center" shrinkToFit="1"/>
      <protection locked="0"/>
    </xf>
    <xf numFmtId="49" fontId="23" fillId="2" borderId="1" xfId="0" applyNumberFormat="1" applyFont="1" applyFill="1" applyBorder="1" applyAlignment="1" applyProtection="1">
      <alignment horizontal="left" vertical="center" shrinkToFit="1"/>
      <protection locked="0"/>
    </xf>
    <xf numFmtId="49" fontId="23" fillId="2" borderId="304" xfId="0" applyNumberFormat="1" applyFont="1" applyFill="1" applyBorder="1" applyAlignment="1" applyProtection="1">
      <alignment horizontal="left" vertical="center" shrinkToFit="1"/>
      <protection locked="0"/>
    </xf>
    <xf numFmtId="49" fontId="23" fillId="2" borderId="396" xfId="0" applyNumberFormat="1" applyFont="1" applyFill="1" applyBorder="1" applyAlignment="1" applyProtection="1">
      <alignment horizontal="left" vertical="center" shrinkToFit="1"/>
      <protection locked="0"/>
    </xf>
    <xf numFmtId="49" fontId="23" fillId="2" borderId="289" xfId="0" applyNumberFormat="1" applyFont="1" applyFill="1" applyBorder="1" applyAlignment="1" applyProtection="1">
      <alignment horizontal="left" vertical="center" shrinkToFit="1"/>
      <protection locked="0"/>
    </xf>
    <xf numFmtId="49" fontId="23" fillId="2" borderId="295" xfId="0" applyNumberFormat="1" applyFont="1" applyFill="1" applyBorder="1" applyAlignment="1" applyProtection="1">
      <alignment horizontal="left" vertical="center" shrinkToFit="1"/>
      <protection locked="0"/>
    </xf>
    <xf numFmtId="0" fontId="0" fillId="23" borderId="38" xfId="0" applyFill="1" applyBorder="1" applyAlignment="1" applyProtection="1">
      <alignment horizontal="left" vertical="center" shrinkToFit="1"/>
      <protection locked="0"/>
    </xf>
    <xf numFmtId="0" fontId="0" fillId="23" borderId="1" xfId="0" applyFill="1" applyBorder="1" applyAlignment="1" applyProtection="1">
      <alignment horizontal="left" vertical="center" shrinkToFit="1"/>
      <protection locked="0"/>
    </xf>
    <xf numFmtId="0" fontId="0" fillId="23" borderId="304" xfId="0" applyFill="1" applyBorder="1" applyAlignment="1" applyProtection="1">
      <alignment horizontal="left" vertical="center" shrinkToFit="1"/>
      <protection locked="0"/>
    </xf>
    <xf numFmtId="0" fontId="0" fillId="23" borderId="35" xfId="0" applyFill="1" applyBorder="1" applyAlignment="1" applyProtection="1">
      <alignment horizontal="left" vertical="center" shrinkToFit="1"/>
      <protection locked="0"/>
    </xf>
    <xf numFmtId="0" fontId="0" fillId="23" borderId="0" xfId="0" applyFill="1" applyAlignment="1" applyProtection="1">
      <alignment horizontal="left" vertical="center" shrinkToFit="1"/>
      <protection locked="0"/>
    </xf>
    <xf numFmtId="0" fontId="0" fillId="23" borderId="308" xfId="0" applyFill="1" applyBorder="1" applyAlignment="1" applyProtection="1">
      <alignment horizontal="left" vertical="center" shrinkToFit="1"/>
      <protection locked="0"/>
    </xf>
    <xf numFmtId="0" fontId="0" fillId="23" borderId="36" xfId="0" applyFill="1" applyBorder="1" applyAlignment="1" applyProtection="1">
      <alignment horizontal="left" vertical="center" shrinkToFit="1"/>
      <protection locked="0"/>
    </xf>
    <xf numFmtId="0" fontId="0" fillId="23" borderId="9" xfId="0" applyFill="1" applyBorder="1" applyAlignment="1" applyProtection="1">
      <alignment horizontal="left" vertical="center" shrinkToFit="1"/>
      <protection locked="0"/>
    </xf>
    <xf numFmtId="0" fontId="0" fillId="23" borderId="298" xfId="0" applyFill="1" applyBorder="1" applyAlignment="1" applyProtection="1">
      <alignment horizontal="left" vertical="center" shrinkToFit="1"/>
      <protection locked="0"/>
    </xf>
    <xf numFmtId="0" fontId="75" fillId="2" borderId="17" xfId="0" applyFont="1" applyFill="1" applyBorder="1" applyAlignment="1" applyProtection="1">
      <alignment horizontal="left" vertical="center" shrinkToFit="1"/>
      <protection locked="0"/>
    </xf>
    <xf numFmtId="0" fontId="75" fillId="2" borderId="1" xfId="0" applyFont="1" applyFill="1" applyBorder="1" applyAlignment="1" applyProtection="1">
      <alignment horizontal="left" vertical="center" shrinkToFit="1"/>
      <protection locked="0"/>
    </xf>
    <xf numFmtId="0" fontId="75" fillId="2" borderId="2" xfId="0" applyFont="1" applyFill="1" applyBorder="1" applyAlignment="1" applyProtection="1">
      <alignment horizontal="left" vertical="center" shrinkToFit="1"/>
      <protection locked="0"/>
    </xf>
    <xf numFmtId="0" fontId="0" fillId="23" borderId="34" xfId="0" applyFill="1" applyBorder="1" applyAlignment="1" applyProtection="1">
      <alignment horizontal="left" vertical="center" shrinkToFit="1"/>
      <protection locked="0"/>
    </xf>
    <xf numFmtId="0" fontId="0" fillId="23" borderId="6" xfId="0" applyFill="1" applyBorder="1" applyAlignment="1" applyProtection="1">
      <alignment horizontal="left" vertical="center" shrinkToFit="1"/>
      <protection locked="0"/>
    </xf>
    <xf numFmtId="0" fontId="0" fillId="23" borderId="7" xfId="0" applyFill="1" applyBorder="1" applyAlignment="1" applyProtection="1">
      <alignment horizontal="left" vertical="center" shrinkToFit="1"/>
      <protection locked="0"/>
    </xf>
    <xf numFmtId="0" fontId="0" fillId="23" borderId="10" xfId="0" applyFill="1" applyBorder="1" applyAlignment="1" applyProtection="1">
      <alignment horizontal="left" vertical="center" shrinkToFit="1"/>
      <protection locked="0"/>
    </xf>
    <xf numFmtId="0" fontId="0" fillId="23" borderId="172" xfId="0" applyFill="1" applyBorder="1" applyAlignment="1" applyProtection="1">
      <alignment horizontal="left" vertical="center" shrinkToFit="1"/>
      <protection locked="0"/>
    </xf>
    <xf numFmtId="0" fontId="0" fillId="23" borderId="33" xfId="0" applyFill="1" applyBorder="1" applyAlignment="1" applyProtection="1">
      <alignment horizontal="left" vertical="center" shrinkToFit="1"/>
      <protection locked="0"/>
    </xf>
    <xf numFmtId="0" fontId="20" fillId="4" borderId="16" xfId="0" applyFont="1" applyFill="1" applyBorder="1" applyAlignment="1" applyProtection="1">
      <alignment horizontal="center" vertical="center" shrinkToFit="1"/>
      <protection hidden="1"/>
    </xf>
    <xf numFmtId="49" fontId="23" fillId="0" borderId="0" xfId="0" applyNumberFormat="1" applyFont="1" applyAlignment="1">
      <alignment horizontal="center" vertical="center"/>
    </xf>
    <xf numFmtId="49" fontId="23" fillId="2" borderId="36" xfId="0" applyNumberFormat="1" applyFont="1" applyFill="1" applyBorder="1" applyAlignment="1" applyProtection="1">
      <alignment horizontal="left" vertical="center" shrinkToFit="1"/>
      <protection locked="0"/>
    </xf>
    <xf numFmtId="49" fontId="23" fillId="2" borderId="9" xfId="0" applyNumberFormat="1" applyFont="1" applyFill="1" applyBorder="1" applyAlignment="1" applyProtection="1">
      <alignment horizontal="left" vertical="center" shrinkToFit="1"/>
      <protection locked="0"/>
    </xf>
    <xf numFmtId="49" fontId="23" fillId="2" borderId="298" xfId="0" applyNumberFormat="1" applyFont="1" applyFill="1" applyBorder="1" applyAlignment="1" applyProtection="1">
      <alignment horizontal="left" vertical="center" shrinkToFit="1"/>
      <protection locked="0"/>
    </xf>
    <xf numFmtId="49" fontId="23" fillId="0" borderId="0" xfId="0" applyNumberFormat="1" applyFont="1" applyAlignment="1">
      <alignment horizontal="center" vertical="center" shrinkToFit="1"/>
    </xf>
    <xf numFmtId="0" fontId="18" fillId="23" borderId="18" xfId="1" applyNumberFormat="1" applyFill="1" applyBorder="1" applyAlignment="1" applyProtection="1">
      <alignment vertical="center" shrinkToFit="1"/>
      <protection locked="0"/>
    </xf>
    <xf numFmtId="0" fontId="18" fillId="23" borderId="14" xfId="1" applyNumberFormat="1" applyFill="1" applyBorder="1" applyAlignment="1" applyProtection="1">
      <alignment vertical="center" shrinkToFit="1"/>
      <protection locked="0"/>
    </xf>
    <xf numFmtId="0" fontId="18" fillId="23" borderId="315" xfId="1" applyNumberFormat="1" applyFill="1" applyBorder="1" applyAlignment="1" applyProtection="1">
      <alignment vertical="center" shrinkToFit="1"/>
      <protection locked="0"/>
    </xf>
    <xf numFmtId="0" fontId="135" fillId="4" borderId="22" xfId="0" applyFont="1" applyFill="1" applyBorder="1" applyAlignment="1" applyProtection="1">
      <alignment horizontal="center" vertical="center" shrinkToFit="1"/>
      <protection hidden="1"/>
    </xf>
    <xf numFmtId="0" fontId="135" fillId="4" borderId="4" xfId="0" applyFont="1" applyFill="1" applyBorder="1" applyAlignment="1" applyProtection="1">
      <alignment horizontal="center" vertical="center" shrinkToFit="1"/>
      <protection hidden="1"/>
    </xf>
    <xf numFmtId="0" fontId="135" fillId="4" borderId="231" xfId="0" applyFont="1" applyFill="1" applyBorder="1" applyAlignment="1" applyProtection="1">
      <alignment horizontal="center" vertical="center" shrinkToFit="1"/>
      <protection hidden="1"/>
    </xf>
    <xf numFmtId="0" fontId="20" fillId="4" borderId="299" xfId="0" applyFont="1" applyFill="1" applyBorder="1" applyAlignment="1" applyProtection="1">
      <alignment horizontal="center" vertical="center" shrinkToFit="1"/>
      <protection hidden="1"/>
    </xf>
    <xf numFmtId="0" fontId="20" fillId="4" borderId="26" xfId="0" applyFont="1" applyFill="1" applyBorder="1" applyAlignment="1" applyProtection="1">
      <alignment horizontal="center" vertical="center" shrinkToFit="1"/>
      <protection hidden="1"/>
    </xf>
    <xf numFmtId="0" fontId="20" fillId="4" borderId="27" xfId="0" applyFont="1" applyFill="1" applyBorder="1" applyAlignment="1" applyProtection="1">
      <alignment horizontal="center" vertical="center" shrinkToFit="1"/>
      <protection hidden="1"/>
    </xf>
    <xf numFmtId="184" fontId="28" fillId="23" borderId="18" xfId="0" applyNumberFormat="1" applyFont="1" applyFill="1" applyBorder="1" applyAlignment="1" applyProtection="1">
      <alignment vertical="center" shrinkToFit="1"/>
      <protection locked="0"/>
    </xf>
    <xf numFmtId="184" fontId="28" fillId="23" borderId="14" xfId="0" applyNumberFormat="1" applyFont="1" applyFill="1" applyBorder="1" applyAlignment="1" applyProtection="1">
      <alignment vertical="center" shrinkToFit="1"/>
      <protection locked="0"/>
    </xf>
    <xf numFmtId="184" fontId="28" fillId="23" borderId="15" xfId="0" applyNumberFormat="1" applyFont="1" applyFill="1" applyBorder="1" applyAlignment="1" applyProtection="1">
      <alignment vertical="center" shrinkToFit="1"/>
      <protection locked="0"/>
    </xf>
    <xf numFmtId="0" fontId="29" fillId="11" borderId="279" xfId="0" applyFont="1" applyFill="1" applyBorder="1" applyAlignment="1" applyProtection="1">
      <alignment horizontal="center" vertical="center"/>
      <protection hidden="1"/>
    </xf>
    <xf numFmtId="0" fontId="29" fillId="11" borderId="278" xfId="0" applyFont="1" applyFill="1" applyBorder="1" applyAlignment="1" applyProtection="1">
      <alignment horizontal="center" vertical="center"/>
      <protection hidden="1"/>
    </xf>
    <xf numFmtId="0" fontId="29" fillId="11" borderId="277" xfId="0" applyFont="1" applyFill="1" applyBorder="1" applyAlignment="1" applyProtection="1">
      <alignment horizontal="center" vertical="center"/>
      <protection hidden="1"/>
    </xf>
    <xf numFmtId="0" fontId="18" fillId="2" borderId="279" xfId="1" applyFill="1" applyBorder="1" applyAlignment="1" applyProtection="1">
      <alignment horizontal="center" vertical="center"/>
      <protection locked="0"/>
    </xf>
    <xf numFmtId="0" fontId="18" fillId="2" borderId="278" xfId="1" applyFill="1" applyBorder="1" applyAlignment="1" applyProtection="1">
      <alignment horizontal="center" vertical="center"/>
      <protection locked="0"/>
    </xf>
    <xf numFmtId="0" fontId="18" fillId="2" borderId="277" xfId="1" applyFill="1" applyBorder="1" applyAlignment="1" applyProtection="1">
      <alignment horizontal="center" vertical="center"/>
      <protection locked="0"/>
    </xf>
    <xf numFmtId="0" fontId="43" fillId="18" borderId="334" xfId="0" applyFont="1" applyFill="1" applyBorder="1" applyAlignment="1" applyProtection="1">
      <alignment horizontal="center" vertical="center" wrapText="1"/>
      <protection hidden="1"/>
    </xf>
    <xf numFmtId="0" fontId="43" fillId="18" borderId="332" xfId="0" applyFont="1" applyFill="1" applyBorder="1" applyAlignment="1" applyProtection="1">
      <alignment horizontal="center" vertical="center" wrapText="1"/>
      <protection hidden="1"/>
    </xf>
    <xf numFmtId="0" fontId="43" fillId="18" borderId="63" xfId="0" applyFont="1" applyFill="1" applyBorder="1" applyAlignment="1" applyProtection="1">
      <alignment horizontal="center" vertical="center" wrapText="1"/>
      <protection hidden="1"/>
    </xf>
    <xf numFmtId="0" fontId="43" fillId="18" borderId="0" xfId="0" applyFont="1" applyFill="1" applyAlignment="1" applyProtection="1">
      <alignment horizontal="center" vertical="center" wrapText="1"/>
      <protection hidden="1"/>
    </xf>
    <xf numFmtId="0" fontId="31" fillId="30" borderId="55" xfId="10" applyFont="1" applyFill="1" applyBorder="1" applyAlignment="1" applyProtection="1">
      <alignment horizontal="center" vertical="center" wrapText="1"/>
      <protection hidden="1"/>
    </xf>
    <xf numFmtId="0" fontId="31" fillId="30" borderId="46" xfId="10" applyFont="1" applyFill="1" applyBorder="1" applyAlignment="1" applyProtection="1">
      <alignment horizontal="center" vertical="center" wrapText="1"/>
      <protection hidden="1"/>
    </xf>
    <xf numFmtId="0" fontId="31" fillId="30" borderId="62" xfId="10" applyFont="1" applyFill="1" applyBorder="1" applyAlignment="1" applyProtection="1">
      <alignment horizontal="center" vertical="center" wrapText="1"/>
      <protection hidden="1"/>
    </xf>
    <xf numFmtId="0" fontId="28" fillId="2" borderId="455" xfId="10" applyFont="1" applyFill="1" applyBorder="1" applyAlignment="1" applyProtection="1">
      <alignment horizontal="center" vertical="center" shrinkToFit="1"/>
      <protection locked="0"/>
    </xf>
    <xf numFmtId="0" fontId="28" fillId="2" borderId="457" xfId="10" applyFont="1" applyFill="1" applyBorder="1" applyAlignment="1" applyProtection="1">
      <alignment horizontal="center" vertical="center" shrinkToFit="1"/>
      <protection locked="0"/>
    </xf>
    <xf numFmtId="0" fontId="28" fillId="2" borderId="56" xfId="10" applyFont="1" applyFill="1" applyBorder="1" applyAlignment="1" applyProtection="1">
      <alignment horizontal="center" vertical="center" shrinkToFit="1"/>
      <protection locked="0"/>
    </xf>
    <xf numFmtId="0" fontId="28" fillId="2" borderId="64" xfId="10" applyFont="1" applyFill="1" applyBorder="1" applyAlignment="1" applyProtection="1">
      <alignment horizontal="center" vertical="center" shrinkToFit="1"/>
      <protection locked="0"/>
    </xf>
    <xf numFmtId="0" fontId="149" fillId="11" borderId="0" xfId="10" applyFont="1" applyFill="1" applyAlignment="1" applyProtection="1">
      <alignment horizontal="center" vertical="center" wrapText="1"/>
      <protection hidden="1"/>
    </xf>
    <xf numFmtId="0" fontId="149" fillId="11" borderId="64" xfId="10" applyFont="1" applyFill="1" applyBorder="1" applyAlignment="1" applyProtection="1">
      <alignment horizontal="center" vertical="center" wrapText="1"/>
      <protection hidden="1"/>
    </xf>
    <xf numFmtId="0" fontId="28" fillId="2" borderId="51" xfId="10" applyFont="1" applyFill="1" applyBorder="1" applyAlignment="1" applyProtection="1">
      <alignment horizontal="center" vertical="center" shrinkToFit="1"/>
      <protection locked="0"/>
    </xf>
    <xf numFmtId="0" fontId="28" fillId="2" borderId="0" xfId="10" applyFont="1" applyFill="1" applyAlignment="1" applyProtection="1">
      <alignment horizontal="center" vertical="center" shrinkToFit="1"/>
      <protection locked="0"/>
    </xf>
    <xf numFmtId="0" fontId="45" fillId="18" borderId="54" xfId="0" applyFont="1" applyFill="1" applyBorder="1" applyAlignment="1" applyProtection="1">
      <alignment vertical="center" shrinkToFit="1"/>
      <protection hidden="1"/>
    </xf>
    <xf numFmtId="0" fontId="44" fillId="18" borderId="55" xfId="0" applyFont="1" applyFill="1" applyBorder="1" applyAlignment="1" applyProtection="1">
      <alignment horizontal="center" vertical="center" wrapText="1"/>
      <protection hidden="1"/>
    </xf>
    <xf numFmtId="0" fontId="44" fillId="18" borderId="46" xfId="0" applyFont="1" applyFill="1" applyBorder="1" applyAlignment="1" applyProtection="1">
      <alignment horizontal="center" vertical="center" wrapText="1"/>
      <protection hidden="1"/>
    </xf>
    <xf numFmtId="0" fontId="44" fillId="18" borderId="62" xfId="0" applyFont="1" applyFill="1" applyBorder="1" applyAlignment="1" applyProtection="1">
      <alignment horizontal="center" vertical="center" wrapText="1"/>
      <protection hidden="1"/>
    </xf>
    <xf numFmtId="0" fontId="44" fillId="18" borderId="56" xfId="0" applyFont="1" applyFill="1" applyBorder="1" applyAlignment="1" applyProtection="1">
      <alignment horizontal="center" vertical="center" wrapText="1"/>
      <protection hidden="1"/>
    </xf>
    <xf numFmtId="0" fontId="44" fillId="18" borderId="64" xfId="0" applyFont="1" applyFill="1" applyBorder="1" applyAlignment="1" applyProtection="1">
      <alignment horizontal="center" vertical="center" wrapText="1"/>
      <protection hidden="1"/>
    </xf>
    <xf numFmtId="0" fontId="44" fillId="18" borderId="57" xfId="0" applyFont="1" applyFill="1" applyBorder="1" applyAlignment="1" applyProtection="1">
      <alignment horizontal="center" vertical="center" wrapText="1"/>
      <protection hidden="1"/>
    </xf>
    <xf numFmtId="0" fontId="44" fillId="18" borderId="50" xfId="0" applyFont="1" applyFill="1" applyBorder="1" applyAlignment="1" applyProtection="1">
      <alignment horizontal="center" vertical="center" wrapText="1"/>
      <protection hidden="1"/>
    </xf>
    <xf numFmtId="0" fontId="44" fillId="18" borderId="65" xfId="0" applyFont="1" applyFill="1" applyBorder="1" applyAlignment="1" applyProtection="1">
      <alignment horizontal="center" vertical="center" wrapText="1"/>
      <protection hidden="1"/>
    </xf>
    <xf numFmtId="0" fontId="31" fillId="30" borderId="499" xfId="0" applyFont="1" applyFill="1" applyBorder="1" applyAlignment="1" applyProtection="1">
      <alignment horizontal="center" vertical="center" wrapText="1"/>
      <protection hidden="1"/>
    </xf>
    <xf numFmtId="0" fontId="31" fillId="2" borderId="729" xfId="0" applyFont="1" applyFill="1" applyBorder="1" applyAlignment="1" applyProtection="1">
      <alignment horizontal="center" vertical="center" wrapText="1"/>
      <protection locked="0" hidden="1"/>
    </xf>
    <xf numFmtId="0" fontId="31" fillId="2" borderId="726" xfId="0" applyFont="1" applyFill="1" applyBorder="1" applyAlignment="1" applyProtection="1">
      <alignment horizontal="center" vertical="center" wrapText="1"/>
      <protection locked="0" hidden="1"/>
    </xf>
    <xf numFmtId="0" fontId="31" fillId="2" borderId="99" xfId="0" applyFont="1" applyFill="1" applyBorder="1" applyAlignment="1" applyProtection="1">
      <alignment horizontal="center" vertical="center" wrapText="1"/>
      <protection locked="0" hidden="1"/>
    </xf>
    <xf numFmtId="0" fontId="31" fillId="2" borderId="97" xfId="0" applyFont="1" applyFill="1" applyBorder="1" applyAlignment="1" applyProtection="1">
      <alignment horizontal="center" vertical="center" wrapText="1"/>
      <protection locked="0" hidden="1"/>
    </xf>
    <xf numFmtId="0" fontId="31" fillId="2" borderId="454" xfId="0" applyFont="1" applyFill="1" applyBorder="1" applyAlignment="1" applyProtection="1">
      <alignment horizontal="center" vertical="center" wrapText="1"/>
      <protection locked="0" hidden="1"/>
    </xf>
    <xf numFmtId="0" fontId="31" fillId="2" borderId="478" xfId="0" applyFont="1" applyFill="1" applyBorder="1" applyAlignment="1" applyProtection="1">
      <alignment horizontal="center" vertical="center" wrapText="1"/>
      <protection locked="0" hidden="1"/>
    </xf>
    <xf numFmtId="0" fontId="31" fillId="11" borderId="732" xfId="0" applyFont="1" applyFill="1" applyBorder="1" applyAlignment="1" applyProtection="1">
      <alignment horizontal="center" vertical="center" wrapText="1" shrinkToFit="1"/>
      <protection hidden="1"/>
    </xf>
    <xf numFmtId="0" fontId="47" fillId="2" borderId="732" xfId="0" applyFont="1" applyFill="1" applyBorder="1" applyAlignment="1" applyProtection="1">
      <alignment horizontal="center" vertical="center" shrinkToFit="1"/>
      <protection locked="0"/>
    </xf>
    <xf numFmtId="0" fontId="47" fillId="2" borderId="461" xfId="0" applyFont="1" applyFill="1" applyBorder="1" applyAlignment="1" applyProtection="1">
      <alignment horizontal="center" vertical="center" shrinkToFit="1"/>
      <protection locked="0"/>
    </xf>
    <xf numFmtId="0" fontId="47" fillId="2" borderId="731" xfId="0" applyFont="1" applyFill="1" applyBorder="1" applyAlignment="1" applyProtection="1">
      <alignment horizontal="center" vertical="center" shrinkToFit="1"/>
      <protection locked="0"/>
    </xf>
    <xf numFmtId="0" fontId="47" fillId="2" borderId="737" xfId="0" applyFont="1" applyFill="1" applyBorder="1" applyAlignment="1" applyProtection="1">
      <alignment horizontal="center" vertical="center" shrinkToFit="1"/>
      <protection locked="0"/>
    </xf>
    <xf numFmtId="0" fontId="47" fillId="2" borderId="725" xfId="0" applyFont="1" applyFill="1" applyBorder="1" applyAlignment="1" applyProtection="1">
      <alignment horizontal="center" vertical="center" shrinkToFit="1"/>
      <protection locked="0"/>
    </xf>
    <xf numFmtId="0" fontId="47" fillId="2" borderId="736" xfId="0" applyFont="1" applyFill="1" applyBorder="1" applyAlignment="1" applyProtection="1">
      <alignment horizontal="center" vertical="center" shrinkToFit="1"/>
      <protection locked="0"/>
    </xf>
    <xf numFmtId="0" fontId="18" fillId="2" borderId="727" xfId="1" applyFill="1" applyBorder="1" applyAlignment="1" applyProtection="1">
      <alignment horizontal="center" vertical="center" shrinkToFit="1"/>
      <protection locked="0"/>
    </xf>
    <xf numFmtId="0" fontId="18" fillId="2" borderId="730" xfId="1" applyFill="1" applyBorder="1" applyAlignment="1" applyProtection="1">
      <alignment horizontal="center" vertical="center" shrinkToFit="1"/>
      <protection locked="0"/>
    </xf>
    <xf numFmtId="0" fontId="18" fillId="2" borderId="728" xfId="1" applyFill="1" applyBorder="1" applyAlignment="1" applyProtection="1">
      <alignment horizontal="center" vertical="center" shrinkToFit="1"/>
      <protection locked="0"/>
    </xf>
    <xf numFmtId="0" fontId="18" fillId="2" borderId="479" xfId="1" applyFill="1" applyBorder="1" applyAlignment="1" applyProtection="1">
      <alignment horizontal="center" vertical="center" shrinkToFit="1"/>
      <protection locked="0"/>
    </xf>
    <xf numFmtId="0" fontId="18" fillId="2" borderId="24" xfId="1" applyFill="1" applyBorder="1" applyAlignment="1" applyProtection="1">
      <alignment horizontal="center" vertical="center" shrinkToFit="1"/>
      <protection locked="0"/>
    </xf>
    <xf numFmtId="0" fontId="18" fillId="2" borderId="480" xfId="1" applyFill="1" applyBorder="1" applyAlignment="1" applyProtection="1">
      <alignment horizontal="center" vertical="center" shrinkToFit="1"/>
      <protection locked="0"/>
    </xf>
    <xf numFmtId="0" fontId="18" fillId="2" borderId="740" xfId="1" applyFill="1" applyBorder="1" applyAlignment="1" applyProtection="1">
      <alignment horizontal="center" vertical="center" shrinkToFit="1"/>
      <protection locked="0"/>
    </xf>
    <xf numFmtId="0" fontId="18" fillId="2" borderId="269" xfId="1" applyFill="1" applyBorder="1" applyAlignment="1" applyProtection="1">
      <alignment horizontal="center" vertical="center" shrinkToFit="1"/>
      <protection locked="0"/>
    </xf>
    <xf numFmtId="0" fontId="18" fillId="2" borderId="735" xfId="1" applyFill="1" applyBorder="1" applyAlignment="1" applyProtection="1">
      <alignment horizontal="center" vertical="center" shrinkToFit="1"/>
      <protection locked="0"/>
    </xf>
    <xf numFmtId="0" fontId="18" fillId="2" borderId="733" xfId="1" applyFill="1" applyBorder="1" applyAlignment="1" applyProtection="1">
      <alignment horizontal="center" vertical="center" shrinkToFit="1"/>
      <protection locked="0"/>
    </xf>
    <xf numFmtId="0" fontId="148" fillId="2" borderId="727" xfId="1" applyFont="1" applyFill="1" applyBorder="1" applyAlignment="1" applyProtection="1">
      <alignment horizontal="center" vertical="center" shrinkToFit="1"/>
      <protection locked="0"/>
    </xf>
    <xf numFmtId="0" fontId="148" fillId="2" borderId="728" xfId="1" applyFont="1" applyFill="1" applyBorder="1" applyAlignment="1" applyProtection="1">
      <alignment horizontal="center" vertical="center" shrinkToFit="1"/>
      <protection locked="0"/>
    </xf>
    <xf numFmtId="0" fontId="148" fillId="2" borderId="479" xfId="1" applyFont="1" applyFill="1" applyBorder="1" applyAlignment="1" applyProtection="1">
      <alignment horizontal="center" vertical="center" shrinkToFit="1"/>
      <protection locked="0"/>
    </xf>
    <xf numFmtId="0" fontId="148" fillId="2" borderId="480" xfId="1" applyFont="1" applyFill="1" applyBorder="1" applyAlignment="1" applyProtection="1">
      <alignment horizontal="center" vertical="center" shrinkToFit="1"/>
      <protection locked="0"/>
    </xf>
    <xf numFmtId="0" fontId="148" fillId="2" borderId="740" xfId="1" applyFont="1" applyFill="1" applyBorder="1" applyAlignment="1" applyProtection="1">
      <alignment horizontal="center" vertical="center" shrinkToFit="1"/>
      <protection locked="0"/>
    </xf>
    <xf numFmtId="0" fontId="148" fillId="2" borderId="741" xfId="1" applyFont="1" applyFill="1" applyBorder="1" applyAlignment="1" applyProtection="1">
      <alignment horizontal="center" vertical="center" shrinkToFit="1"/>
      <protection locked="0"/>
    </xf>
    <xf numFmtId="0" fontId="31" fillId="11" borderId="729" xfId="0" applyFont="1" applyFill="1" applyBorder="1" applyAlignment="1" applyProtection="1">
      <alignment horizontal="center" vertical="center" wrapText="1"/>
      <protection hidden="1"/>
    </xf>
    <xf numFmtId="0" fontId="31" fillId="11" borderId="461" xfId="0" applyFont="1" applyFill="1" applyBorder="1" applyAlignment="1" applyProtection="1">
      <alignment horizontal="center" vertical="center"/>
      <protection hidden="1"/>
    </xf>
    <xf numFmtId="0" fontId="31" fillId="11" borderId="726" xfId="0" applyFont="1" applyFill="1" applyBorder="1" applyAlignment="1" applyProtection="1">
      <alignment horizontal="center" vertical="center"/>
      <protection hidden="1"/>
    </xf>
    <xf numFmtId="0" fontId="31" fillId="11" borderId="99" xfId="0" applyFont="1" applyFill="1" applyBorder="1" applyAlignment="1" applyProtection="1">
      <alignment horizontal="center" vertical="center"/>
      <protection hidden="1"/>
    </xf>
    <xf numFmtId="0" fontId="31" fillId="11" borderId="0" xfId="0" applyFont="1" applyFill="1" applyAlignment="1" applyProtection="1">
      <alignment horizontal="center" vertical="center"/>
      <protection hidden="1"/>
    </xf>
    <xf numFmtId="0" fontId="31" fillId="11" borderId="97" xfId="0" applyFont="1" applyFill="1" applyBorder="1" applyAlignment="1" applyProtection="1">
      <alignment horizontal="center" vertical="center"/>
      <protection hidden="1"/>
    </xf>
    <xf numFmtId="0" fontId="31" fillId="11" borderId="454" xfId="0" applyFont="1" applyFill="1" applyBorder="1" applyAlignment="1" applyProtection="1">
      <alignment horizontal="center" vertical="center"/>
      <protection hidden="1"/>
    </xf>
    <xf numFmtId="0" fontId="31" fillId="11" borderId="449" xfId="0" applyFont="1" applyFill="1" applyBorder="1" applyAlignment="1" applyProtection="1">
      <alignment horizontal="center" vertical="center"/>
      <protection hidden="1"/>
    </xf>
    <xf numFmtId="0" fontId="31" fillId="11" borderId="478" xfId="0" applyFont="1" applyFill="1" applyBorder="1" applyAlignment="1" applyProtection="1">
      <alignment horizontal="center" vertical="center"/>
      <protection hidden="1"/>
    </xf>
    <xf numFmtId="0" fontId="31" fillId="18" borderId="461" xfId="0" applyFont="1" applyFill="1" applyBorder="1" applyAlignment="1" applyProtection="1">
      <alignment horizontal="center" vertical="center" wrapText="1"/>
      <protection locked="0"/>
    </xf>
    <xf numFmtId="0" fontId="31" fillId="18" borderId="731" xfId="0" applyFont="1" applyFill="1" applyBorder="1" applyAlignment="1" applyProtection="1">
      <alignment horizontal="center" vertical="center" wrapText="1"/>
      <protection locked="0"/>
    </xf>
    <xf numFmtId="0" fontId="31" fillId="18" borderId="0" xfId="0" applyFont="1" applyFill="1" applyAlignment="1" applyProtection="1">
      <alignment horizontal="center" vertical="center" wrapText="1"/>
      <protection locked="0"/>
    </xf>
    <xf numFmtId="0" fontId="31" fillId="18" borderId="64" xfId="0" applyFont="1" applyFill="1" applyBorder="1" applyAlignment="1" applyProtection="1">
      <alignment horizontal="center" vertical="center" wrapText="1"/>
      <protection locked="0"/>
    </xf>
    <xf numFmtId="0" fontId="31" fillId="30" borderId="729" xfId="0" applyFont="1" applyFill="1" applyBorder="1" applyAlignment="1" applyProtection="1">
      <alignment horizontal="center" vertical="center" wrapText="1"/>
      <protection hidden="1"/>
    </xf>
    <xf numFmtId="0" fontId="31" fillId="30" borderId="461" xfId="0" applyFont="1" applyFill="1" applyBorder="1" applyAlignment="1" applyProtection="1">
      <alignment horizontal="center" vertical="center" wrapText="1"/>
      <protection hidden="1"/>
    </xf>
    <xf numFmtId="0" fontId="31" fillId="30" borderId="726" xfId="0" applyFont="1" applyFill="1" applyBorder="1" applyAlignment="1" applyProtection="1">
      <alignment horizontal="center" vertical="center" wrapText="1"/>
      <protection hidden="1"/>
    </xf>
    <xf numFmtId="0" fontId="31" fillId="30" borderId="99" xfId="0" applyFont="1" applyFill="1" applyBorder="1" applyAlignment="1" applyProtection="1">
      <alignment horizontal="center" vertical="center" wrapText="1"/>
      <protection hidden="1"/>
    </xf>
    <xf numFmtId="0" fontId="31" fillId="30" borderId="97" xfId="0" applyFont="1" applyFill="1" applyBorder="1" applyAlignment="1" applyProtection="1">
      <alignment horizontal="center" vertical="center" wrapText="1"/>
      <protection hidden="1"/>
    </xf>
    <xf numFmtId="0" fontId="28" fillId="2" borderId="55" xfId="0" applyFont="1" applyFill="1" applyBorder="1" applyAlignment="1" applyProtection="1">
      <alignment horizontal="center" vertical="center" shrinkToFit="1"/>
      <protection locked="0" hidden="1"/>
    </xf>
    <xf numFmtId="0" fontId="28" fillId="2" borderId="46" xfId="0" applyFont="1" applyFill="1" applyBorder="1" applyAlignment="1" applyProtection="1">
      <alignment horizontal="center" vertical="center" shrinkToFit="1"/>
      <protection locked="0" hidden="1"/>
    </xf>
    <xf numFmtId="0" fontId="37" fillId="20" borderId="742" xfId="10" applyFont="1" applyFill="1" applyBorder="1" applyAlignment="1" applyProtection="1">
      <alignment vertical="center" wrapText="1" shrinkToFit="1"/>
      <protection hidden="1"/>
    </xf>
    <xf numFmtId="0" fontId="37" fillId="20" borderId="96" xfId="10" applyFont="1" applyFill="1" applyBorder="1" applyAlignment="1" applyProtection="1">
      <alignment vertical="center" wrapText="1" shrinkToFit="1"/>
      <protection hidden="1"/>
    </xf>
    <xf numFmtId="0" fontId="37" fillId="20" borderId="743" xfId="10" applyFont="1" applyFill="1" applyBorder="1" applyAlignment="1" applyProtection="1">
      <alignment vertical="center" wrapText="1" shrinkToFit="1"/>
      <protection hidden="1"/>
    </xf>
    <xf numFmtId="0" fontId="37" fillId="20" borderId="441" xfId="10" applyFont="1" applyFill="1" applyBorder="1" applyAlignment="1" applyProtection="1">
      <alignment vertical="center" wrapText="1" shrinkToFit="1"/>
      <protection hidden="1"/>
    </xf>
    <xf numFmtId="0" fontId="37" fillId="20" borderId="0" xfId="10" applyFont="1" applyFill="1" applyAlignment="1" applyProtection="1">
      <alignment vertical="center" wrapText="1" shrinkToFit="1"/>
      <protection hidden="1"/>
    </xf>
    <xf numFmtId="0" fontId="37" fillId="20" borderId="67" xfId="10" applyFont="1" applyFill="1" applyBorder="1" applyAlignment="1" applyProtection="1">
      <alignment vertical="center" wrapText="1" shrinkToFit="1"/>
      <protection hidden="1"/>
    </xf>
    <xf numFmtId="0" fontId="37" fillId="20" borderId="442" xfId="10" applyFont="1" applyFill="1" applyBorder="1" applyAlignment="1" applyProtection="1">
      <alignment vertical="center" wrapText="1" shrinkToFit="1"/>
      <protection hidden="1"/>
    </xf>
    <xf numFmtId="0" fontId="37" fillId="20" borderId="50" xfId="10" applyFont="1" applyFill="1" applyBorder="1" applyAlignment="1" applyProtection="1">
      <alignment vertical="center" wrapText="1" shrinkToFit="1"/>
      <protection hidden="1"/>
    </xf>
    <xf numFmtId="0" fontId="37" fillId="20" borderId="195" xfId="10" applyFont="1" applyFill="1" applyBorder="1" applyAlignment="1" applyProtection="1">
      <alignment vertical="center" wrapText="1" shrinkToFit="1"/>
      <protection hidden="1"/>
    </xf>
    <xf numFmtId="0" fontId="37" fillId="0" borderId="744" xfId="10" applyFont="1" applyBorder="1" applyAlignment="1" applyProtection="1">
      <alignment horizontal="left" vertical="center" wrapText="1" shrinkToFit="1"/>
      <protection hidden="1"/>
    </xf>
    <xf numFmtId="0" fontId="37" fillId="0" borderId="96" xfId="10" applyFont="1" applyBorder="1" applyAlignment="1" applyProtection="1">
      <alignment horizontal="left" vertical="center" wrapText="1" shrinkToFit="1"/>
      <protection hidden="1"/>
    </xf>
    <xf numFmtId="0" fontId="37" fillId="0" borderId="743" xfId="10" applyFont="1" applyBorder="1" applyAlignment="1" applyProtection="1">
      <alignment horizontal="left" vertical="center" wrapText="1" shrinkToFit="1"/>
      <protection hidden="1"/>
    </xf>
    <xf numFmtId="0" fontId="37" fillId="0" borderId="63" xfId="10" applyFont="1" applyBorder="1" applyAlignment="1" applyProtection="1">
      <alignment horizontal="left" vertical="center" wrapText="1" shrinkToFit="1"/>
      <protection hidden="1"/>
    </xf>
    <xf numFmtId="0" fontId="37" fillId="0" borderId="0" xfId="10" applyFont="1" applyAlignment="1" applyProtection="1">
      <alignment horizontal="left" vertical="center" wrapText="1" shrinkToFit="1"/>
      <protection hidden="1"/>
    </xf>
    <xf numFmtId="0" fontId="37" fillId="0" borderId="67" xfId="10" applyFont="1" applyBorder="1" applyAlignment="1" applyProtection="1">
      <alignment horizontal="left" vertical="center" wrapText="1" shrinkToFit="1"/>
      <protection hidden="1"/>
    </xf>
    <xf numFmtId="0" fontId="37" fillId="0" borderId="192" xfId="10" applyFont="1" applyBorder="1" applyAlignment="1" applyProtection="1">
      <alignment horizontal="left" vertical="center" wrapText="1" shrinkToFit="1"/>
      <protection hidden="1"/>
    </xf>
    <xf numFmtId="0" fontId="37" fillId="0" borderId="50" xfId="10" applyFont="1" applyBorder="1" applyAlignment="1" applyProtection="1">
      <alignment horizontal="left" vertical="center" wrapText="1" shrinkToFit="1"/>
      <protection hidden="1"/>
    </xf>
    <xf numFmtId="0" fontId="37" fillId="0" borderId="195" xfId="10" applyFont="1" applyBorder="1" applyAlignment="1" applyProtection="1">
      <alignment horizontal="left" vertical="center" wrapText="1" shrinkToFit="1"/>
      <protection hidden="1"/>
    </xf>
    <xf numFmtId="0" fontId="31" fillId="30" borderId="72" xfId="0" applyFont="1" applyFill="1" applyBorder="1" applyAlignment="1" applyProtection="1">
      <alignment horizontal="center" vertical="center" wrapText="1"/>
      <protection hidden="1"/>
    </xf>
    <xf numFmtId="0" fontId="31" fillId="30" borderId="47" xfId="0" applyFont="1" applyFill="1" applyBorder="1" applyAlignment="1" applyProtection="1">
      <alignment horizontal="center" vertical="center" wrapText="1"/>
      <protection hidden="1"/>
    </xf>
    <xf numFmtId="0" fontId="31" fillId="30" borderId="745" xfId="0" applyFont="1" applyFill="1" applyBorder="1" applyAlignment="1" applyProtection="1">
      <alignment horizontal="center" vertical="center" wrapText="1"/>
      <protection hidden="1"/>
    </xf>
    <xf numFmtId="0" fontId="31" fillId="30" borderId="449" xfId="0" applyFont="1" applyFill="1" applyBorder="1" applyAlignment="1" applyProtection="1">
      <alignment horizontal="center" vertical="center" wrapText="1"/>
      <protection hidden="1"/>
    </xf>
    <xf numFmtId="0" fontId="31" fillId="30" borderId="521" xfId="0" applyFont="1" applyFill="1" applyBorder="1" applyAlignment="1" applyProtection="1">
      <alignment horizontal="center" vertical="center" wrapText="1"/>
      <protection hidden="1"/>
    </xf>
    <xf numFmtId="3" fontId="31" fillId="11" borderId="453" xfId="0" applyNumberFormat="1" applyFont="1" applyFill="1" applyBorder="1" applyAlignment="1" applyProtection="1">
      <alignment horizontal="center" vertical="center" wrapText="1"/>
      <protection hidden="1"/>
    </xf>
    <xf numFmtId="3" fontId="31" fillId="11" borderId="99" xfId="0" applyNumberFormat="1" applyFont="1" applyFill="1" applyBorder="1" applyAlignment="1" applyProtection="1">
      <alignment horizontal="center" vertical="center" wrapText="1"/>
      <protection hidden="1"/>
    </xf>
    <xf numFmtId="3" fontId="31" fillId="11" borderId="454" xfId="0" applyNumberFormat="1" applyFont="1" applyFill="1" applyBorder="1" applyAlignment="1" applyProtection="1">
      <alignment horizontal="center" vertical="center" wrapText="1"/>
      <protection hidden="1"/>
    </xf>
    <xf numFmtId="3" fontId="31" fillId="11" borderId="449" xfId="0" applyNumberFormat="1" applyFont="1" applyFill="1" applyBorder="1" applyAlignment="1" applyProtection="1">
      <alignment horizontal="center" vertical="center" wrapText="1"/>
      <protection hidden="1"/>
    </xf>
    <xf numFmtId="0" fontId="37" fillId="2" borderId="96" xfId="0" applyFont="1" applyFill="1" applyBorder="1" applyAlignment="1" applyProtection="1">
      <alignment horizontal="center" vertical="center" wrapText="1" shrinkToFit="1"/>
      <protection locked="0" hidden="1"/>
    </xf>
    <xf numFmtId="38" fontId="48" fillId="2" borderId="732" xfId="2" applyFont="1" applyFill="1" applyBorder="1" applyAlignment="1" applyProtection="1">
      <alignment horizontal="center" vertical="center" shrinkToFit="1"/>
      <protection locked="0"/>
    </xf>
    <xf numFmtId="38" fontId="48" fillId="2" borderId="461" xfId="2" applyFont="1" applyFill="1" applyBorder="1" applyAlignment="1" applyProtection="1">
      <alignment horizontal="center" vertical="center" shrinkToFit="1"/>
      <protection locked="0"/>
    </xf>
    <xf numFmtId="38" fontId="48" fillId="2" borderId="731" xfId="2" applyFont="1" applyFill="1" applyBorder="1" applyAlignment="1" applyProtection="1">
      <alignment horizontal="center" vertical="center" shrinkToFit="1"/>
      <protection locked="0"/>
    </xf>
    <xf numFmtId="0" fontId="31" fillId="11" borderId="732" xfId="0" applyFont="1" applyFill="1" applyBorder="1" applyAlignment="1" applyProtection="1">
      <alignment horizontal="center" vertical="center" wrapText="1"/>
      <protection hidden="1"/>
    </xf>
    <xf numFmtId="0" fontId="31" fillId="11" borderId="461" xfId="0" applyFont="1" applyFill="1" applyBorder="1" applyAlignment="1" applyProtection="1">
      <alignment horizontal="center" vertical="center" wrapText="1"/>
      <protection hidden="1"/>
    </xf>
    <xf numFmtId="0" fontId="31" fillId="11" borderId="731" xfId="0" applyFont="1" applyFill="1" applyBorder="1" applyAlignment="1" applyProtection="1">
      <alignment horizontal="center" vertical="center" wrapText="1"/>
      <protection hidden="1"/>
    </xf>
    <xf numFmtId="0" fontId="31" fillId="11" borderId="521" xfId="0" applyFont="1" applyFill="1" applyBorder="1" applyAlignment="1" applyProtection="1">
      <alignment horizontal="center" vertical="center" wrapText="1"/>
      <protection hidden="1"/>
    </xf>
    <xf numFmtId="0" fontId="48" fillId="2" borderId="732" xfId="0" applyFont="1" applyFill="1" applyBorder="1" applyAlignment="1" applyProtection="1">
      <alignment horizontal="center" vertical="center" wrapText="1"/>
      <protection locked="0"/>
    </xf>
    <xf numFmtId="0" fontId="48" fillId="2" borderId="731" xfId="0" applyFont="1" applyFill="1" applyBorder="1" applyAlignment="1" applyProtection="1">
      <alignment horizontal="center" vertical="center" wrapText="1"/>
      <protection locked="0"/>
    </xf>
    <xf numFmtId="0" fontId="48" fillId="2" borderId="448" xfId="0" applyFont="1" applyFill="1" applyBorder="1" applyAlignment="1" applyProtection="1">
      <alignment horizontal="center" vertical="center" wrapText="1"/>
      <protection locked="0"/>
    </xf>
    <xf numFmtId="0" fontId="48" fillId="2" borderId="521" xfId="0" applyFont="1" applyFill="1" applyBorder="1" applyAlignment="1" applyProtection="1">
      <alignment horizontal="center" vertical="center" wrapText="1"/>
      <protection locked="0"/>
    </xf>
    <xf numFmtId="0" fontId="21" fillId="33" borderId="204" xfId="8" applyFont="1" applyFill="1" applyBorder="1" applyAlignment="1">
      <alignment horizontal="center" vertical="center"/>
    </xf>
    <xf numFmtId="0" fontId="21" fillId="33" borderId="205" xfId="8" applyFont="1" applyFill="1" applyBorder="1" applyAlignment="1">
      <alignment horizontal="center" vertical="center"/>
    </xf>
    <xf numFmtId="0" fontId="21" fillId="33" borderId="206" xfId="8" applyFont="1" applyFill="1" applyBorder="1" applyAlignment="1">
      <alignment horizontal="center" vertical="center"/>
    </xf>
    <xf numFmtId="0" fontId="21" fillId="34" borderId="212" xfId="8" quotePrefix="1" applyFont="1" applyFill="1" applyBorder="1" applyAlignment="1">
      <alignment horizontal="center" vertical="center"/>
    </xf>
    <xf numFmtId="0" fontId="21" fillId="34" borderId="213" xfId="8" quotePrefix="1" applyFont="1" applyFill="1" applyBorder="1" applyAlignment="1">
      <alignment horizontal="center" vertical="center"/>
    </xf>
    <xf numFmtId="0" fontId="21" fillId="36" borderId="218" xfId="8" applyFont="1" applyFill="1" applyBorder="1" applyAlignment="1">
      <alignment horizontal="center" vertical="center"/>
    </xf>
    <xf numFmtId="0" fontId="21" fillId="36" borderId="219" xfId="8" applyFont="1" applyFill="1" applyBorder="1" applyAlignment="1">
      <alignment horizontal="center" vertical="center"/>
    </xf>
    <xf numFmtId="0" fontId="21" fillId="36" borderId="220" xfId="8" applyFont="1" applyFill="1" applyBorder="1" applyAlignment="1">
      <alignment horizontal="center" vertical="center"/>
    </xf>
    <xf numFmtId="0" fontId="21" fillId="9" borderId="226" xfId="8" applyFont="1" applyFill="1" applyBorder="1" applyAlignment="1">
      <alignment horizontal="center" vertical="center"/>
    </xf>
    <xf numFmtId="0" fontId="21" fillId="9" borderId="227" xfId="8" applyFont="1" applyFill="1" applyBorder="1" applyAlignment="1">
      <alignment horizontal="center" vertical="center"/>
    </xf>
    <xf numFmtId="0" fontId="21" fillId="9" borderId="228" xfId="8" applyFont="1" applyFill="1" applyBorder="1" applyAlignment="1">
      <alignment horizontal="center" vertical="center"/>
    </xf>
    <xf numFmtId="0" fontId="21" fillId="35" borderId="201" xfId="8" applyFont="1" applyFill="1" applyBorder="1" applyAlignment="1">
      <alignment horizontal="center" vertical="center"/>
    </xf>
    <xf numFmtId="0" fontId="21" fillId="35" borderId="0" xfId="8" applyFont="1" applyFill="1" applyAlignment="1">
      <alignment horizontal="center" vertical="center"/>
    </xf>
    <xf numFmtId="0" fontId="73" fillId="56" borderId="0" xfId="0" applyFont="1" applyFill="1" applyAlignment="1">
      <alignment horizontal="center" vertical="center"/>
    </xf>
    <xf numFmtId="0" fontId="24" fillId="8" borderId="512" xfId="0" applyFont="1" applyFill="1" applyBorder="1" applyAlignment="1">
      <alignment horizontal="center" vertical="center"/>
    </xf>
    <xf numFmtId="0" fontId="24" fillId="0" borderId="24" xfId="0" applyFont="1" applyBorder="1" applyAlignment="1" applyProtection="1">
      <alignment horizontal="left" vertical="center"/>
      <protection locked="0"/>
    </xf>
    <xf numFmtId="0" fontId="24" fillId="18" borderId="24" xfId="0" applyFont="1" applyFill="1" applyBorder="1" applyAlignment="1" applyProtection="1">
      <alignment horizontal="center" vertical="center"/>
      <protection locked="0"/>
    </xf>
    <xf numFmtId="0" fontId="24" fillId="21" borderId="17" xfId="0" applyFont="1" applyFill="1" applyBorder="1" applyAlignment="1">
      <alignment horizontal="center" vertical="center"/>
    </xf>
    <xf numFmtId="0" fontId="24" fillId="21" borderId="1" xfId="0" applyFont="1" applyFill="1" applyBorder="1" applyAlignment="1">
      <alignment horizontal="center" vertical="center"/>
    </xf>
    <xf numFmtId="0" fontId="24" fillId="21" borderId="2" xfId="0" applyFont="1" applyFill="1" applyBorder="1" applyAlignment="1">
      <alignment horizontal="center" vertical="center"/>
    </xf>
    <xf numFmtId="0" fontId="24" fillId="21" borderId="12" xfId="0" applyFont="1" applyFill="1" applyBorder="1" applyAlignment="1">
      <alignment horizontal="center" vertical="center"/>
    </xf>
    <xf numFmtId="0" fontId="24" fillId="21" borderId="9" xfId="0" applyFont="1" applyFill="1" applyBorder="1" applyAlignment="1">
      <alignment horizontal="center" vertical="center"/>
    </xf>
    <xf numFmtId="0" fontId="24" fillId="21" borderId="10" xfId="0" applyFont="1" applyFill="1" applyBorder="1" applyAlignment="1">
      <alignment horizontal="center" vertical="center"/>
    </xf>
    <xf numFmtId="0" fontId="130" fillId="18" borderId="17" xfId="0" applyFont="1" applyFill="1" applyBorder="1" applyAlignment="1">
      <alignment horizontal="center" vertical="center"/>
    </xf>
    <xf numFmtId="0" fontId="130" fillId="18" borderId="1" xfId="0" applyFont="1" applyFill="1" applyBorder="1" applyAlignment="1">
      <alignment horizontal="center" vertical="center"/>
    </xf>
    <xf numFmtId="0" fontId="130" fillId="18" borderId="2" xfId="0" applyFont="1" applyFill="1" applyBorder="1" applyAlignment="1">
      <alignment horizontal="center" vertical="center"/>
    </xf>
    <xf numFmtId="0" fontId="130" fillId="18" borderId="12" xfId="0" applyFont="1" applyFill="1" applyBorder="1" applyAlignment="1">
      <alignment horizontal="center" vertical="center"/>
    </xf>
    <xf numFmtId="0" fontId="130" fillId="18" borderId="9" xfId="0" applyFont="1" applyFill="1" applyBorder="1" applyAlignment="1">
      <alignment horizontal="center" vertical="center"/>
    </xf>
    <xf numFmtId="0" fontId="130" fillId="18" borderId="10" xfId="0" applyFont="1" applyFill="1" applyBorder="1" applyAlignment="1">
      <alignment horizontal="center" vertical="center"/>
    </xf>
    <xf numFmtId="0" fontId="67" fillId="0" borderId="16"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24" fillId="21" borderId="16" xfId="0" applyFont="1" applyFill="1" applyBorder="1" applyAlignment="1">
      <alignment horizontal="center" vertical="center"/>
    </xf>
    <xf numFmtId="0" fontId="24" fillId="21" borderId="0" xfId="0" applyFont="1" applyFill="1" applyAlignment="1">
      <alignment horizontal="center" vertical="center"/>
    </xf>
    <xf numFmtId="0" fontId="24" fillId="21" borderId="3" xfId="0" applyFont="1" applyFill="1" applyBorder="1" applyAlignment="1">
      <alignment horizontal="center" vertical="center"/>
    </xf>
    <xf numFmtId="0" fontId="24" fillId="21" borderId="17" xfId="0" applyFont="1" applyFill="1" applyBorder="1" applyAlignment="1" applyProtection="1">
      <alignment horizontal="center" vertical="center"/>
      <protection locked="0"/>
    </xf>
    <xf numFmtId="0" fontId="24" fillId="21" borderId="1" xfId="0" applyFont="1" applyFill="1" applyBorder="1" applyAlignment="1" applyProtection="1">
      <alignment horizontal="center" vertical="center"/>
      <protection locked="0"/>
    </xf>
    <xf numFmtId="0" fontId="24" fillId="21" borderId="16" xfId="0" applyFont="1" applyFill="1" applyBorder="1" applyAlignment="1" applyProtection="1">
      <alignment horizontal="center" vertical="center"/>
      <protection locked="0"/>
    </xf>
    <xf numFmtId="0" fontId="24" fillId="21" borderId="0" xfId="0" applyFont="1" applyFill="1" applyAlignment="1" applyProtection="1">
      <alignment horizontal="center" vertical="center"/>
      <protection locked="0"/>
    </xf>
    <xf numFmtId="0" fontId="24" fillId="18" borderId="17" xfId="0" applyFont="1" applyFill="1" applyBorder="1" applyAlignment="1">
      <alignment horizontal="center" vertical="center"/>
    </xf>
    <xf numFmtId="0" fontId="24" fillId="18" borderId="1" xfId="0" applyFont="1" applyFill="1" applyBorder="1" applyAlignment="1">
      <alignment horizontal="center" vertical="center"/>
    </xf>
    <xf numFmtId="0" fontId="24" fillId="18" borderId="304" xfId="0" applyFont="1" applyFill="1" applyBorder="1" applyAlignment="1">
      <alignment horizontal="center" vertical="center"/>
    </xf>
    <xf numFmtId="0" fontId="24" fillId="18" borderId="16" xfId="0" applyFont="1" applyFill="1" applyBorder="1" applyAlignment="1">
      <alignment horizontal="center" vertical="center"/>
    </xf>
    <xf numFmtId="0" fontId="24" fillId="18" borderId="0" xfId="0" applyFont="1" applyFill="1" applyAlignment="1">
      <alignment horizontal="center" vertical="center"/>
    </xf>
    <xf numFmtId="0" fontId="24" fillId="18" borderId="308" xfId="0" applyFont="1" applyFill="1" applyBorder="1" applyAlignment="1">
      <alignment horizontal="center" vertical="center"/>
    </xf>
    <xf numFmtId="0" fontId="67" fillId="23" borderId="24" xfId="0" applyFont="1" applyFill="1" applyBorder="1" applyAlignment="1" applyProtection="1">
      <alignment horizontal="center" vertical="center"/>
      <protection locked="0"/>
    </xf>
    <xf numFmtId="0" fontId="67" fillId="23" borderId="16" xfId="0" applyFont="1" applyFill="1" applyBorder="1" applyAlignment="1" applyProtection="1">
      <alignment horizontal="center" vertical="center"/>
      <protection locked="0"/>
    </xf>
    <xf numFmtId="0" fontId="67" fillId="23" borderId="0" xfId="0" applyFont="1" applyFill="1" applyAlignment="1" applyProtection="1">
      <alignment horizontal="center" vertical="center"/>
      <protection locked="0"/>
    </xf>
    <xf numFmtId="0" fontId="67" fillId="23" borderId="3" xfId="0" applyFont="1" applyFill="1" applyBorder="1" applyAlignment="1" applyProtection="1">
      <alignment horizontal="center" vertical="center"/>
      <protection locked="0"/>
    </xf>
    <xf numFmtId="0" fontId="67" fillId="23" borderId="12" xfId="0" applyFont="1" applyFill="1" applyBorder="1" applyAlignment="1" applyProtection="1">
      <alignment horizontal="center" vertical="center"/>
      <protection locked="0"/>
    </xf>
    <xf numFmtId="0" fontId="67" fillId="23" borderId="9" xfId="0" applyFont="1" applyFill="1" applyBorder="1" applyAlignment="1" applyProtection="1">
      <alignment horizontal="center" vertical="center"/>
      <protection locked="0"/>
    </xf>
    <xf numFmtId="0" fontId="67" fillId="23" borderId="10" xfId="0" applyFont="1" applyFill="1" applyBorder="1" applyAlignment="1" applyProtection="1">
      <alignment horizontal="center" vertical="center"/>
      <protection locked="0"/>
    </xf>
    <xf numFmtId="0" fontId="60" fillId="4" borderId="297" xfId="0" applyFont="1" applyFill="1" applyBorder="1" applyAlignment="1" applyProtection="1">
      <alignment horizontal="center" vertical="center" shrinkToFit="1"/>
      <protection hidden="1"/>
    </xf>
    <xf numFmtId="0" fontId="60" fillId="4" borderId="10" xfId="0" applyFont="1" applyFill="1" applyBorder="1" applyAlignment="1" applyProtection="1">
      <alignment horizontal="center" vertical="center" shrinkToFit="1"/>
      <protection hidden="1"/>
    </xf>
    <xf numFmtId="0" fontId="28" fillId="23" borderId="263" xfId="0" applyFont="1" applyFill="1" applyBorder="1" applyAlignment="1" applyProtection="1">
      <alignment vertical="center" shrinkToFit="1"/>
      <protection locked="0"/>
    </xf>
    <xf numFmtId="0" fontId="28" fillId="23" borderId="173" xfId="0" applyFont="1" applyFill="1" applyBorder="1" applyAlignment="1" applyProtection="1">
      <alignment vertical="center" shrinkToFit="1"/>
      <protection locked="0"/>
    </xf>
    <xf numFmtId="0" fontId="28" fillId="23" borderId="345" xfId="0" applyFont="1" applyFill="1" applyBorder="1" applyAlignment="1" applyProtection="1">
      <alignment vertical="center" shrinkToFit="1"/>
      <protection locked="0"/>
    </xf>
    <xf numFmtId="0" fontId="24" fillId="18" borderId="2" xfId="0" applyFont="1" applyFill="1" applyBorder="1" applyAlignment="1">
      <alignment horizontal="center" vertical="center"/>
    </xf>
    <xf numFmtId="0" fontId="24" fillId="18" borderId="12" xfId="0" applyFont="1" applyFill="1" applyBorder="1" applyAlignment="1">
      <alignment horizontal="center" vertical="center"/>
    </xf>
    <xf numFmtId="0" fontId="24" fillId="18" borderId="9" xfId="0" applyFont="1" applyFill="1" applyBorder="1" applyAlignment="1">
      <alignment horizontal="center" vertical="center"/>
    </xf>
    <xf numFmtId="0" fontId="24" fillId="18" borderId="10" xfId="0" applyFont="1" applyFill="1" applyBorder="1" applyAlignment="1">
      <alignment horizontal="center" vertical="center"/>
    </xf>
    <xf numFmtId="176" fontId="24" fillId="21" borderId="12" xfId="0" applyNumberFormat="1" applyFont="1" applyFill="1" applyBorder="1" applyAlignment="1" applyProtection="1">
      <alignment horizontal="center" vertical="center"/>
      <protection locked="0"/>
    </xf>
    <xf numFmtId="176" fontId="24" fillId="21" borderId="9" xfId="0" applyNumberFormat="1" applyFont="1" applyFill="1" applyBorder="1" applyAlignment="1" applyProtection="1">
      <alignment horizontal="center" vertical="center"/>
      <protection locked="0"/>
    </xf>
    <xf numFmtId="176" fontId="24" fillId="21" borderId="10" xfId="0" applyNumberFormat="1" applyFont="1" applyFill="1" applyBorder="1" applyAlignment="1" applyProtection="1">
      <alignment horizontal="center" vertical="center"/>
      <protection locked="0"/>
    </xf>
    <xf numFmtId="182" fontId="67" fillId="8" borderId="164" xfId="0" applyNumberFormat="1" applyFont="1" applyFill="1" applyBorder="1" applyAlignment="1" applyProtection="1">
      <alignment horizontal="right" vertical="center"/>
      <protection locked="0"/>
    </xf>
    <xf numFmtId="182" fontId="67" fillId="8" borderId="0" xfId="0" applyNumberFormat="1" applyFont="1" applyFill="1" applyAlignment="1" applyProtection="1">
      <alignment horizontal="right" vertical="center"/>
      <protection locked="0"/>
    </xf>
    <xf numFmtId="182" fontId="67" fillId="8" borderId="9" xfId="0" applyNumberFormat="1" applyFont="1" applyFill="1" applyBorder="1" applyAlignment="1" applyProtection="1">
      <alignment horizontal="right" vertical="center"/>
      <protection locked="0"/>
    </xf>
    <xf numFmtId="182" fontId="67" fillId="8" borderId="9" xfId="0" applyNumberFormat="1" applyFont="1" applyFill="1" applyBorder="1" applyAlignment="1" applyProtection="1">
      <alignment horizontal="center" vertical="center"/>
      <protection hidden="1"/>
    </xf>
    <xf numFmtId="182" fontId="67" fillId="8" borderId="164" xfId="0" applyNumberFormat="1" applyFont="1" applyFill="1" applyBorder="1" applyAlignment="1" applyProtection="1">
      <alignment horizontal="right" vertical="center"/>
      <protection hidden="1"/>
    </xf>
    <xf numFmtId="182" fontId="67" fillId="8" borderId="0" xfId="0" applyNumberFormat="1" applyFont="1" applyFill="1" applyAlignment="1" applyProtection="1">
      <alignment horizontal="right" vertical="center"/>
      <protection hidden="1"/>
    </xf>
    <xf numFmtId="182" fontId="67" fillId="8" borderId="9" xfId="0" applyNumberFormat="1" applyFont="1" applyFill="1" applyBorder="1" applyAlignment="1" applyProtection="1">
      <alignment horizontal="right" vertical="center"/>
      <protection hidden="1"/>
    </xf>
    <xf numFmtId="0" fontId="67" fillId="23" borderId="163" xfId="0" applyFont="1" applyFill="1" applyBorder="1" applyAlignment="1" applyProtection="1">
      <alignment horizontal="center" vertical="center"/>
      <protection locked="0"/>
    </xf>
    <xf numFmtId="0" fontId="67" fillId="23" borderId="164" xfId="0" applyFont="1" applyFill="1" applyBorder="1" applyAlignment="1" applyProtection="1">
      <alignment horizontal="center" vertical="center"/>
      <protection locked="0"/>
    </xf>
    <xf numFmtId="0" fontId="67" fillId="23" borderId="165" xfId="0" applyFont="1" applyFill="1" applyBorder="1" applyAlignment="1" applyProtection="1">
      <alignment horizontal="center" vertical="center"/>
      <protection locked="0"/>
    </xf>
    <xf numFmtId="49" fontId="24" fillId="21" borderId="268" xfId="0" applyNumberFormat="1" applyFont="1" applyFill="1" applyBorder="1" applyAlignment="1" applyProtection="1">
      <alignment horizontal="center" vertical="center"/>
      <protection locked="0"/>
    </xf>
    <xf numFmtId="49" fontId="24" fillId="21" borderId="24" xfId="0" applyNumberFormat="1" applyFont="1" applyFill="1" applyBorder="1" applyAlignment="1" applyProtection="1">
      <alignment horizontal="center" vertical="center"/>
      <protection locked="0"/>
    </xf>
    <xf numFmtId="176" fontId="24" fillId="8" borderId="24" xfId="0" applyNumberFormat="1" applyFont="1" applyFill="1" applyBorder="1" applyAlignment="1" applyProtection="1">
      <alignment horizontal="center" vertical="center"/>
      <protection locked="0"/>
    </xf>
    <xf numFmtId="0" fontId="67" fillId="23" borderId="17" xfId="0" applyFont="1" applyFill="1" applyBorder="1" applyAlignment="1" applyProtection="1">
      <alignment horizontal="center" vertical="center"/>
      <protection locked="0"/>
    </xf>
    <xf numFmtId="0" fontId="67" fillId="23" borderId="1" xfId="0" applyFont="1" applyFill="1" applyBorder="1" applyAlignment="1" applyProtection="1">
      <alignment horizontal="center" vertical="center"/>
      <protection locked="0"/>
    </xf>
    <xf numFmtId="0" fontId="67" fillId="23" borderId="2" xfId="0" applyFont="1" applyFill="1" applyBorder="1" applyAlignment="1" applyProtection="1">
      <alignment horizontal="center" vertical="center"/>
      <protection locked="0"/>
    </xf>
    <xf numFmtId="0" fontId="37" fillId="52" borderId="332" xfId="0" applyFont="1" applyFill="1" applyBorder="1" applyAlignment="1" applyProtection="1">
      <alignment horizontal="center" vertical="center" wrapText="1"/>
      <protection hidden="1"/>
    </xf>
    <xf numFmtId="0" fontId="37" fillId="52" borderId="486" xfId="0" applyFont="1" applyFill="1" applyBorder="1" applyAlignment="1" applyProtection="1">
      <alignment horizontal="center" vertical="center" wrapText="1"/>
      <protection hidden="1"/>
    </xf>
    <xf numFmtId="0" fontId="37" fillId="52" borderId="339" xfId="0" applyFont="1" applyFill="1" applyBorder="1" applyAlignment="1" applyProtection="1">
      <alignment horizontal="center" vertical="center" wrapText="1"/>
      <protection hidden="1"/>
    </xf>
    <xf numFmtId="0" fontId="37" fillId="52" borderId="487" xfId="0" applyFont="1" applyFill="1" applyBorder="1" applyAlignment="1" applyProtection="1">
      <alignment horizontal="center" vertical="center" wrapText="1"/>
      <protection hidden="1"/>
    </xf>
    <xf numFmtId="0" fontId="37" fillId="20" borderId="490" xfId="0" applyFont="1" applyFill="1" applyBorder="1" applyAlignment="1" applyProtection="1">
      <alignment horizontal="center" vertical="center" wrapText="1"/>
      <protection hidden="1"/>
    </xf>
    <xf numFmtId="0" fontId="37" fillId="20" borderId="332" xfId="0" applyFont="1" applyFill="1" applyBorder="1" applyAlignment="1" applyProtection="1">
      <alignment horizontal="center" vertical="center" wrapText="1"/>
      <protection hidden="1"/>
    </xf>
    <xf numFmtId="0" fontId="37" fillId="20" borderId="336" xfId="0" applyFont="1" applyFill="1" applyBorder="1" applyAlignment="1" applyProtection="1">
      <alignment horizontal="center" vertical="center" wrapText="1"/>
      <protection hidden="1"/>
    </xf>
    <xf numFmtId="0" fontId="37" fillId="20" borderId="491" xfId="0" applyFont="1" applyFill="1" applyBorder="1" applyAlignment="1" applyProtection="1">
      <alignment horizontal="center" vertical="center" wrapText="1"/>
      <protection hidden="1"/>
    </xf>
    <xf numFmtId="0" fontId="37" fillId="20" borderId="339" xfId="0" applyFont="1" applyFill="1" applyBorder="1" applyAlignment="1" applyProtection="1">
      <alignment horizontal="center" vertical="center" wrapText="1"/>
      <protection hidden="1"/>
    </xf>
    <xf numFmtId="0" fontId="37" fillId="20" borderId="343" xfId="0" applyFont="1" applyFill="1" applyBorder="1" applyAlignment="1" applyProtection="1">
      <alignment horizontal="center" vertical="center" wrapText="1"/>
      <protection hidden="1"/>
    </xf>
    <xf numFmtId="0" fontId="18" fillId="8" borderId="332" xfId="1" applyFill="1" applyBorder="1" applyAlignment="1" applyProtection="1">
      <alignment horizontal="center" vertical="center" shrinkToFit="1"/>
      <protection locked="0"/>
    </xf>
    <xf numFmtId="0" fontId="72" fillId="8" borderId="332" xfId="0" applyFont="1" applyFill="1" applyBorder="1" applyAlignment="1" applyProtection="1">
      <alignment horizontal="center" vertical="center" shrinkToFit="1"/>
      <protection locked="0"/>
    </xf>
    <xf numFmtId="0" fontId="72" fillId="8" borderId="336" xfId="0" applyFont="1" applyFill="1" applyBorder="1" applyAlignment="1" applyProtection="1">
      <alignment horizontal="center" vertical="center" shrinkToFit="1"/>
      <protection locked="0"/>
    </xf>
    <xf numFmtId="0" fontId="72" fillId="8" borderId="339" xfId="0" applyFont="1" applyFill="1" applyBorder="1" applyAlignment="1" applyProtection="1">
      <alignment horizontal="center" vertical="center" shrinkToFit="1"/>
      <protection locked="0"/>
    </xf>
    <xf numFmtId="0" fontId="72" fillId="8" borderId="343" xfId="0" applyFont="1" applyFill="1" applyBorder="1" applyAlignment="1" applyProtection="1">
      <alignment horizontal="center" vertical="center" shrinkToFit="1"/>
      <protection locked="0"/>
    </xf>
    <xf numFmtId="0" fontId="67" fillId="8" borderId="9" xfId="0" applyFont="1" applyFill="1" applyBorder="1" applyAlignment="1" applyProtection="1">
      <alignment horizontal="center" vertical="center"/>
      <protection hidden="1"/>
    </xf>
    <xf numFmtId="0" fontId="60" fillId="8" borderId="163" xfId="0" applyFont="1" applyFill="1" applyBorder="1" applyAlignment="1" applyProtection="1">
      <alignment horizontal="center" vertical="top" wrapText="1"/>
      <protection locked="0"/>
    </xf>
    <xf numFmtId="0" fontId="60" fillId="8" borderId="16" xfId="0" applyFont="1" applyFill="1" applyBorder="1" applyAlignment="1" applyProtection="1">
      <alignment horizontal="center" vertical="top" wrapText="1"/>
      <protection locked="0"/>
    </xf>
    <xf numFmtId="0" fontId="60" fillId="8" borderId="12" xfId="0" applyFont="1" applyFill="1" applyBorder="1" applyAlignment="1" applyProtection="1">
      <alignment horizontal="center" vertical="top" wrapText="1"/>
      <protection locked="0"/>
    </xf>
    <xf numFmtId="0" fontId="60" fillId="8" borderId="9" xfId="0" applyFont="1" applyFill="1" applyBorder="1" applyAlignment="1" applyProtection="1">
      <alignment horizontal="center" vertical="top" wrapText="1"/>
      <protection locked="0"/>
    </xf>
    <xf numFmtId="0" fontId="60" fillId="8" borderId="298" xfId="0" applyFont="1" applyFill="1" applyBorder="1" applyAlignment="1" applyProtection="1">
      <alignment horizontal="center" vertical="top" wrapText="1"/>
      <protection locked="0"/>
    </xf>
    <xf numFmtId="176" fontId="67" fillId="21" borderId="268" xfId="0" applyNumberFormat="1" applyFont="1" applyFill="1" applyBorder="1" applyAlignment="1" applyProtection="1">
      <alignment horizontal="center" vertical="center"/>
      <protection locked="0"/>
    </xf>
    <xf numFmtId="176" fontId="67" fillId="21" borderId="24" xfId="0" applyNumberFormat="1" applyFont="1" applyFill="1" applyBorder="1" applyAlignment="1" applyProtection="1">
      <alignment horizontal="center" vertical="center"/>
      <protection locked="0"/>
    </xf>
    <xf numFmtId="180" fontId="67" fillId="8" borderId="9" xfId="0" applyNumberFormat="1" applyFont="1" applyFill="1" applyBorder="1" applyAlignment="1" applyProtection="1">
      <alignment horizontal="center" vertical="center"/>
      <protection hidden="1"/>
    </xf>
    <xf numFmtId="49" fontId="60" fillId="8" borderId="38" xfId="0" applyNumberFormat="1" applyFont="1" applyFill="1" applyBorder="1" applyAlignment="1" applyProtection="1">
      <alignment horizontal="center" vertical="center" shrinkToFit="1"/>
      <protection locked="0"/>
    </xf>
    <xf numFmtId="49" fontId="60" fillId="8" borderId="1" xfId="0" applyNumberFormat="1" applyFont="1" applyFill="1" applyBorder="1" applyAlignment="1" applyProtection="1">
      <alignment horizontal="center" vertical="center" shrinkToFit="1"/>
      <protection locked="0"/>
    </xf>
    <xf numFmtId="49" fontId="60" fillId="8" borderId="304" xfId="0" applyNumberFormat="1" applyFont="1" applyFill="1" applyBorder="1" applyAlignment="1" applyProtection="1">
      <alignment horizontal="center" vertical="center" shrinkToFit="1"/>
      <protection locked="0"/>
    </xf>
    <xf numFmtId="49" fontId="60" fillId="8" borderId="396" xfId="0" applyNumberFormat="1" applyFont="1" applyFill="1" applyBorder="1" applyAlignment="1" applyProtection="1">
      <alignment horizontal="center" vertical="center" shrinkToFit="1"/>
      <protection locked="0"/>
    </xf>
    <xf numFmtId="49" fontId="60" fillId="8" borderId="289" xfId="0" applyNumberFormat="1" applyFont="1" applyFill="1" applyBorder="1" applyAlignment="1" applyProtection="1">
      <alignment horizontal="center" vertical="center" shrinkToFit="1"/>
      <protection locked="0"/>
    </xf>
    <xf numFmtId="49" fontId="60" fillId="8" borderId="295" xfId="0" applyNumberFormat="1" applyFont="1" applyFill="1" applyBorder="1" applyAlignment="1" applyProtection="1">
      <alignment horizontal="center" vertical="center" shrinkToFit="1"/>
      <protection locked="0"/>
    </xf>
    <xf numFmtId="49" fontId="60" fillId="8" borderId="36" xfId="0" applyNumberFormat="1" applyFont="1" applyFill="1" applyBorder="1" applyAlignment="1" applyProtection="1">
      <alignment horizontal="center" vertical="center" shrinkToFit="1"/>
      <protection locked="0"/>
    </xf>
    <xf numFmtId="49" fontId="60" fillId="8" borderId="9" xfId="0" applyNumberFormat="1" applyFont="1" applyFill="1" applyBorder="1" applyAlignment="1" applyProtection="1">
      <alignment horizontal="center" vertical="center" shrinkToFit="1"/>
      <protection locked="0"/>
    </xf>
    <xf numFmtId="49" fontId="60" fillId="8" borderId="298" xfId="0" applyNumberFormat="1" applyFont="1" applyFill="1" applyBorder="1" applyAlignment="1" applyProtection="1">
      <alignment horizontal="center" vertical="center" shrinkToFit="1"/>
      <protection locked="0"/>
    </xf>
    <xf numFmtId="176" fontId="24" fillId="8" borderId="17" xfId="0" applyNumberFormat="1" applyFont="1" applyFill="1" applyBorder="1" applyAlignment="1" applyProtection="1">
      <alignment horizontal="center" vertical="center"/>
      <protection locked="0"/>
    </xf>
    <xf numFmtId="176" fontId="24" fillId="8" borderId="1" xfId="0" applyNumberFormat="1" applyFont="1" applyFill="1" applyBorder="1" applyAlignment="1" applyProtection="1">
      <alignment horizontal="center" vertical="center"/>
      <protection locked="0"/>
    </xf>
    <xf numFmtId="176" fontId="24" fillId="8" borderId="37" xfId="0" applyNumberFormat="1" applyFont="1" applyFill="1" applyBorder="1" applyAlignment="1" applyProtection="1">
      <alignment horizontal="center" vertical="center"/>
      <protection locked="0"/>
    </xf>
    <xf numFmtId="176" fontId="24" fillId="8" borderId="349" xfId="0" applyNumberFormat="1" applyFont="1" applyFill="1" applyBorder="1" applyAlignment="1" applyProtection="1">
      <alignment horizontal="center" vertical="center"/>
      <protection locked="0"/>
    </xf>
    <xf numFmtId="0" fontId="20" fillId="0" borderId="38"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37" xfId="0" applyFont="1" applyBorder="1" applyAlignment="1" applyProtection="1">
      <alignment horizontal="center" vertical="center"/>
      <protection locked="0"/>
    </xf>
    <xf numFmtId="0" fontId="20" fillId="0" borderId="396" xfId="0" applyFont="1" applyBorder="1" applyAlignment="1" applyProtection="1">
      <alignment horizontal="center" vertical="center"/>
      <protection locked="0"/>
    </xf>
    <xf numFmtId="0" fontId="20" fillId="0" borderId="289" xfId="0" applyFont="1" applyBorder="1" applyAlignment="1" applyProtection="1">
      <alignment horizontal="center" vertical="center"/>
      <protection locked="0"/>
    </xf>
    <xf numFmtId="0" fontId="20" fillId="0" borderId="349" xfId="0" applyFont="1" applyBorder="1" applyAlignment="1" applyProtection="1">
      <alignment horizontal="center" vertical="center"/>
      <protection locked="0"/>
    </xf>
    <xf numFmtId="0" fontId="24" fillId="8" borderId="160" xfId="0" applyFont="1" applyFill="1" applyBorder="1" applyAlignment="1" applyProtection="1">
      <alignment horizontal="center" vertical="center"/>
      <protection hidden="1"/>
    </xf>
    <xf numFmtId="0" fontId="24" fillId="8" borderId="161" xfId="0" applyFont="1" applyFill="1" applyBorder="1" applyAlignment="1" applyProtection="1">
      <alignment horizontal="center" vertical="center"/>
      <protection hidden="1"/>
    </xf>
    <xf numFmtId="0" fontId="24" fillId="8" borderId="162" xfId="0" applyFont="1" applyFill="1" applyBorder="1" applyAlignment="1" applyProtection="1">
      <alignment horizontal="center" vertical="center"/>
      <protection hidden="1"/>
    </xf>
    <xf numFmtId="0" fontId="20" fillId="0" borderId="36"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20" fillId="0" borderId="33" xfId="0" applyFont="1" applyBorder="1" applyAlignment="1" applyProtection="1">
      <alignment horizontal="center" vertical="center"/>
      <protection locked="0"/>
    </xf>
    <xf numFmtId="49" fontId="67" fillId="8" borderId="38" xfId="0" applyNumberFormat="1" applyFont="1" applyFill="1" applyBorder="1" applyAlignment="1" applyProtection="1">
      <alignment horizontal="center" vertical="center" shrinkToFit="1"/>
      <protection locked="0"/>
    </xf>
    <xf numFmtId="49" fontId="67" fillId="8" borderId="1" xfId="0" applyNumberFormat="1" applyFont="1" applyFill="1" applyBorder="1" applyAlignment="1" applyProtection="1">
      <alignment horizontal="center" vertical="center" shrinkToFit="1"/>
      <protection locked="0"/>
    </xf>
    <xf numFmtId="49" fontId="67" fillId="8" borderId="304" xfId="0" applyNumberFormat="1" applyFont="1" applyFill="1" applyBorder="1" applyAlignment="1" applyProtection="1">
      <alignment horizontal="center" vertical="center" shrinkToFit="1"/>
      <protection locked="0"/>
    </xf>
    <xf numFmtId="49" fontId="67" fillId="8" borderId="36" xfId="0" applyNumberFormat="1" applyFont="1" applyFill="1" applyBorder="1" applyAlignment="1" applyProtection="1">
      <alignment horizontal="center" vertical="center" shrinkToFit="1"/>
      <protection locked="0"/>
    </xf>
    <xf numFmtId="49" fontId="67" fillId="8" borderId="9" xfId="0" applyNumberFormat="1" applyFont="1" applyFill="1" applyBorder="1" applyAlignment="1" applyProtection="1">
      <alignment horizontal="center" vertical="center" shrinkToFit="1"/>
      <protection locked="0"/>
    </xf>
    <xf numFmtId="49" fontId="67" fillId="8" borderId="298" xfId="0" applyNumberFormat="1" applyFont="1" applyFill="1" applyBorder="1" applyAlignment="1" applyProtection="1">
      <alignment horizontal="center" vertical="center" shrinkToFit="1"/>
      <protection locked="0"/>
    </xf>
    <xf numFmtId="176" fontId="24" fillId="8" borderId="178" xfId="0" applyNumberFormat="1" applyFont="1" applyFill="1" applyBorder="1" applyAlignment="1" applyProtection="1">
      <alignment horizontal="center" vertical="center"/>
      <protection locked="0"/>
    </xf>
    <xf numFmtId="0" fontId="20" fillId="0" borderId="177" xfId="0" applyFont="1" applyBorder="1" applyAlignment="1" applyProtection="1">
      <alignment horizontal="center" vertical="center"/>
      <protection locked="0"/>
    </xf>
    <xf numFmtId="0" fontId="20" fillId="0" borderId="164" xfId="0" applyFont="1" applyBorder="1" applyAlignment="1" applyProtection="1">
      <alignment horizontal="center" vertical="center"/>
      <protection locked="0"/>
    </xf>
    <xf numFmtId="0" fontId="20" fillId="0" borderId="178" xfId="0" applyFont="1" applyBorder="1" applyAlignment="1" applyProtection="1">
      <alignment horizontal="center" vertical="center"/>
      <protection locked="0"/>
    </xf>
    <xf numFmtId="49" fontId="60" fillId="8" borderId="177" xfId="0" applyNumberFormat="1" applyFont="1" applyFill="1" applyBorder="1" applyAlignment="1" applyProtection="1">
      <alignment horizontal="center" vertical="center" shrinkToFit="1"/>
      <protection locked="0"/>
    </xf>
    <xf numFmtId="49" fontId="60" fillId="8" borderId="164" xfId="0" applyNumberFormat="1" applyFont="1" applyFill="1" applyBorder="1" applyAlignment="1" applyProtection="1">
      <alignment horizontal="center" vertical="center" shrinkToFit="1"/>
      <protection locked="0"/>
    </xf>
    <xf numFmtId="49" fontId="60" fillId="8" borderId="387" xfId="0" applyNumberFormat="1" applyFont="1" applyFill="1" applyBorder="1" applyAlignment="1" applyProtection="1">
      <alignment horizontal="center" vertical="center" shrinkToFit="1"/>
      <protection locked="0"/>
    </xf>
    <xf numFmtId="0" fontId="24" fillId="8" borderId="17" xfId="0" applyFont="1" applyFill="1" applyBorder="1" applyAlignment="1" applyProtection="1">
      <alignment horizontal="center" vertical="center" shrinkToFit="1"/>
      <protection locked="0"/>
    </xf>
    <xf numFmtId="0" fontId="24" fillId="8" borderId="1" xfId="0" applyFont="1" applyFill="1" applyBorder="1" applyAlignment="1" applyProtection="1">
      <alignment horizontal="center" vertical="center" shrinkToFit="1"/>
      <protection locked="0"/>
    </xf>
    <xf numFmtId="0" fontId="24" fillId="8" borderId="2" xfId="0" applyFont="1" applyFill="1" applyBorder="1" applyAlignment="1" applyProtection="1">
      <alignment horizontal="center" vertical="center" shrinkToFit="1"/>
      <protection locked="0"/>
    </xf>
    <xf numFmtId="0" fontId="24" fillId="8" borderId="294" xfId="0" applyFont="1" applyFill="1" applyBorder="1" applyAlignment="1" applyProtection="1">
      <alignment horizontal="center" vertical="center" shrinkToFit="1"/>
      <protection locked="0"/>
    </xf>
    <xf numFmtId="0" fontId="24" fillId="8" borderId="289" xfId="0" applyFont="1" applyFill="1" applyBorder="1" applyAlignment="1" applyProtection="1">
      <alignment horizontal="center" vertical="center" shrinkToFit="1"/>
      <protection locked="0"/>
    </xf>
    <xf numFmtId="0" fontId="24" fillId="8" borderId="290" xfId="0" applyFont="1" applyFill="1" applyBorder="1" applyAlignment="1" applyProtection="1">
      <alignment horizontal="center" vertical="center" shrinkToFit="1"/>
      <protection locked="0"/>
    </xf>
    <xf numFmtId="49" fontId="24" fillId="8" borderId="17" xfId="0" applyNumberFormat="1" applyFont="1" applyFill="1" applyBorder="1" applyAlignment="1" applyProtection="1">
      <alignment horizontal="center" vertical="center"/>
      <protection locked="0"/>
    </xf>
    <xf numFmtId="49" fontId="24" fillId="8" borderId="1" xfId="0" applyNumberFormat="1" applyFont="1" applyFill="1" applyBorder="1" applyAlignment="1" applyProtection="1">
      <alignment horizontal="center" vertical="center"/>
      <protection locked="0"/>
    </xf>
    <xf numFmtId="49" fontId="24" fillId="8" borderId="2" xfId="0" applyNumberFormat="1" applyFont="1" applyFill="1" applyBorder="1" applyAlignment="1" applyProtection="1">
      <alignment horizontal="center" vertical="center"/>
      <protection locked="0"/>
    </xf>
    <xf numFmtId="49" fontId="24" fillId="8" borderId="294" xfId="0" applyNumberFormat="1" applyFont="1" applyFill="1" applyBorder="1" applyAlignment="1" applyProtection="1">
      <alignment horizontal="center" vertical="center"/>
      <protection locked="0"/>
    </xf>
    <xf numFmtId="49" fontId="24" fillId="8" borderId="289" xfId="0" applyNumberFormat="1" applyFont="1" applyFill="1" applyBorder="1" applyAlignment="1" applyProtection="1">
      <alignment horizontal="center" vertical="center"/>
      <protection locked="0"/>
    </xf>
    <xf numFmtId="49" fontId="24" fillId="8" borderId="290" xfId="0" applyNumberFormat="1" applyFont="1" applyFill="1" applyBorder="1" applyAlignment="1" applyProtection="1">
      <alignment horizontal="center" vertical="center"/>
      <protection locked="0"/>
    </xf>
    <xf numFmtId="0" fontId="24" fillId="8" borderId="160" xfId="0" applyFont="1" applyFill="1" applyBorder="1" applyAlignment="1">
      <alignment horizontal="center" vertical="center"/>
    </xf>
    <xf numFmtId="0" fontId="24" fillId="8" borderId="161" xfId="0" applyFont="1" applyFill="1" applyBorder="1" applyAlignment="1">
      <alignment horizontal="center" vertical="center"/>
    </xf>
    <xf numFmtId="0" fontId="24" fillId="8" borderId="162" xfId="0" applyFont="1" applyFill="1" applyBorder="1" applyAlignment="1">
      <alignment horizontal="center" vertical="center"/>
    </xf>
    <xf numFmtId="0" fontId="24" fillId="8" borderId="12" xfId="0" applyFont="1" applyFill="1" applyBorder="1" applyAlignment="1" applyProtection="1">
      <alignment horizontal="center" vertical="center" shrinkToFit="1"/>
      <protection locked="0"/>
    </xf>
    <xf numFmtId="0" fontId="24" fillId="8" borderId="9" xfId="0" applyFont="1" applyFill="1" applyBorder="1" applyAlignment="1" applyProtection="1">
      <alignment horizontal="center" vertical="center" shrinkToFit="1"/>
      <protection locked="0"/>
    </xf>
    <xf numFmtId="0" fontId="24" fillId="8" borderId="10" xfId="0" applyFont="1" applyFill="1" applyBorder="1" applyAlignment="1" applyProtection="1">
      <alignment horizontal="center" vertical="center" shrinkToFit="1"/>
      <protection locked="0"/>
    </xf>
    <xf numFmtId="49" fontId="24" fillId="8" borderId="12" xfId="0" applyNumberFormat="1" applyFont="1" applyFill="1" applyBorder="1" applyAlignment="1" applyProtection="1">
      <alignment horizontal="center" vertical="center"/>
      <protection locked="0"/>
    </xf>
    <xf numFmtId="49" fontId="24" fillId="8" borderId="9" xfId="0" applyNumberFormat="1" applyFont="1" applyFill="1" applyBorder="1" applyAlignment="1" applyProtection="1">
      <alignment horizontal="center" vertical="center"/>
      <protection locked="0"/>
    </xf>
    <xf numFmtId="49" fontId="24" fillId="8" borderId="10" xfId="0" applyNumberFormat="1" applyFont="1" applyFill="1" applyBorder="1" applyAlignment="1" applyProtection="1">
      <alignment horizontal="center" vertical="center"/>
      <protection locked="0"/>
    </xf>
    <xf numFmtId="0" fontId="24" fillId="8" borderId="163" xfId="0" applyFont="1" applyFill="1" applyBorder="1" applyAlignment="1" applyProtection="1">
      <alignment horizontal="center" vertical="center" shrinkToFit="1"/>
      <protection locked="0"/>
    </xf>
    <xf numFmtId="0" fontId="24" fillId="8" borderId="164" xfId="0" applyFont="1" applyFill="1" applyBorder="1" applyAlignment="1" applyProtection="1">
      <alignment horizontal="center" vertical="center" shrinkToFit="1"/>
      <protection locked="0"/>
    </xf>
    <xf numFmtId="0" fontId="24" fillId="8" borderId="165" xfId="0" applyFont="1" applyFill="1" applyBorder="1" applyAlignment="1" applyProtection="1">
      <alignment horizontal="center" vertical="center" shrinkToFit="1"/>
      <protection locked="0"/>
    </xf>
    <xf numFmtId="49" fontId="24" fillId="8" borderId="163" xfId="0" applyNumberFormat="1" applyFont="1" applyFill="1" applyBorder="1" applyAlignment="1" applyProtection="1">
      <alignment horizontal="center" vertical="center"/>
      <protection locked="0"/>
    </xf>
    <xf numFmtId="49" fontId="24" fillId="8" borderId="164" xfId="0" applyNumberFormat="1" applyFont="1" applyFill="1" applyBorder="1" applyAlignment="1" applyProtection="1">
      <alignment horizontal="center" vertical="center"/>
      <protection locked="0"/>
    </xf>
    <xf numFmtId="49" fontId="24" fillId="8" borderId="165" xfId="0" applyNumberFormat="1" applyFont="1" applyFill="1" applyBorder="1" applyAlignment="1" applyProtection="1">
      <alignment horizontal="center" vertical="center"/>
      <protection locked="0"/>
    </xf>
    <xf numFmtId="0" fontId="60" fillId="11" borderId="280" xfId="0" applyFont="1" applyFill="1" applyBorder="1" applyAlignment="1" applyProtection="1">
      <alignment horizontal="center" vertical="center"/>
      <protection hidden="1"/>
    </xf>
    <xf numFmtId="0" fontId="60" fillId="11" borderId="281" xfId="0" applyFont="1" applyFill="1" applyBorder="1" applyAlignment="1" applyProtection="1">
      <alignment horizontal="center" vertical="center"/>
      <protection hidden="1"/>
    </xf>
    <xf numFmtId="0" fontId="60" fillId="11" borderId="282" xfId="0" applyFont="1" applyFill="1" applyBorder="1" applyAlignment="1" applyProtection="1">
      <alignment horizontal="center" vertical="center"/>
      <protection hidden="1"/>
    </xf>
    <xf numFmtId="0" fontId="60" fillId="11" borderId="305" xfId="0" applyFont="1" applyFill="1" applyBorder="1" applyAlignment="1" applyProtection="1">
      <alignment horizontal="center" vertical="center"/>
      <protection hidden="1"/>
    </xf>
    <xf numFmtId="0" fontId="60" fillId="11" borderId="0" xfId="0" applyFont="1" applyFill="1" applyAlignment="1" applyProtection="1">
      <alignment horizontal="center" vertical="center"/>
      <protection hidden="1"/>
    </xf>
    <xf numFmtId="0" fontId="60" fillId="11" borderId="3" xfId="0" applyFont="1" applyFill="1" applyBorder="1" applyAlignment="1" applyProtection="1">
      <alignment horizontal="center" vertical="center"/>
      <protection hidden="1"/>
    </xf>
    <xf numFmtId="0" fontId="60" fillId="11" borderId="288" xfId="0" applyFont="1" applyFill="1" applyBorder="1" applyAlignment="1" applyProtection="1">
      <alignment horizontal="center" vertical="center"/>
      <protection hidden="1"/>
    </xf>
    <xf numFmtId="0" fontId="60" fillId="11" borderId="289" xfId="0" applyFont="1" applyFill="1" applyBorder="1" applyAlignment="1" applyProtection="1">
      <alignment horizontal="center" vertical="center"/>
      <protection hidden="1"/>
    </xf>
    <xf numFmtId="0" fontId="60" fillId="11" borderId="290" xfId="0" applyFont="1" applyFill="1" applyBorder="1" applyAlignment="1" applyProtection="1">
      <alignment horizontal="center" vertical="center"/>
      <protection hidden="1"/>
    </xf>
    <xf numFmtId="0" fontId="102" fillId="4" borderId="281" xfId="0" applyFont="1" applyFill="1" applyBorder="1" applyAlignment="1" applyProtection="1">
      <alignment vertical="center" wrapText="1"/>
      <protection hidden="1"/>
    </xf>
    <xf numFmtId="0" fontId="102" fillId="4" borderId="282" xfId="0" applyFont="1" applyFill="1" applyBorder="1" applyAlignment="1" applyProtection="1">
      <alignment vertical="center" wrapText="1"/>
      <protection hidden="1"/>
    </xf>
    <xf numFmtId="0" fontId="102" fillId="4" borderId="16" xfId="0" applyFont="1" applyFill="1" applyBorder="1" applyAlignment="1" applyProtection="1">
      <alignment vertical="center" wrapText="1"/>
      <protection hidden="1"/>
    </xf>
    <xf numFmtId="0" fontId="102" fillId="4" borderId="0" xfId="0" applyFont="1" applyFill="1" applyAlignment="1" applyProtection="1">
      <alignment vertical="center" wrapText="1"/>
      <protection hidden="1"/>
    </xf>
    <xf numFmtId="0" fontId="102" fillId="4" borderId="3" xfId="0" applyFont="1" applyFill="1" applyBorder="1" applyAlignment="1" applyProtection="1">
      <alignment vertical="center" wrapText="1"/>
      <protection hidden="1"/>
    </xf>
    <xf numFmtId="0" fontId="102" fillId="4" borderId="294" xfId="0" applyFont="1" applyFill="1" applyBorder="1" applyAlignment="1" applyProtection="1">
      <alignment vertical="center" wrapText="1"/>
      <protection hidden="1"/>
    </xf>
    <xf numFmtId="0" fontId="102" fillId="4" borderId="289" xfId="0" applyFont="1" applyFill="1" applyBorder="1" applyAlignment="1" applyProtection="1">
      <alignment vertical="center" wrapText="1"/>
      <protection hidden="1"/>
    </xf>
    <xf numFmtId="0" fontId="102" fillId="4" borderId="290" xfId="0" applyFont="1" applyFill="1" applyBorder="1" applyAlignment="1" applyProtection="1">
      <alignment vertical="center" wrapText="1"/>
      <protection hidden="1"/>
    </xf>
    <xf numFmtId="0" fontId="55" fillId="8" borderId="281" xfId="0" applyFont="1" applyFill="1" applyBorder="1" applyAlignment="1" applyProtection="1">
      <alignment horizontal="left"/>
      <protection hidden="1"/>
    </xf>
    <xf numFmtId="0" fontId="55" fillId="8" borderId="289" xfId="0" applyFont="1" applyFill="1" applyBorder="1" applyAlignment="1" applyProtection="1">
      <alignment horizontal="left"/>
      <protection hidden="1"/>
    </xf>
    <xf numFmtId="0" fontId="60" fillId="4" borderId="314" xfId="0" applyFont="1" applyFill="1" applyBorder="1" applyAlignment="1" applyProtection="1">
      <alignment horizontal="center" vertical="center" shrinkToFit="1"/>
      <protection hidden="1"/>
    </xf>
    <xf numFmtId="0" fontId="60" fillId="4" borderId="14" xfId="0" applyFont="1" applyFill="1" applyBorder="1" applyAlignment="1" applyProtection="1">
      <alignment horizontal="center" vertical="center" shrinkToFit="1"/>
      <protection hidden="1"/>
    </xf>
    <xf numFmtId="0" fontId="60" fillId="4" borderId="15" xfId="0" applyFont="1" applyFill="1" applyBorder="1" applyAlignment="1" applyProtection="1">
      <alignment horizontal="center" vertical="center" shrinkToFit="1"/>
      <protection hidden="1"/>
    </xf>
    <xf numFmtId="0" fontId="60" fillId="11" borderId="280" xfId="0" applyFont="1" applyFill="1" applyBorder="1" applyAlignment="1" applyProtection="1">
      <alignment horizontal="center" vertical="center" shrinkToFit="1"/>
      <protection hidden="1"/>
    </xf>
    <xf numFmtId="0" fontId="60" fillId="11" borderId="281" xfId="0" applyFont="1" applyFill="1" applyBorder="1" applyAlignment="1" applyProtection="1">
      <alignment horizontal="center" vertical="center" shrinkToFit="1"/>
      <protection hidden="1"/>
    </xf>
    <xf numFmtId="0" fontId="60" fillId="11" borderId="282" xfId="0" applyFont="1" applyFill="1" applyBorder="1" applyAlignment="1" applyProtection="1">
      <alignment horizontal="center" vertical="center" shrinkToFit="1"/>
      <protection hidden="1"/>
    </xf>
    <xf numFmtId="0" fontId="60" fillId="11" borderId="305" xfId="0" applyFont="1" applyFill="1" applyBorder="1" applyAlignment="1" applyProtection="1">
      <alignment horizontal="center" vertical="center" shrinkToFit="1"/>
      <protection hidden="1"/>
    </xf>
    <xf numFmtId="0" fontId="60" fillId="11" borderId="0" xfId="0" applyFont="1" applyFill="1" applyAlignment="1" applyProtection="1">
      <alignment horizontal="center" vertical="center" shrinkToFit="1"/>
      <protection hidden="1"/>
    </xf>
    <xf numFmtId="0" fontId="60" fillId="11" borderId="3" xfId="0" applyFont="1" applyFill="1" applyBorder="1" applyAlignment="1" applyProtection="1">
      <alignment horizontal="center" vertical="center" shrinkToFit="1"/>
      <protection hidden="1"/>
    </xf>
    <xf numFmtId="0" fontId="60" fillId="11" borderId="288" xfId="0" applyFont="1" applyFill="1" applyBorder="1" applyAlignment="1" applyProtection="1">
      <alignment horizontal="center" vertical="center" shrinkToFit="1"/>
      <protection hidden="1"/>
    </xf>
    <xf numFmtId="0" fontId="60" fillId="11" borderId="289" xfId="0" applyFont="1" applyFill="1" applyBorder="1" applyAlignment="1" applyProtection="1">
      <alignment horizontal="center" vertical="center" shrinkToFit="1"/>
      <protection hidden="1"/>
    </xf>
    <xf numFmtId="0" fontId="60" fillId="11" borderId="290" xfId="0" applyFont="1" applyFill="1" applyBorder="1" applyAlignment="1" applyProtection="1">
      <alignment horizontal="center" vertical="center" shrinkToFit="1"/>
      <protection hidden="1"/>
    </xf>
    <xf numFmtId="0" fontId="139" fillId="4" borderId="286" xfId="0" applyFont="1" applyFill="1" applyBorder="1" applyAlignment="1" applyProtection="1">
      <alignment vertical="center" wrapText="1" shrinkToFit="1"/>
      <protection hidden="1"/>
    </xf>
    <xf numFmtId="0" fontId="139" fillId="4" borderId="281" xfId="0" applyFont="1" applyFill="1" applyBorder="1" applyAlignment="1" applyProtection="1">
      <alignment vertical="center" wrapText="1" shrinkToFit="1"/>
      <protection hidden="1"/>
    </xf>
    <xf numFmtId="0" fontId="139" fillId="4" borderId="282" xfId="0" applyFont="1" applyFill="1" applyBorder="1" applyAlignment="1" applyProtection="1">
      <alignment vertical="center" wrapText="1" shrinkToFit="1"/>
      <protection hidden="1"/>
    </xf>
    <xf numFmtId="0" fontId="139" fillId="4" borderId="16" xfId="0" applyFont="1" applyFill="1" applyBorder="1" applyAlignment="1" applyProtection="1">
      <alignment vertical="center" wrapText="1" shrinkToFit="1"/>
      <protection hidden="1"/>
    </xf>
    <xf numFmtId="0" fontId="139" fillId="4" borderId="0" xfId="0" applyFont="1" applyFill="1" applyAlignment="1" applyProtection="1">
      <alignment vertical="center" wrapText="1" shrinkToFit="1"/>
      <protection hidden="1"/>
    </xf>
    <xf numFmtId="0" fontId="139" fillId="4" borderId="3" xfId="0" applyFont="1" applyFill="1" applyBorder="1" applyAlignment="1" applyProtection="1">
      <alignment vertical="center" wrapText="1" shrinkToFit="1"/>
      <protection hidden="1"/>
    </xf>
    <xf numFmtId="0" fontId="139" fillId="4" borderId="294" xfId="0" applyFont="1" applyFill="1" applyBorder="1" applyAlignment="1" applyProtection="1">
      <alignment vertical="center" wrapText="1" shrinkToFit="1"/>
      <protection hidden="1"/>
    </xf>
    <xf numFmtId="0" fontId="139" fillId="4" borderId="289" xfId="0" applyFont="1" applyFill="1" applyBorder="1" applyAlignment="1" applyProtection="1">
      <alignment vertical="center" wrapText="1" shrinkToFit="1"/>
      <protection hidden="1"/>
    </xf>
    <xf numFmtId="0" fontId="139" fillId="4" borderId="290" xfId="0" applyFont="1" applyFill="1" applyBorder="1" applyAlignment="1" applyProtection="1">
      <alignment vertical="center" wrapText="1" shrinkToFit="1"/>
      <protection hidden="1"/>
    </xf>
    <xf numFmtId="0" fontId="22" fillId="0" borderId="286" xfId="0" applyFont="1" applyBorder="1" applyAlignment="1" applyProtection="1">
      <alignment horizontal="center" vertical="center" shrinkToFit="1"/>
      <protection locked="0" hidden="1"/>
    </xf>
    <xf numFmtId="0" fontId="22" fillId="0" borderId="281" xfId="0" applyFont="1" applyBorder="1" applyAlignment="1" applyProtection="1">
      <alignment horizontal="center" vertical="center" shrinkToFit="1"/>
      <protection locked="0" hidden="1"/>
    </xf>
    <xf numFmtId="0" fontId="22" fillId="0" borderId="287" xfId="0" applyFont="1" applyBorder="1" applyAlignment="1" applyProtection="1">
      <alignment horizontal="center" vertical="center" shrinkToFit="1"/>
      <protection locked="0" hidden="1"/>
    </xf>
    <xf numFmtId="0" fontId="22" fillId="0" borderId="16" xfId="0" applyFont="1" applyBorder="1" applyAlignment="1" applyProtection="1">
      <alignment horizontal="center" vertical="center" shrinkToFit="1"/>
      <protection locked="0" hidden="1"/>
    </xf>
    <xf numFmtId="0" fontId="22" fillId="0" borderId="0" xfId="0" applyFont="1" applyAlignment="1" applyProtection="1">
      <alignment horizontal="center" vertical="center" shrinkToFit="1"/>
      <protection locked="0" hidden="1"/>
    </xf>
    <xf numFmtId="0" fontId="22" fillId="0" borderId="308" xfId="0" applyFont="1" applyBorder="1" applyAlignment="1" applyProtection="1">
      <alignment horizontal="center" vertical="center" shrinkToFit="1"/>
      <protection locked="0" hidden="1"/>
    </xf>
    <xf numFmtId="0" fontId="22" fillId="0" borderId="294" xfId="0" applyFont="1" applyBorder="1" applyAlignment="1" applyProtection="1">
      <alignment horizontal="center" vertical="center" shrinkToFit="1"/>
      <protection locked="0" hidden="1"/>
    </xf>
    <xf numFmtId="0" fontId="22" fillId="0" borderId="289" xfId="0" applyFont="1" applyBorder="1" applyAlignment="1" applyProtection="1">
      <alignment horizontal="center" vertical="center" shrinkToFit="1"/>
      <protection locked="0" hidden="1"/>
    </xf>
    <xf numFmtId="0" fontId="22" fillId="0" borderId="295" xfId="0" applyFont="1" applyBorder="1" applyAlignment="1" applyProtection="1">
      <alignment horizontal="center" vertical="center" shrinkToFit="1"/>
      <protection locked="0" hidden="1"/>
    </xf>
    <xf numFmtId="0" fontId="56" fillId="7" borderId="289" xfId="0" applyFont="1" applyFill="1" applyBorder="1" applyAlignment="1" applyProtection="1">
      <alignment horizontal="left" vertical="top" wrapText="1"/>
      <protection hidden="1"/>
    </xf>
    <xf numFmtId="0" fontId="56" fillId="7" borderId="632" xfId="0" applyFont="1" applyFill="1" applyBorder="1" applyAlignment="1" applyProtection="1">
      <alignment horizontal="left" vertical="top" wrapText="1"/>
      <protection hidden="1"/>
    </xf>
    <xf numFmtId="0" fontId="18" fillId="23" borderId="286" xfId="1" applyFill="1" applyBorder="1" applyAlignment="1" applyProtection="1">
      <alignment horizontal="center" vertical="center" shrinkToFit="1"/>
      <protection locked="0"/>
    </xf>
    <xf numFmtId="0" fontId="18" fillId="23" borderId="281" xfId="1" applyFill="1" applyBorder="1" applyAlignment="1" applyProtection="1">
      <alignment horizontal="center" vertical="center" shrinkToFit="1"/>
      <protection locked="0"/>
    </xf>
    <xf numFmtId="0" fontId="18" fillId="23" borderId="282" xfId="1" applyFill="1" applyBorder="1" applyAlignment="1" applyProtection="1">
      <alignment horizontal="center" vertical="center" shrinkToFit="1"/>
      <protection locked="0"/>
    </xf>
    <xf numFmtId="0" fontId="18" fillId="23" borderId="294" xfId="1" applyFill="1" applyBorder="1" applyAlignment="1" applyProtection="1">
      <alignment horizontal="center" vertical="center" shrinkToFit="1"/>
      <protection locked="0"/>
    </xf>
    <xf numFmtId="0" fontId="18" fillId="23" borderId="289" xfId="1" applyFill="1" applyBorder="1" applyAlignment="1" applyProtection="1">
      <alignment horizontal="center" vertical="center" shrinkToFit="1"/>
      <protection locked="0"/>
    </xf>
    <xf numFmtId="0" fontId="18" fillId="23" borderId="290" xfId="1" applyFill="1" applyBorder="1" applyAlignment="1" applyProtection="1">
      <alignment horizontal="center" vertical="center" shrinkToFit="1"/>
      <protection locked="0"/>
    </xf>
    <xf numFmtId="0" fontId="36" fillId="4" borderId="286" xfId="0" applyFont="1" applyFill="1" applyBorder="1" applyAlignment="1" applyProtection="1">
      <alignment horizontal="center" vertical="center" shrinkToFit="1"/>
      <protection hidden="1"/>
    </xf>
    <xf numFmtId="0" fontId="36" fillId="4" borderId="282" xfId="0" applyFont="1" applyFill="1" applyBorder="1" applyAlignment="1" applyProtection="1">
      <alignment horizontal="center" vertical="center" shrinkToFit="1"/>
      <protection hidden="1"/>
    </xf>
    <xf numFmtId="0" fontId="36" fillId="4" borderId="294" xfId="0" applyFont="1" applyFill="1" applyBorder="1" applyAlignment="1" applyProtection="1">
      <alignment horizontal="center" vertical="center" shrinkToFit="1"/>
      <protection hidden="1"/>
    </xf>
    <xf numFmtId="0" fontId="36" fillId="4" borderId="290" xfId="0" applyFont="1" applyFill="1" applyBorder="1" applyAlignment="1" applyProtection="1">
      <alignment horizontal="center" vertical="center" shrinkToFit="1"/>
      <protection hidden="1"/>
    </xf>
    <xf numFmtId="0" fontId="60" fillId="4" borderId="301" xfId="0" applyFont="1" applyFill="1" applyBorder="1" applyAlignment="1" applyProtection="1">
      <alignment horizontal="center" vertical="center" shrinkToFit="1"/>
      <protection hidden="1"/>
    </xf>
    <xf numFmtId="0" fontId="88" fillId="4" borderId="6" xfId="0" applyFont="1" applyFill="1" applyBorder="1" applyAlignment="1" applyProtection="1">
      <alignment horizontal="center" vertical="center" shrinkToFit="1"/>
      <protection hidden="1"/>
    </xf>
    <xf numFmtId="0" fontId="88" fillId="4" borderId="7" xfId="0" applyFont="1" applyFill="1" applyBorder="1" applyAlignment="1" applyProtection="1">
      <alignment horizontal="center" vertical="center" shrinkToFit="1"/>
      <protection hidden="1"/>
    </xf>
    <xf numFmtId="0" fontId="88" fillId="4" borderId="297" xfId="0" applyFont="1" applyFill="1" applyBorder="1" applyAlignment="1" applyProtection="1">
      <alignment horizontal="center" vertical="center" shrinkToFit="1"/>
      <protection hidden="1"/>
    </xf>
    <xf numFmtId="0" fontId="88" fillId="4" borderId="9" xfId="0" applyFont="1" applyFill="1" applyBorder="1" applyAlignment="1" applyProtection="1">
      <alignment horizontal="center" vertical="center" shrinkToFit="1"/>
      <protection hidden="1"/>
    </xf>
    <xf numFmtId="0" fontId="88" fillId="4" borderId="10" xfId="0" applyFont="1" applyFill="1" applyBorder="1" applyAlignment="1" applyProtection="1">
      <alignment horizontal="center" vertical="center" shrinkToFit="1"/>
      <protection hidden="1"/>
    </xf>
    <xf numFmtId="0" fontId="60" fillId="4" borderId="305" xfId="0" applyFont="1" applyFill="1" applyBorder="1" applyAlignment="1" applyProtection="1">
      <alignment horizontal="center" vertical="center" shrinkToFit="1"/>
      <protection hidden="1"/>
    </xf>
    <xf numFmtId="0" fontId="60" fillId="4" borderId="0" xfId="0" applyFont="1" applyFill="1" applyAlignment="1" applyProtection="1">
      <alignment horizontal="center" vertical="center" shrinkToFit="1"/>
      <protection hidden="1"/>
    </xf>
    <xf numFmtId="0" fontId="60" fillId="4" borderId="3" xfId="0" applyFont="1" applyFill="1" applyBorder="1" applyAlignment="1" applyProtection="1">
      <alignment horizontal="center" vertical="center" shrinkToFit="1"/>
      <protection hidden="1"/>
    </xf>
    <xf numFmtId="0" fontId="28" fillId="8" borderId="635" xfId="0" applyFont="1" applyFill="1" applyBorder="1" applyAlignment="1" applyProtection="1">
      <alignment horizontal="center" vertical="center"/>
      <protection hidden="1"/>
    </xf>
    <xf numFmtId="0" fontId="28" fillId="8" borderId="636" xfId="0" applyFont="1" applyFill="1" applyBorder="1" applyAlignment="1" applyProtection="1">
      <alignment horizontal="center" vertical="center"/>
      <protection hidden="1"/>
    </xf>
    <xf numFmtId="0" fontId="54" fillId="8" borderId="634" xfId="0" applyFont="1" applyFill="1" applyBorder="1" applyAlignment="1" applyProtection="1">
      <alignment horizontal="left"/>
      <protection hidden="1"/>
    </xf>
    <xf numFmtId="0" fontId="54" fillId="8" borderId="635" xfId="0" applyFont="1" applyFill="1" applyBorder="1" applyAlignment="1" applyProtection="1">
      <alignment horizontal="left"/>
      <protection hidden="1"/>
    </xf>
    <xf numFmtId="0" fontId="52" fillId="0" borderId="0" xfId="0" applyFont="1" applyProtection="1">
      <alignment vertical="center"/>
      <protection hidden="1"/>
    </xf>
    <xf numFmtId="0" fontId="50" fillId="7" borderId="633" xfId="0" applyFont="1" applyFill="1" applyBorder="1" applyAlignment="1" applyProtection="1">
      <alignment horizontal="left" vertical="center"/>
      <protection hidden="1"/>
    </xf>
    <xf numFmtId="0" fontId="50" fillId="7" borderId="289" xfId="0" applyFont="1" applyFill="1" applyBorder="1" applyAlignment="1" applyProtection="1">
      <alignment horizontal="left" vertical="center"/>
      <protection hidden="1"/>
    </xf>
    <xf numFmtId="0" fontId="24" fillId="30" borderId="1" xfId="0" applyFont="1" applyFill="1" applyBorder="1" applyAlignment="1">
      <alignment horizontal="center" vertical="center"/>
    </xf>
    <xf numFmtId="0" fontId="24" fillId="30" borderId="2" xfId="0" applyFont="1" applyFill="1" applyBorder="1" applyAlignment="1">
      <alignment horizontal="center" vertical="center"/>
    </xf>
  </cellXfs>
  <cellStyles count="18">
    <cellStyle name="パーセント" xfId="17" builtinId="5"/>
    <cellStyle name="ハイパーリンク" xfId="1" builtinId="8"/>
    <cellStyle name="桁区切り" xfId="2" builtinId="6"/>
    <cellStyle name="桁区切り 2" xfId="5" xr:uid="{00000000-0005-0000-0000-000002000000}"/>
    <cellStyle name="桁区切り 2 2" xfId="6" xr:uid="{00000000-0005-0000-0000-000003000000}"/>
    <cellStyle name="桁区切り 2 3" xfId="11" xr:uid="{00000000-0005-0000-0000-000004000000}"/>
    <cellStyle name="桁区切り 3" xfId="9" xr:uid="{00000000-0005-0000-0000-000005000000}"/>
    <cellStyle name="桁区切り 3 2" xfId="13" xr:uid="{00000000-0005-0000-0000-000006000000}"/>
    <cellStyle name="標準" xfId="0" builtinId="0"/>
    <cellStyle name="標準 2" xfId="3" xr:uid="{00000000-0005-0000-0000-000008000000}"/>
    <cellStyle name="標準 2 2" xfId="10" xr:uid="{00000000-0005-0000-0000-000009000000}"/>
    <cellStyle name="標準 3" xfId="4" xr:uid="{00000000-0005-0000-0000-00000A000000}"/>
    <cellStyle name="標準 3 2" xfId="7" xr:uid="{00000000-0005-0000-0000-00000B000000}"/>
    <cellStyle name="標準 4" xfId="8" xr:uid="{00000000-0005-0000-0000-00000C000000}"/>
    <cellStyle name="標準 4 2" xfId="12" xr:uid="{00000000-0005-0000-0000-00000D000000}"/>
    <cellStyle name="標準 4 3" xfId="16" xr:uid="{00000000-0005-0000-0000-00000E000000}"/>
    <cellStyle name="標準 5" xfId="14" xr:uid="{00000000-0005-0000-0000-00000F000000}"/>
    <cellStyle name="標準 6" xfId="15" xr:uid="{00000000-0005-0000-0000-000010000000}"/>
  </cellStyles>
  <dxfs count="1686">
    <dxf>
      <fill>
        <patternFill>
          <bgColor theme="0"/>
        </patternFill>
      </fill>
    </dxf>
    <dxf>
      <fill>
        <patternFill>
          <bgColor theme="0"/>
        </patternFill>
      </fill>
    </dxf>
    <dxf>
      <font>
        <color auto="1"/>
      </font>
      <fill>
        <patternFill>
          <bgColor rgb="FFFF0000"/>
        </patternFill>
      </fill>
    </dxf>
    <dxf>
      <fill>
        <patternFill>
          <bgColor theme="0"/>
        </patternFill>
      </fill>
    </dxf>
    <dxf>
      <fill>
        <patternFill>
          <bgColor theme="0"/>
        </patternFill>
      </fill>
    </dxf>
    <dxf>
      <fill>
        <patternFill>
          <bgColor theme="0"/>
        </patternFill>
      </fill>
    </dxf>
    <dxf>
      <font>
        <color theme="3"/>
      </font>
      <fill>
        <patternFill>
          <bgColor theme="3"/>
        </patternFill>
      </fill>
    </dxf>
    <dxf>
      <font>
        <color theme="3"/>
      </font>
      <fill>
        <patternFill>
          <bgColor theme="3"/>
        </patternFill>
      </fill>
    </dxf>
    <dxf>
      <font>
        <color theme="3"/>
      </font>
      <fill>
        <patternFill>
          <bgColor theme="3"/>
        </patternFill>
      </fill>
    </dxf>
    <dxf>
      <font>
        <color theme="3"/>
      </font>
      <fill>
        <patternFill>
          <bgColor theme="3"/>
        </patternFill>
      </fill>
    </dxf>
    <dxf>
      <font>
        <color theme="3"/>
      </font>
      <fill>
        <patternFill>
          <bgColor theme="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ont>
        <color theme="1"/>
      </font>
      <fill>
        <patternFill>
          <bgColor rgb="FFFF0000"/>
        </patternFill>
      </fill>
    </dxf>
    <dxf>
      <fill>
        <patternFill>
          <bgColor theme="0"/>
        </patternFill>
      </fill>
    </dxf>
    <dxf>
      <font>
        <color theme="1" tint="0.499984740745262"/>
      </font>
      <fill>
        <patternFill>
          <bgColor theme="1" tint="0.499984740745262"/>
        </patternFill>
      </fill>
    </dxf>
    <dxf>
      <font>
        <color auto="1"/>
      </font>
      <fill>
        <patternFill>
          <bgColor rgb="FFFF0000"/>
        </patternFill>
      </fill>
    </dxf>
    <dxf>
      <font>
        <color theme="1"/>
      </font>
      <fill>
        <patternFill>
          <bgColor rgb="FFFF0000"/>
        </patternFill>
      </fill>
    </dxf>
    <dxf>
      <font>
        <color theme="3" tint="0.39994506668294322"/>
      </font>
      <fill>
        <patternFill>
          <bgColor theme="3" tint="0.39994506668294322"/>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ont>
        <color theme="1" tint="0.499984740745262"/>
      </font>
      <fill>
        <patternFill>
          <bgColor theme="1"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1"/>
      </font>
      <fill>
        <patternFill>
          <bgColor theme="0"/>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ill>
        <patternFill>
          <bgColor theme="0" tint="-0.49998474074526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FF66"/>
        </patternFill>
      </fill>
    </dxf>
    <dxf>
      <fill>
        <patternFill>
          <bgColor rgb="FFFF0000"/>
        </patternFill>
      </fill>
    </dxf>
    <dxf>
      <fill>
        <patternFill>
          <bgColor theme="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auto="1"/>
      </font>
      <fill>
        <patternFill>
          <bgColor rgb="FFFFFF99"/>
        </patternFill>
      </fill>
    </dxf>
    <dxf>
      <font>
        <color theme="0"/>
      </font>
      <fill>
        <patternFill>
          <bgColor theme="1" tint="4.9989318521683403E-2"/>
        </patternFill>
      </fill>
    </dxf>
    <dxf>
      <font>
        <color theme="0"/>
      </font>
      <fill>
        <patternFill>
          <bgColor theme="1" tint="4.9989318521683403E-2"/>
        </patternFill>
      </fill>
    </dxf>
    <dxf>
      <fill>
        <patternFill>
          <bgColor rgb="FFFFFF99"/>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ont>
        <color theme="1" tint="0.499984740745262"/>
      </font>
      <fill>
        <patternFill>
          <bgColor theme="1" tint="0.499984740745262"/>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tint="-0.499984740745262"/>
        </patternFill>
      </fill>
    </dxf>
    <dxf>
      <fill>
        <patternFill>
          <bgColor rgb="FFFF0000"/>
        </patternFill>
      </fill>
    </dxf>
    <dxf>
      <font>
        <color theme="1" tint="0.499984740745262"/>
      </font>
      <fill>
        <patternFill>
          <bgColor theme="1" tint="0.499984740745262"/>
        </patternFill>
      </fill>
    </dxf>
    <dxf>
      <font>
        <color theme="3"/>
      </font>
      <fill>
        <patternFill>
          <bgColor theme="3"/>
        </patternFill>
      </fill>
    </dxf>
    <dxf>
      <font>
        <color theme="3"/>
      </font>
      <fill>
        <patternFill>
          <bgColor theme="3"/>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tint="-0.24994659260841701"/>
      </font>
      <fill>
        <patternFill>
          <bgColor theme="1" tint="0.499984740745262"/>
        </patternFill>
      </fill>
    </dxf>
    <dxf>
      <font>
        <color auto="1"/>
      </font>
      <fill>
        <patternFill>
          <bgColor rgb="FFFF0000"/>
        </patternFill>
      </fill>
    </dxf>
    <dxf>
      <font>
        <color auto="1"/>
      </font>
      <fill>
        <patternFill>
          <bgColor rgb="FFFF0000"/>
        </patternFill>
      </fill>
    </dxf>
    <dxf>
      <font>
        <color theme="0" tint="-0.24994659260841701"/>
      </font>
      <fill>
        <patternFill>
          <bgColor theme="1" tint="0.499984740745262"/>
        </patternFill>
      </fill>
    </dxf>
    <dxf>
      <font>
        <color auto="1"/>
      </font>
      <fill>
        <patternFill>
          <bgColor rgb="FFFF0000"/>
        </patternFill>
      </fill>
    </dxf>
    <dxf>
      <font>
        <color theme="0" tint="-0.24994659260841701"/>
      </font>
      <fill>
        <patternFill>
          <bgColor theme="1" tint="0.499984740745262"/>
        </patternFill>
      </fill>
    </dxf>
    <dxf>
      <font>
        <color auto="1"/>
      </font>
      <fill>
        <patternFill>
          <bgColor rgb="FFFF0000"/>
        </patternFill>
      </fill>
    </dxf>
    <dxf>
      <font>
        <color theme="0" tint="-0.24994659260841701"/>
      </font>
      <fill>
        <patternFill>
          <bgColor theme="1" tint="0.499984740745262"/>
        </patternFill>
      </fill>
    </dxf>
    <dxf>
      <font>
        <color theme="0" tint="-0.24994659260841701"/>
      </font>
      <fill>
        <patternFill>
          <bgColor theme="1" tint="0.499984740745262"/>
        </patternFill>
      </fill>
    </dxf>
    <dxf>
      <font>
        <color auto="1"/>
      </font>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ill>
        <patternFill>
          <bgColor theme="0" tint="-0.499984740745262"/>
        </patternFill>
      </fill>
    </dxf>
    <dxf>
      <fill>
        <patternFill>
          <bgColor rgb="FFFF0000"/>
        </patternFill>
      </fill>
    </dxf>
    <dxf>
      <font>
        <color theme="1" tint="0.499984740745262"/>
      </font>
      <fill>
        <patternFill>
          <bgColor theme="1" tint="0.499984740745262"/>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theme="0" tint="-0.499984740745262"/>
        </patternFill>
      </fill>
    </dxf>
    <dxf>
      <font>
        <color auto="1"/>
      </font>
      <fill>
        <patternFill>
          <bgColor rgb="FFFF0000"/>
        </patternFill>
      </fill>
    </dxf>
    <dxf>
      <font>
        <color theme="3"/>
      </font>
      <fill>
        <patternFill>
          <bgColor theme="3"/>
        </patternFill>
      </fill>
    </dxf>
    <dxf>
      <font>
        <color theme="3"/>
      </font>
      <fill>
        <patternFill>
          <bgColor theme="3"/>
        </patternFill>
      </fill>
    </dxf>
    <dxf>
      <fill>
        <patternFill>
          <bgColor rgb="FFFF0000"/>
        </patternFill>
      </fill>
    </dxf>
    <dxf>
      <fill>
        <patternFill>
          <bgColor theme="0"/>
        </patternFill>
      </fill>
    </dxf>
    <dxf>
      <fill>
        <patternFill>
          <bgColor theme="0" tint="-0.499984740745262"/>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ont>
        <color theme="1"/>
      </font>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theme="1" tint="0.499984740745262"/>
      </font>
      <fill>
        <patternFill>
          <bgColor theme="1" tint="0.499984740745262"/>
        </patternFill>
      </fill>
    </dxf>
    <dxf>
      <font>
        <color theme="0" tint="-0.499984740745262"/>
      </font>
      <fill>
        <patternFill>
          <bgColor theme="0" tint="-0.499984740745262"/>
        </patternFill>
      </fill>
    </dxf>
    <dxf>
      <fill>
        <patternFill>
          <bgColor theme="0"/>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font>
      <fill>
        <patternFill>
          <bgColor theme="0"/>
        </patternFill>
      </fill>
    </dxf>
    <dxf>
      <fill>
        <patternFill>
          <bgColor theme="0"/>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24994659260841701"/>
      </font>
      <fill>
        <patternFill>
          <fgColor theme="0" tint="-0.24994659260841701"/>
          <bgColor theme="0" tint="-0.2499465926084170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24994659260841701"/>
      </font>
      <fill>
        <patternFill>
          <fgColor theme="0" tint="-0.24994659260841701"/>
          <bgColor theme="0" tint="-0.24994659260841701"/>
        </patternFill>
      </fill>
    </dxf>
    <dxf>
      <font>
        <color theme="1" tint="0.499984740745262"/>
      </font>
      <fill>
        <patternFill>
          <bgColor theme="1" tint="0.499984740745262"/>
        </patternFill>
      </fill>
    </dxf>
    <dxf>
      <font>
        <color theme="0" tint="-0.499984740745262"/>
      </font>
      <fill>
        <patternFill>
          <bgColor theme="0" tint="-0.499984740745262"/>
        </patternFill>
      </fill>
    </dxf>
    <dxf>
      <fill>
        <patternFill>
          <bgColor theme="0"/>
        </patternFill>
      </fill>
    </dxf>
    <dxf>
      <font>
        <color theme="1"/>
      </font>
      <fill>
        <patternFill>
          <bgColor rgb="FFFF0000"/>
        </patternFill>
      </fill>
    </dxf>
    <dxf>
      <fill>
        <patternFill>
          <bgColor theme="0"/>
        </patternFill>
      </fill>
    </dxf>
    <dxf>
      <font>
        <color theme="1"/>
      </font>
      <fill>
        <patternFill>
          <bgColor rgb="FFFF0000"/>
        </patternFill>
      </fill>
    </dxf>
    <dxf>
      <fill>
        <patternFill>
          <bgColor theme="0"/>
        </patternFill>
      </fill>
    </dxf>
    <dxf>
      <font>
        <color theme="0" tint="-0.499984740745262"/>
      </font>
      <fill>
        <patternFill>
          <bgColor theme="0" tint="-0.499984740745262"/>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ont>
        <color auto="1"/>
      </font>
      <fill>
        <patternFill>
          <bgColor rgb="FFFF0000"/>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font>
      <fill>
        <patternFill>
          <bgColor theme="0"/>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dxf>
    <dxf>
      <fill>
        <patternFill>
          <bgColor theme="0"/>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24994659260841701"/>
      </font>
      <fill>
        <patternFill>
          <fgColor theme="0" tint="-0.24994659260841701"/>
          <bgColor theme="0" tint="-0.24994659260841701"/>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24994659260841701"/>
      </font>
      <fill>
        <patternFill>
          <fgColor theme="2" tint="-0.24994659260841701"/>
          <bgColor theme="0" tint="-0.24994659260841701"/>
        </patternFill>
      </fill>
    </dxf>
    <dxf>
      <font>
        <color theme="1" tint="0.499984740745262"/>
      </font>
      <fill>
        <patternFill>
          <bgColor theme="1" tint="0.499984740745262"/>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ill>
        <patternFill>
          <bgColor theme="0"/>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ont>
        <color theme="1"/>
      </font>
    </dxf>
    <dxf>
      <fill>
        <patternFill>
          <bgColor rgb="FFFF0000"/>
        </patternFill>
      </fill>
    </dxf>
    <dxf>
      <fill>
        <patternFill patternType="solid">
          <bgColor theme="0"/>
        </patternFill>
      </fill>
    </dxf>
    <dxf>
      <font>
        <color theme="0" tint="-0.24994659260841701"/>
      </font>
      <fill>
        <patternFill>
          <bgColor theme="0" tint="-0.24994659260841701"/>
        </patternFill>
      </fill>
    </dxf>
    <dxf>
      <font>
        <color theme="0" tint="-0.24994659260841701"/>
      </font>
      <fill>
        <patternFill>
          <fgColor theme="0" tint="-0.2499465926084170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theme="0"/>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theme="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fgColor theme="0" tint="-0.24994659260841701"/>
          <bgColor theme="0" tint="-0.24994659260841701"/>
        </patternFill>
      </fill>
    </dxf>
    <dxf>
      <font>
        <color theme="0" tint="-0.24994659260841701"/>
      </font>
      <fill>
        <patternFill>
          <bgColor theme="0" tint="-0.24994659260841701"/>
        </patternFill>
      </fill>
    </dxf>
    <dxf>
      <fill>
        <patternFill>
          <bgColor theme="0"/>
        </patternFill>
      </fill>
    </dxf>
    <dxf>
      <font>
        <color theme="0" tint="-0.24994659260841701"/>
      </font>
      <fill>
        <patternFill>
          <bgColor theme="0" tint="-0.24994659260841701"/>
        </patternFill>
      </fill>
    </dxf>
    <dxf>
      <fill>
        <patternFill>
          <bgColor rgb="FFFF0000"/>
        </patternFill>
      </fill>
    </dxf>
    <dxf>
      <fill>
        <patternFill>
          <bgColor theme="0"/>
        </patternFill>
      </fill>
    </dxf>
    <dxf>
      <fill>
        <patternFill>
          <bgColor theme="0"/>
        </patternFill>
      </fill>
    </dxf>
    <dxf>
      <fill>
        <patternFill>
          <bgColor rgb="FFFF0000"/>
        </patternFill>
      </fill>
    </dxf>
    <dxf>
      <font>
        <color theme="1"/>
      </font>
      <fill>
        <patternFill>
          <bgColor theme="0"/>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theme="0"/>
        </patternFill>
      </fill>
    </dxf>
    <dxf>
      <font>
        <color theme="0" tint="-0.499984740745262"/>
      </font>
      <fill>
        <patternFill>
          <bgColor theme="0" tint="-0.499984740745262"/>
        </patternFill>
      </fill>
    </dxf>
    <dxf>
      <fill>
        <patternFill>
          <bgColor rgb="FFFF0000"/>
        </patternFill>
      </fill>
    </dxf>
    <dxf>
      <font>
        <color theme="1"/>
      </font>
      <fill>
        <patternFill>
          <bgColor theme="0"/>
        </patternFill>
      </fill>
    </dxf>
    <dxf>
      <fill>
        <patternFill>
          <bgColor rgb="FFFF0000"/>
        </patternFill>
      </fill>
    </dxf>
    <dxf>
      <font>
        <color theme="0" tint="-0.24994659260841701"/>
      </font>
      <fill>
        <patternFill>
          <bgColor theme="0" tint="-0.24994659260841701"/>
        </patternFill>
      </fill>
    </dxf>
    <dxf>
      <font>
        <color rgb="FFFF0000"/>
      </font>
      <fill>
        <patternFill>
          <bgColor rgb="FFFFFF66"/>
        </patternFill>
      </fill>
    </dxf>
    <dxf>
      <fill>
        <patternFill>
          <bgColor rgb="FFFF0000"/>
        </patternFill>
      </fill>
    </dxf>
    <dxf>
      <fill>
        <patternFill>
          <bgColor theme="0"/>
        </patternFill>
      </fill>
    </dxf>
    <dxf>
      <font>
        <color theme="0" tint="-0.499984740745262"/>
      </font>
      <fill>
        <patternFill>
          <bgColor theme="0" tint="-0.499984740745262"/>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1" tint="0.499984740745262"/>
      </font>
      <fill>
        <patternFill>
          <bgColor theme="3"/>
        </patternFill>
      </fill>
    </dxf>
    <dxf>
      <font>
        <color theme="0" tint="-0.24994659260841701"/>
      </font>
      <fill>
        <patternFill>
          <bgColor theme="0" tint="-0.24994659260841701"/>
        </patternFill>
      </fill>
    </dxf>
    <dxf>
      <fill>
        <patternFill>
          <bgColor theme="0"/>
        </patternFill>
      </fill>
    </dxf>
    <dxf>
      <fill>
        <patternFill>
          <bgColor theme="0"/>
        </patternFill>
      </fill>
    </dxf>
    <dxf>
      <fill>
        <patternFill>
          <bgColor theme="0"/>
        </patternFill>
      </fill>
    </dxf>
    <dxf>
      <font>
        <color auto="1"/>
      </font>
      <fill>
        <patternFill>
          <bgColor rgb="FFFF0000"/>
        </patternFill>
      </fill>
    </dxf>
    <dxf>
      <fill>
        <patternFill>
          <bgColor rgb="FFFF0000"/>
        </patternFill>
      </fill>
    </dxf>
    <dxf>
      <fill>
        <patternFill>
          <bgColor rgb="FFFF0000"/>
        </patternFill>
      </fill>
    </dxf>
    <dxf>
      <font>
        <color theme="0" tint="-0.24994659260841701"/>
      </font>
      <fill>
        <patternFill>
          <fgColor theme="0" tint="-0.24994659260841701"/>
          <bgColor theme="0" tint="-0.24994659260841701"/>
        </patternFill>
      </fill>
    </dxf>
    <dxf>
      <font>
        <color theme="1"/>
      </font>
      <fill>
        <patternFill>
          <bgColor theme="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3" tint="0.39994506668294322"/>
      </font>
      <fill>
        <patternFill>
          <bgColor theme="3" tint="0.3999450666829432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ill>
        <patternFill>
          <bgColor theme="0"/>
        </patternFill>
      </fill>
    </dxf>
    <dxf>
      <font>
        <color theme="0" tint="-0.24994659260841701"/>
      </font>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tint="-0.24994659260841701"/>
      </font>
      <fill>
        <patternFill>
          <bgColor theme="0" tint="-0.24994659260841701"/>
        </patternFill>
      </fill>
    </dxf>
    <dxf>
      <fill>
        <patternFill>
          <bgColor theme="0"/>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1"/>
      </font>
      <fill>
        <patternFill>
          <bgColor rgb="FFFF0000"/>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FF0000"/>
      </font>
      <fill>
        <patternFill>
          <bgColor rgb="FFFFFF6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ont>
        <color auto="1"/>
      </font>
      <fill>
        <patternFill>
          <bgColor rgb="FFFFFF99"/>
        </patternFill>
      </fill>
    </dxf>
    <dxf>
      <font>
        <color theme="0"/>
      </font>
      <fill>
        <patternFill>
          <bgColor theme="1" tint="4.9989318521683403E-2"/>
        </patternFill>
      </fill>
    </dxf>
    <dxf>
      <fill>
        <patternFill>
          <bgColor rgb="FFFFFF99"/>
        </patternFill>
      </fill>
    </dxf>
    <dxf>
      <font>
        <color theme="0"/>
      </font>
      <fill>
        <patternFill>
          <bgColor theme="1" tint="4.9989318521683403E-2"/>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theme="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ont>
        <color theme="0" tint="-0.24994659260841701"/>
      </font>
      <fill>
        <patternFill>
          <bgColor theme="0" tint="-0.24994659260841701"/>
        </patternFill>
      </fill>
    </dxf>
    <dxf>
      <font>
        <color auto="1"/>
      </font>
      <fill>
        <patternFill>
          <bgColor rgb="FFFF00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theme="0" tint="-0.14996795556505021"/>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499984740745262"/>
      </font>
      <fill>
        <patternFill>
          <bgColor theme="0" tint="-0.499984740745262"/>
        </patternFill>
      </fill>
    </dxf>
    <dxf>
      <fill>
        <patternFill>
          <bgColor rgb="FFFF0000"/>
        </patternFill>
      </fill>
    </dxf>
    <dxf>
      <font>
        <color auto="1"/>
      </font>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rgb="FFFF0000"/>
        </patternFill>
      </fill>
    </dxf>
    <dxf>
      <fill>
        <patternFill>
          <bgColor theme="0"/>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fgColor rgb="FFFF0000"/>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theme="0"/>
        </patternFill>
      </fill>
    </dxf>
    <dxf>
      <font>
        <color theme="1"/>
      </font>
      <fill>
        <patternFill>
          <bgColor theme="0"/>
        </patternFill>
      </fill>
    </dxf>
    <dxf>
      <font>
        <color theme="0" tint="-0.34998626667073579"/>
      </font>
      <fill>
        <patternFill>
          <bgColor theme="0" tint="-0.34998626667073579"/>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ont>
        <color auto="1"/>
      </font>
      <fill>
        <patternFill>
          <bgColor rgb="FFFF0000"/>
        </patternFill>
      </fill>
    </dxf>
    <dxf>
      <font>
        <color theme="0" tint="-0.499984740745262"/>
      </font>
      <fill>
        <patternFill>
          <bgColor theme="0" tint="-0.499984740745262"/>
        </patternFill>
      </fill>
    </dxf>
    <dxf>
      <font>
        <color theme="0" tint="-0.499984740745262"/>
      </font>
      <fill>
        <patternFill>
          <fgColor theme="0" tint="-0.499984740745262"/>
          <bgColor theme="0" tint="-0.499984740745262"/>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0" tint="-0.499984740745262"/>
        </patternFill>
      </fill>
    </dxf>
    <dxf>
      <font>
        <color theme="1"/>
      </font>
      <fill>
        <patternFill>
          <bgColor rgb="FFFF0000"/>
        </patternFill>
      </fill>
    </dxf>
    <dxf>
      <font>
        <color theme="0" tint="-0.499984740745262"/>
      </font>
      <fill>
        <patternFill>
          <bgColor theme="0" tint="-0.499984740745262"/>
        </patternFill>
      </fill>
    </dxf>
    <dxf>
      <font>
        <color auto="1"/>
      </font>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ont>
        <color theme="0" tint="-0.499984740745262"/>
      </font>
      <fill>
        <patternFill>
          <bgColor theme="0" tint="-0.49998474074526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theme="0"/>
        </patternFill>
      </fill>
    </dxf>
    <dxf>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theme="0"/>
        </patternFill>
      </fill>
    </dxf>
    <dxf>
      <fill>
        <patternFill>
          <bgColor rgb="FFFF0000"/>
        </patternFill>
      </fill>
    </dxf>
    <dxf>
      <font>
        <color theme="1"/>
      </font>
      <fill>
        <patternFill>
          <bgColor rgb="FFFF0000"/>
        </patternFill>
      </fill>
    </dxf>
    <dxf>
      <fill>
        <patternFill patternType="none">
          <bgColor auto="1"/>
        </patternFill>
      </fill>
    </dxf>
    <dxf>
      <fill>
        <patternFill>
          <bgColor theme="0"/>
        </patternFill>
      </fill>
    </dxf>
    <dxf>
      <fill>
        <patternFill>
          <bgColor rgb="FFFF0000"/>
        </patternFill>
      </fill>
    </dxf>
    <dxf>
      <fill>
        <patternFill>
          <bgColor theme="0"/>
        </patternFill>
      </fill>
    </dxf>
    <dxf>
      <font>
        <color theme="1"/>
      </font>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patternType="solid">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bgColor theme="0" tint="-0.499984740745262"/>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auto="1"/>
      </font>
      <fill>
        <patternFill>
          <bgColor rgb="FFFFFF66"/>
        </patternFill>
      </fill>
    </dxf>
    <dxf>
      <font>
        <color theme="1"/>
      </font>
      <fill>
        <patternFill>
          <bgColor rgb="FFFFFF6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0" tint="-0.24994659260841701"/>
      </font>
      <fill>
        <patternFill>
          <bgColor theme="0" tint="-0.24994659260841701"/>
        </patternFill>
      </fill>
    </dxf>
    <dxf>
      <font>
        <color theme="3"/>
      </font>
      <fill>
        <patternFill>
          <bgColor theme="3"/>
        </patternFill>
      </fill>
    </dxf>
    <dxf>
      <font>
        <color theme="3"/>
      </font>
      <fill>
        <patternFill>
          <bgColor theme="3"/>
        </patternFill>
      </fill>
    </dxf>
    <dxf>
      <font>
        <color theme="3"/>
      </font>
      <fill>
        <patternFill>
          <bgColor theme="3"/>
        </patternFill>
      </fill>
    </dxf>
    <dxf>
      <font>
        <color theme="3"/>
      </font>
      <fill>
        <patternFill>
          <bgColor theme="3"/>
        </patternFill>
      </fill>
    </dxf>
    <dxf>
      <font>
        <color theme="3"/>
      </font>
      <fill>
        <patternFill>
          <bgColor theme="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ont>
        <color theme="1"/>
      </font>
      <fill>
        <patternFill>
          <bgColor rgb="FFFF0000"/>
        </patternFill>
      </fill>
    </dxf>
    <dxf>
      <font>
        <color theme="1"/>
      </font>
      <fill>
        <patternFill>
          <bgColor rgb="FFFF0000"/>
        </patternFill>
      </fill>
    </dxf>
    <dxf>
      <fill>
        <patternFill>
          <bgColor theme="0"/>
        </patternFill>
      </fill>
    </dxf>
    <dxf>
      <fill>
        <patternFill>
          <bgColor rgb="FFFF0000"/>
        </patternFill>
      </fill>
    </dxf>
    <dxf>
      <font>
        <color theme="3" tint="0.39994506668294322"/>
      </font>
      <fill>
        <patternFill>
          <bgColor theme="3" tint="0.39994506668294322"/>
        </patternFill>
      </fill>
    </dxf>
    <dxf>
      <fill>
        <patternFill>
          <bgColor rgb="FFFF0000"/>
        </patternFill>
      </fill>
    </dxf>
    <dxf>
      <fill>
        <patternFill>
          <bgColor theme="0"/>
        </patternFill>
      </fill>
    </dxf>
    <dxf>
      <font>
        <color theme="1" tint="0.499984740745262"/>
      </font>
      <fill>
        <patternFill>
          <bgColor theme="1" tint="0.499984740745262"/>
        </patternFill>
      </fill>
    </dxf>
    <dxf>
      <fill>
        <patternFill>
          <bgColor theme="0"/>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ill>
        <patternFill>
          <bgColor rgb="FFFF0000"/>
        </patternFill>
      </fill>
    </dxf>
    <dxf>
      <font>
        <color theme="1" tint="0.499984740745262"/>
      </font>
      <fill>
        <patternFill>
          <bgColor theme="1" tint="0.499984740745262"/>
        </patternFill>
      </fill>
    </dxf>
    <dxf>
      <font>
        <color theme="1"/>
      </font>
      <fill>
        <patternFill>
          <bgColor theme="0"/>
        </patternFill>
      </fill>
    </dxf>
    <dxf>
      <font>
        <color theme="1"/>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49998474074526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FF66"/>
        </patternFill>
      </fill>
    </dxf>
    <dxf>
      <fill>
        <patternFill>
          <bgColor rgb="FFFF0000"/>
        </patternFill>
      </fill>
    </dxf>
    <dxf>
      <fill>
        <patternFill>
          <bgColor theme="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auto="1"/>
      </font>
      <fill>
        <patternFill>
          <bgColor rgb="FFFFFF99"/>
        </patternFill>
      </fill>
    </dxf>
    <dxf>
      <font>
        <color theme="0"/>
      </font>
      <fill>
        <patternFill>
          <bgColor theme="1" tint="4.9989318521683403E-2"/>
        </patternFill>
      </fill>
    </dxf>
    <dxf>
      <fill>
        <patternFill>
          <bgColor rgb="FFFFFF99"/>
        </patternFill>
      </fill>
    </dxf>
    <dxf>
      <font>
        <color theme="0"/>
      </font>
      <fill>
        <patternFill>
          <bgColor theme="1" tint="4.9989318521683403E-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ont>
        <color theme="1" tint="0.499984740745262"/>
      </font>
      <fill>
        <patternFill>
          <bgColor theme="1" tint="0.499984740745262"/>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theme="0" tint="-0.499984740745262"/>
      </font>
      <fill>
        <patternFill>
          <bgColor theme="0" tint="-0.499984740745262"/>
        </patternFill>
      </fill>
    </dxf>
    <dxf>
      <fill>
        <patternFill>
          <bgColor theme="0" tint="-0.499984740745262"/>
        </patternFill>
      </fill>
    </dxf>
    <dxf>
      <fill>
        <patternFill>
          <bgColor rgb="FFFF0000"/>
        </patternFill>
      </fill>
    </dxf>
    <dxf>
      <fill>
        <patternFill patternType="solid">
          <bgColor theme="0"/>
        </patternFill>
      </fill>
    </dxf>
    <dxf>
      <fill>
        <patternFill>
          <bgColor theme="0"/>
        </patternFill>
      </fill>
    </dxf>
    <dxf>
      <fill>
        <patternFill>
          <bgColor theme="0" tint="-0.499984740745262"/>
        </patternFill>
      </fill>
    </dxf>
    <dxf>
      <font>
        <color theme="1" tint="0.499984740745262"/>
      </font>
      <fill>
        <patternFill>
          <bgColor theme="1" tint="0.499984740745262"/>
        </patternFill>
      </fill>
    </dxf>
    <dxf>
      <fill>
        <patternFill>
          <bgColor rgb="FFFF0000"/>
        </patternFill>
      </fill>
    </dxf>
    <dxf>
      <font>
        <color theme="3"/>
      </font>
      <fill>
        <patternFill>
          <bgColor theme="3"/>
        </patternFill>
      </fill>
    </dxf>
    <dxf>
      <font>
        <color theme="3"/>
      </font>
      <fill>
        <patternFill>
          <bgColor theme="3"/>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patternType="none">
          <bgColor auto="1"/>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bgColor rgb="FFFF0000"/>
        </patternFill>
      </fill>
    </dxf>
    <dxf>
      <fill>
        <patternFill>
          <bgColor theme="0"/>
        </patternFill>
      </fill>
    </dxf>
    <dxf>
      <font>
        <color theme="0" tint="-0.24994659260841701"/>
      </font>
      <fill>
        <patternFill>
          <bgColor theme="1" tint="0.499984740745262"/>
        </patternFill>
      </fill>
    </dxf>
    <dxf>
      <font>
        <color auto="1"/>
      </font>
      <fill>
        <patternFill>
          <bgColor rgb="FFFF0000"/>
        </patternFill>
      </fill>
    </dxf>
    <dxf>
      <font>
        <color theme="0" tint="-0.24994659260841701"/>
      </font>
      <fill>
        <patternFill>
          <bgColor theme="1" tint="0.499984740745262"/>
        </patternFill>
      </fill>
    </dxf>
    <dxf>
      <font>
        <color auto="1"/>
      </font>
      <fill>
        <patternFill>
          <bgColor rgb="FFFF0000"/>
        </patternFill>
      </fill>
    </dxf>
    <dxf>
      <font>
        <color theme="0" tint="-0.24994659260841701"/>
      </font>
      <fill>
        <patternFill>
          <bgColor theme="1" tint="0.499984740745262"/>
        </patternFill>
      </fill>
    </dxf>
    <dxf>
      <font>
        <color auto="1"/>
      </font>
      <fill>
        <patternFill>
          <bgColor rgb="FFFF0000"/>
        </patternFill>
      </fill>
    </dxf>
    <dxf>
      <font>
        <color theme="0" tint="-0.24994659260841701"/>
      </font>
      <fill>
        <patternFill>
          <bgColor theme="1" tint="0.499984740745262"/>
        </patternFill>
      </fill>
    </dxf>
    <dxf>
      <font>
        <color auto="1"/>
      </font>
      <fill>
        <patternFill>
          <bgColor rgb="FFFF0000"/>
        </patternFill>
      </fill>
    </dxf>
    <dxf>
      <font>
        <color theme="0" tint="-0.24994659260841701"/>
      </font>
      <fill>
        <patternFill>
          <bgColor theme="1" tint="0.499984740745262"/>
        </patternFill>
      </fill>
    </dxf>
    <dxf>
      <font>
        <color auto="1"/>
      </font>
      <fill>
        <patternFill>
          <bgColor rgb="FFFF0000"/>
        </patternFill>
      </fill>
    </dxf>
    <dxf>
      <fill>
        <patternFill>
          <bgColor theme="0"/>
        </patternFill>
      </fill>
    </dxf>
    <dxf>
      <fill>
        <patternFill>
          <bgColor theme="0" tint="-0.499984740745262"/>
        </patternFill>
      </fill>
    </dxf>
    <dxf>
      <fill>
        <patternFill>
          <bgColor theme="0"/>
        </patternFill>
      </fill>
    </dxf>
    <dxf>
      <fill>
        <patternFill>
          <bgColor rgb="FFFF0000"/>
        </patternFill>
      </fill>
    </dxf>
    <dxf>
      <fill>
        <patternFill>
          <bgColor rgb="FFFF0000"/>
        </patternFill>
      </fill>
    </dxf>
    <dxf>
      <font>
        <b val="0"/>
        <i val="0"/>
        <strike val="0"/>
        <color theme="0" tint="-0.499984740745262"/>
      </font>
      <numFmt numFmtId="0" formatCode="General"/>
      <fill>
        <patternFill patternType="solid">
          <fgColor indexed="64"/>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rgb="FFFF0000"/>
        </patternFill>
      </fill>
    </dxf>
    <dxf>
      <fill>
        <patternFill>
          <bgColor theme="0" tint="-0.499984740745262"/>
        </patternFill>
      </fill>
    </dxf>
    <dxf>
      <fill>
        <patternFill>
          <bgColor theme="0"/>
        </patternFill>
      </fill>
    </dxf>
    <dxf>
      <fill>
        <patternFill>
          <bgColor rgb="FFFF0000"/>
        </patternFill>
      </fill>
    </dxf>
    <dxf>
      <font>
        <color theme="0" tint="-0.499984740745262"/>
      </font>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0000"/>
        </patternFill>
      </fill>
    </dxf>
    <dxf>
      <font>
        <color theme="3"/>
      </font>
      <fill>
        <patternFill>
          <bgColor theme="3"/>
        </patternFill>
      </fill>
    </dxf>
    <dxf>
      <fill>
        <patternFill>
          <bgColor theme="0"/>
        </patternFill>
      </fill>
    </dxf>
    <dxf>
      <font>
        <color theme="3"/>
      </font>
      <fill>
        <patternFill>
          <bgColor theme="3"/>
        </patternFill>
      </fill>
    </dxf>
    <dxf>
      <fill>
        <patternFill>
          <bgColor theme="0" tint="-0.499984740745262"/>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ont>
        <color theme="1"/>
      </font>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ont>
        <color theme="1"/>
      </font>
      <fill>
        <patternFill>
          <bgColor theme="0"/>
        </patternFill>
      </fill>
    </dxf>
    <dxf>
      <fill>
        <patternFill>
          <bgColor rgb="FFFF0000"/>
        </patternFill>
      </fill>
    </dxf>
    <dxf>
      <font>
        <color theme="1"/>
      </font>
      <fill>
        <patternFill>
          <bgColor theme="0"/>
        </patternFill>
      </fill>
    </dxf>
    <dxf>
      <fill>
        <patternFill>
          <bgColor rgb="FFFF0000"/>
        </patternFill>
      </fill>
    </dxf>
    <dxf>
      <font>
        <color theme="1"/>
      </font>
      <fill>
        <patternFill>
          <bgColor rgb="FFFF0000"/>
        </patternFill>
      </fill>
    </dxf>
    <dxf>
      <font>
        <color theme="0" tint="-0.34998626667073579"/>
      </font>
      <fill>
        <patternFill>
          <bgColor theme="0" tint="-0.34998626667073579"/>
        </patternFill>
      </fill>
    </dxf>
    <dxf>
      <fill>
        <patternFill>
          <bgColor theme="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FF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fill>
        <patternFill>
          <bgColor rgb="FFFFFF00"/>
        </patternFill>
      </fill>
    </dxf>
    <dxf>
      <fill>
        <patternFill>
          <bgColor rgb="FFFF0000"/>
        </patternFill>
      </fill>
    </dxf>
    <dxf>
      <font>
        <color auto="1"/>
      </font>
      <fill>
        <patternFill>
          <bgColor rgb="FFFFFF99"/>
        </patternFill>
      </fill>
    </dxf>
    <dxf>
      <font>
        <color theme="0"/>
      </font>
      <fill>
        <patternFill>
          <bgColor theme="1" tint="4.9989318521683403E-2"/>
        </patternFill>
      </fill>
    </dxf>
    <dxf>
      <fill>
        <patternFill>
          <bgColor rgb="FFFFFF99"/>
        </patternFill>
      </fill>
    </dxf>
    <dxf>
      <font>
        <color theme="0"/>
      </font>
      <fill>
        <patternFill>
          <bgColor theme="1" tint="4.9989318521683403E-2"/>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ont>
        <color auto="1"/>
      </font>
      <fill>
        <patternFill>
          <bgColor rgb="FFFF0000"/>
        </patternFill>
      </fill>
    </dxf>
    <dxf>
      <fill>
        <patternFill>
          <bgColor theme="0"/>
        </patternFill>
      </fill>
    </dxf>
    <dxf>
      <fill>
        <patternFill>
          <bgColor theme="0"/>
        </patternFill>
      </fill>
    </dxf>
    <dxf>
      <fill>
        <patternFill>
          <bgColor theme="0"/>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auto="1"/>
      </font>
      <fill>
        <patternFill>
          <bgColor theme="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1"/>
      </font>
      <fill>
        <patternFill>
          <bgColor theme="0"/>
        </patternFill>
      </fill>
    </dxf>
    <dxf>
      <fill>
        <patternFill>
          <bgColor theme="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FF00"/>
        </patternFill>
      </fill>
    </dxf>
    <dxf>
      <font>
        <color theme="0" tint="-0.34998626667073579"/>
      </font>
      <fill>
        <patternFill>
          <bgColor theme="0" tint="-0.34998626667073579"/>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fill>
        <patternFill>
          <bgColor rgb="FFFFFF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font>
      <fill>
        <patternFill>
          <bgColor theme="1" tint="4.9989318521683403E-2"/>
        </patternFill>
      </fill>
    </dxf>
    <dxf>
      <font>
        <color auto="1"/>
      </font>
      <fill>
        <patternFill>
          <bgColor rgb="FFFFFF99"/>
        </patternFill>
      </fill>
    </dxf>
    <dxf>
      <fill>
        <patternFill>
          <bgColor rgb="FFFFFF99"/>
        </patternFill>
      </fill>
    </dxf>
    <dxf>
      <font>
        <color theme="0"/>
      </font>
      <fill>
        <patternFill>
          <bgColor theme="1" tint="4.9989318521683403E-2"/>
        </patternFill>
      </fill>
    </dxf>
    <dxf>
      <fill>
        <patternFill>
          <bgColor rgb="FFFF0000"/>
        </patternFill>
      </fill>
    </dxf>
    <dxf>
      <fill>
        <patternFill>
          <bgColor theme="0"/>
        </patternFill>
      </fill>
    </dxf>
    <dxf>
      <fill>
        <patternFill>
          <bgColor theme="0"/>
        </patternFill>
      </fill>
    </dxf>
    <dxf>
      <font>
        <color auto="1"/>
      </font>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auto="1"/>
      </font>
      <fill>
        <patternFill>
          <bgColor theme="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rgb="FFFF0000"/>
      </font>
      <fill>
        <patternFill>
          <bgColor rgb="FFFFFF00"/>
        </patternFill>
      </fill>
    </dxf>
    <dxf>
      <fill>
        <patternFill>
          <bgColor rgb="FFFF0000"/>
        </patternFill>
      </fill>
    </dxf>
    <dxf>
      <fill>
        <patternFill>
          <bgColor theme="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auto="1"/>
      </font>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24994659260841701"/>
      </font>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theme="1"/>
      </font>
      <fill>
        <patternFill>
          <bgColor theme="0"/>
        </patternFill>
      </fill>
    </dxf>
    <dxf>
      <font>
        <color rgb="FFFF0000"/>
      </font>
      <fill>
        <patternFill>
          <bgColor rgb="FFFFFF0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ont>
        <color theme="0"/>
      </font>
      <fill>
        <patternFill>
          <bgColor theme="1" tint="4.9989318521683403E-2"/>
        </patternFill>
      </fill>
    </dxf>
    <dxf>
      <font>
        <color auto="1"/>
      </font>
      <fill>
        <patternFill>
          <bgColor rgb="FFFFFF99"/>
        </patternFill>
      </fill>
    </dxf>
    <dxf>
      <font>
        <color theme="0"/>
      </font>
      <fill>
        <patternFill>
          <bgColor theme="1" tint="4.9989318521683403E-2"/>
        </patternFill>
      </fill>
    </dxf>
    <dxf>
      <fill>
        <patternFill>
          <bgColor rgb="FFFFFF9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ont>
        <color auto="1"/>
      </font>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auto="1"/>
      </font>
      <fill>
        <patternFill>
          <bgColor theme="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ont>
        <color theme="0" tint="-0.34998626667073579"/>
      </font>
      <fill>
        <patternFill>
          <bgColor theme="0" tint="-0.34998626667073579"/>
        </patternFill>
      </fill>
    </dxf>
    <dxf>
      <fill>
        <patternFill>
          <bgColor theme="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24994659260841701"/>
      </font>
      <fill>
        <patternFill>
          <bgColor theme="0" tint="-0.24994659260841701"/>
        </patternFill>
      </fill>
    </dxf>
    <dxf>
      <font>
        <color theme="0" tint="-0.34998626667073579"/>
      </font>
      <fill>
        <patternFill>
          <bgColor theme="0" tint="-0.34998626667073579"/>
        </patternFill>
      </fill>
    </dxf>
    <dxf>
      <fill>
        <patternFill>
          <bgColor rgb="FFFF0000"/>
        </patternFill>
      </fill>
    </dxf>
    <dxf>
      <font>
        <color theme="1" tint="0.499984740745262"/>
      </font>
      <fill>
        <patternFill>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dxf>
    <dxf>
      <font>
        <color theme="0" tint="-0.499984740745262"/>
      </font>
      <fill>
        <patternFill>
          <bgColor theme="0" tint="-0.499984740745262"/>
        </patternFill>
      </fill>
    </dxf>
    <dxf>
      <font>
        <color theme="1" tint="0.499984740745262"/>
      </font>
      <fill>
        <patternFill>
          <bgColor theme="3"/>
        </patternFill>
      </fill>
    </dxf>
    <dxf>
      <font>
        <color theme="1" tint="0.499984740745262"/>
      </font>
      <fill>
        <patternFill>
          <bgColor theme="3"/>
        </patternFill>
      </fill>
    </dxf>
    <dxf>
      <font>
        <color theme="0" tint="-0.499984740745262"/>
      </font>
      <fill>
        <patternFill>
          <bgColor theme="0" tint="-0.499984740745262"/>
        </patternFill>
      </fill>
    </dxf>
    <dxf>
      <font>
        <color theme="1"/>
      </font>
      <fill>
        <patternFill>
          <bgColor theme="0" tint="-0.14996795556505021"/>
        </patternFill>
      </fill>
    </dxf>
    <dxf>
      <fill>
        <patternFill>
          <bgColor rgb="FFFF0000"/>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24994659260841701"/>
      </font>
      <fill>
        <patternFill>
          <fgColor theme="0" tint="-0.24994659260841701"/>
          <bgColor theme="0" tint="-0.24994659260841701"/>
        </patternFill>
      </fill>
    </dxf>
    <dxf>
      <font>
        <color theme="0" tint="-0.499984740745262"/>
      </font>
      <fill>
        <patternFill>
          <bgColor theme="0" tint="-0.499984740745262"/>
        </patternFill>
      </fill>
    </dxf>
    <dxf>
      <fill>
        <patternFill>
          <bgColor theme="0"/>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ont>
        <color theme="1"/>
      </font>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24994659260841701"/>
      </font>
      <fill>
        <patternFill>
          <bgColor theme="0" tint="-0.2499465926084170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24994659260841701"/>
      </font>
      <fill>
        <patternFill>
          <fgColor theme="0" tint="-0.24994659260841701"/>
          <bgColor theme="0" tint="-0.24994659260841701"/>
        </patternFill>
      </fill>
    </dxf>
    <dxf>
      <font>
        <color theme="1" tint="0.499984740745262"/>
      </font>
      <fill>
        <patternFill>
          <bgColor theme="1" tint="0.499984740745262"/>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fgColor theme="2" tint="-0.24994659260841701"/>
          <bgColor theme="0" tint="-0.499984740745262"/>
        </patternFill>
      </fill>
    </dxf>
    <dxf>
      <font>
        <color theme="0" tint="-0.499984740745262"/>
      </font>
      <fill>
        <patternFill>
          <fgColor theme="0" tint="-0.499984740745262"/>
          <bgColor theme="0" tint="-0.499984740745262"/>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theme="1"/>
      </font>
    </dxf>
    <dxf>
      <fill>
        <patternFill>
          <bgColor rgb="FFFF0000"/>
        </patternFill>
      </fill>
    </dxf>
    <dxf>
      <fill>
        <patternFill patternType="solid">
          <bgColor theme="0"/>
        </patternFill>
      </fill>
    </dxf>
    <dxf>
      <font>
        <color theme="0" tint="-0.24994659260841701"/>
      </font>
      <fill>
        <patternFill>
          <bgColor theme="0" tint="-0.24994659260841701"/>
        </patternFill>
      </fill>
    </dxf>
    <dxf>
      <font>
        <color theme="0" tint="-0.24994659260841701"/>
      </font>
      <fill>
        <patternFill>
          <fgColor theme="0" tint="-0.24994659260841701"/>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border>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auto="1"/>
      </font>
      <fill>
        <patternFill>
          <bgColor theme="0"/>
        </patternFill>
      </fill>
    </dxf>
    <dxf>
      <font>
        <color theme="0" tint="-0.24994659260841701"/>
      </font>
      <fill>
        <patternFill>
          <bgColor theme="0" tint="-0.24994659260841701"/>
        </patternFill>
      </fill>
    </dxf>
    <dxf>
      <font>
        <color auto="1"/>
      </font>
      <fill>
        <patternFill>
          <bgColor rgb="FFFF0000"/>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rgb="FFFF0000"/>
        </patternFill>
      </fill>
    </dxf>
    <dxf>
      <fill>
        <patternFill>
          <bgColor theme="0"/>
        </patternFill>
      </fill>
    </dxf>
    <dxf>
      <fill>
        <patternFill>
          <bgColor rgb="FFFF0000"/>
        </patternFill>
      </fill>
    </dxf>
    <dxf>
      <font>
        <color theme="0" tint="-0.499984740745262"/>
      </font>
      <fill>
        <patternFill>
          <bgColor theme="0" tint="-0.499984740745262"/>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ont>
        <color theme="1"/>
      </font>
      <fill>
        <patternFill>
          <bgColor theme="0"/>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theme="0"/>
        </patternFill>
      </fill>
    </dxf>
    <dxf>
      <font>
        <color theme="0" tint="-0.499984740745262"/>
      </font>
      <fill>
        <patternFill>
          <bgColor theme="0" tint="-0.499984740745262"/>
        </patternFill>
      </fill>
    </dxf>
    <dxf>
      <font>
        <color theme="0" tint="-0.24994659260841701"/>
      </font>
      <fill>
        <patternFill>
          <bgColor theme="0" tint="-0.24994659260841701"/>
        </patternFill>
      </fill>
    </dxf>
    <dxf>
      <fill>
        <patternFill>
          <bgColor rgb="FFFF0000"/>
        </patternFill>
      </fill>
    </dxf>
    <dxf>
      <font>
        <color theme="1"/>
      </font>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fgColor theme="0" tint="-0.24994659260841701"/>
          <bgColor theme="0" tint="-0.24994659260841701"/>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rgb="FFFF0000"/>
      </font>
      <fill>
        <patternFill>
          <bgColor rgb="FFFFFF66"/>
        </patternFill>
      </fill>
    </dxf>
    <dxf>
      <fill>
        <patternFill>
          <bgColor rgb="FFFF0000"/>
        </patternFill>
      </fill>
    </dxf>
    <dxf>
      <font>
        <color theme="0" tint="-0.499984740745262"/>
      </font>
      <fill>
        <patternFill>
          <bgColor theme="0" tint="-0.499984740745262"/>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3"/>
        </patternFill>
      </fill>
    </dxf>
    <dxf>
      <font>
        <color theme="0" tint="-0.24994659260841701"/>
      </font>
      <fill>
        <patternFill>
          <bgColor theme="0" tint="-0.24994659260841701"/>
        </patternFill>
      </fill>
    </dxf>
    <dxf>
      <fill>
        <patternFill>
          <bgColor rgb="FFFF0000"/>
        </patternFill>
      </fill>
    </dxf>
    <dxf>
      <font>
        <color theme="1"/>
      </font>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ill>
        <patternFill>
          <bgColor theme="0" tint="-0.24994659260841701"/>
        </patternFill>
      </fill>
    </dxf>
    <dxf>
      <fill>
        <patternFill>
          <bgColor theme="0"/>
        </patternFill>
      </fill>
    </dxf>
    <dxf>
      <font>
        <color theme="2"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font>
      <fill>
        <patternFill>
          <bgColor theme="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1"/>
      </font>
      <fill>
        <patternFill>
          <bgColor rgb="FFFF0000"/>
        </patternFill>
      </fill>
    </dxf>
    <dxf>
      <font>
        <color auto="1"/>
      </font>
      <fill>
        <patternFill>
          <bgColor rgb="FFFF0000"/>
        </patternFill>
      </fill>
    </dxf>
    <dxf>
      <font>
        <color theme="1" tint="0.499984740745262"/>
      </font>
      <fill>
        <patternFill>
          <bgColor theme="1" tint="0.499984740745262"/>
        </patternFill>
      </fill>
    </dxf>
    <dxf>
      <font>
        <color theme="0" tint="-0.499984740745262"/>
      </font>
      <fill>
        <patternFill>
          <bgColor theme="0" tint="-0.499984740745262"/>
        </patternFill>
      </fill>
    </dxf>
    <dxf>
      <fill>
        <patternFill>
          <bgColor theme="0"/>
        </patternFill>
      </fill>
    </dxf>
    <dxf>
      <fill>
        <patternFill>
          <bgColor rgb="FFFF0000"/>
        </patternFill>
      </fill>
    </dxf>
    <dxf>
      <font>
        <color theme="0" tint="-0.24994659260841701"/>
      </font>
      <fill>
        <patternFill>
          <bgColor theme="0" tint="-0.2499465926084170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FF0000"/>
      </font>
      <fill>
        <patternFill>
          <bgColor rgb="FFFFFF6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font>
      <fill>
        <patternFill>
          <bgColor theme="1" tint="4.9989318521683403E-2"/>
        </patternFill>
      </fill>
    </dxf>
    <dxf>
      <font>
        <color auto="1"/>
      </font>
      <fill>
        <patternFill>
          <bgColor rgb="FFFFFF99"/>
        </patternFill>
      </fill>
    </dxf>
    <dxf>
      <font>
        <color theme="0"/>
      </font>
      <fill>
        <patternFill>
          <bgColor theme="1" tint="4.9989318521683403E-2"/>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ont>
        <color theme="1"/>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theme="1"/>
      </font>
      <fill>
        <patternFill>
          <bgColor rgb="FFFF0000"/>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theme="0" tint="-0.14996795556505021"/>
        </patternFill>
      </fill>
    </dxf>
    <dxf>
      <font>
        <color theme="0" tint="-0.24994659260841701"/>
      </font>
      <fill>
        <patternFill>
          <bgColor theme="0" tint="-0.24994659260841701"/>
        </patternFill>
      </fill>
    </dxf>
    <dxf>
      <font>
        <color auto="1"/>
      </font>
      <fill>
        <patternFill>
          <bgColor rgb="FFFF0000"/>
        </patternFill>
      </fill>
    </dxf>
    <dxf>
      <font>
        <color theme="0" tint="-0.24994659260841701"/>
      </font>
      <fill>
        <patternFill>
          <bgColor theme="0" tint="-0.24994659260841701"/>
        </patternFill>
      </fill>
    </dxf>
    <dxf>
      <fill>
        <patternFill>
          <bgColor theme="0"/>
        </patternFill>
      </fill>
    </dxf>
    <dxf>
      <fill>
        <patternFill>
          <bgColor theme="0"/>
        </patternFill>
      </fill>
    </dxf>
    <dxf>
      <font>
        <color theme="0" tint="-0.24994659260841701"/>
      </font>
      <fill>
        <patternFill>
          <bgColor theme="0" tint="-0.24994659260841701"/>
        </patternFill>
      </fill>
    </dxf>
    <dxf>
      <font>
        <color theme="0" tint="-0.499984740745262"/>
      </font>
      <fill>
        <patternFill>
          <bgColor theme="0" tint="-0.499984740745262"/>
        </patternFill>
      </fill>
    </dxf>
    <dxf>
      <fill>
        <patternFill>
          <bgColor theme="0"/>
        </patternFill>
      </fill>
    </dxf>
    <dxf>
      <fill>
        <patternFill>
          <bgColor rgb="FFFF0000"/>
        </patternFill>
      </fill>
    </dxf>
    <dxf>
      <fill>
        <patternFill>
          <bgColor rgb="FFFF0000"/>
        </patternFill>
      </fill>
    </dxf>
    <dxf>
      <font>
        <color auto="1"/>
      </font>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24994659260841701"/>
      </font>
      <fill>
        <patternFill>
          <bgColor theme="0" tint="-0.24994659260841701"/>
        </patternFill>
      </fill>
    </dxf>
    <dxf>
      <font>
        <color theme="0" tint="-0.499984740745262"/>
      </font>
      <fill>
        <patternFill>
          <bgColor theme="0" tint="-0.499984740745262"/>
        </patternFill>
      </fill>
    </dxf>
    <dxf>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theme="0"/>
        </patternFill>
      </fill>
    </dxf>
    <dxf>
      <fill>
        <patternFill>
          <bgColor rgb="FFFF0000"/>
        </patternFill>
      </fill>
    </dxf>
    <dxf>
      <font>
        <color auto="1"/>
      </font>
      <fill>
        <patternFill>
          <bgColor rgb="FFFF0000"/>
        </patternFill>
      </fill>
    </dxf>
    <dxf>
      <font>
        <color theme="0" tint="-0.24994659260841701"/>
      </font>
      <fill>
        <patternFill>
          <bgColor theme="0" tint="-0.24994659260841701"/>
        </patternFill>
      </fill>
    </dxf>
    <dxf>
      <font>
        <color theme="0" tint="-0.499984740745262"/>
      </font>
      <fill>
        <patternFill>
          <bgColor theme="0" tint="-0.499984740745262"/>
        </patternFill>
      </fill>
    </dxf>
    <dxf>
      <fill>
        <patternFill>
          <bgColor theme="0"/>
        </patternFill>
      </fill>
    </dxf>
    <dxf>
      <font>
        <color theme="0" tint="-0.499984740745262"/>
      </font>
      <fill>
        <patternFill>
          <bgColor theme="0" tint="-0.499984740745262"/>
        </patternFill>
      </fill>
    </dxf>
    <dxf>
      <fill>
        <patternFill>
          <bgColor theme="0"/>
        </patternFill>
      </fill>
    </dxf>
    <dxf>
      <fill>
        <patternFill>
          <bgColor rgb="FFFF0000"/>
        </patternFill>
      </fill>
    </dxf>
    <dxf>
      <fill>
        <patternFill>
          <bgColor theme="0"/>
        </patternFill>
      </fill>
    </dxf>
    <dxf>
      <fill>
        <patternFill>
          <bgColor theme="0"/>
        </patternFill>
      </fill>
    </dxf>
    <dxf>
      <font>
        <color theme="1"/>
      </font>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0000"/>
        </patternFill>
      </fill>
    </dxf>
    <dxf>
      <fill>
        <patternFill>
          <bgColor rgb="FFFF0000"/>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ont>
        <color theme="1"/>
      </font>
      <fill>
        <patternFill>
          <bgColor theme="0"/>
        </patternFill>
      </fill>
    </dxf>
    <dxf>
      <font>
        <color theme="0" tint="-0.24994659260841701"/>
      </font>
      <fill>
        <patternFill>
          <bgColor theme="0" tint="-0.24994659260841701"/>
        </patternFill>
      </fill>
    </dxf>
    <dxf>
      <fill>
        <patternFill>
          <bgColor theme="0"/>
        </patternFill>
      </fill>
    </dxf>
    <dxf>
      <font>
        <color theme="0" tint="-0.499984740745262"/>
      </font>
      <fill>
        <patternFill>
          <bgColor theme="0" tint="-0.499984740745262"/>
        </patternFill>
      </fill>
    </dxf>
    <dxf>
      <font>
        <color auto="1"/>
      </font>
      <fill>
        <patternFill>
          <bgColor rgb="FFFF0000"/>
        </patternFill>
      </fill>
    </dxf>
    <dxf>
      <font>
        <color auto="1"/>
      </font>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ill>
        <patternFill>
          <bgColor theme="0"/>
        </patternFill>
      </fill>
    </dxf>
    <dxf>
      <font>
        <color theme="0" tint="-0.499984740745262"/>
      </font>
      <fill>
        <patternFill>
          <bgColor theme="0" tint="-0.499984740745262"/>
        </patternFill>
      </fill>
    </dxf>
    <dxf>
      <font>
        <color auto="1"/>
      </font>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0000"/>
        </patternFill>
      </fill>
    </dxf>
    <dxf>
      <fill>
        <patternFill>
          <bgColor rgb="FFFF0000"/>
        </patternFill>
      </fill>
    </dxf>
    <dxf>
      <font>
        <color theme="0" tint="-0.499984740745262"/>
      </font>
      <fill>
        <patternFill>
          <bgColor theme="0" tint="-0.499984740745262"/>
        </patternFill>
      </fill>
    </dxf>
    <dxf>
      <fill>
        <patternFill>
          <bgColor theme="0"/>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fgColor theme="0" tint="-0.24994659260841701"/>
          <bgColor theme="0" tint="-0.24994659260841701"/>
        </patternFill>
      </fill>
    </dxf>
    <dxf>
      <font>
        <color theme="0" tint="-0.499984740745262"/>
      </font>
      <fill>
        <patternFill>
          <bgColor theme="0" tint="-0.499984740745262"/>
        </patternFill>
      </fill>
    </dxf>
    <dxf>
      <fill>
        <patternFill>
          <bgColor theme="0"/>
        </patternFill>
      </fill>
    </dxf>
    <dxf>
      <font>
        <color theme="1"/>
      </font>
      <fill>
        <patternFill>
          <bgColor rgb="FFFF0000"/>
        </patternFill>
      </fill>
    </dxf>
    <dxf>
      <fill>
        <patternFill>
          <bgColor rgb="FFFF0000"/>
        </patternFill>
      </fill>
    </dxf>
    <dxf>
      <fill>
        <patternFill>
          <bgColor theme="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fill>
        <patternFill>
          <bgColor theme="0" tint="-0.24994659260841701"/>
        </patternFill>
      </fill>
    </dxf>
    <dxf>
      <fill>
        <patternFill>
          <bgColor rgb="FFFF0000"/>
        </patternFill>
      </fill>
    </dxf>
    <dxf>
      <font>
        <color theme="1"/>
      </font>
      <fill>
        <patternFill>
          <bgColor theme="0"/>
        </patternFill>
      </fill>
    </dxf>
    <dxf>
      <fill>
        <patternFill>
          <bgColor theme="0"/>
        </patternFill>
      </fill>
    </dxf>
    <dxf>
      <fill>
        <patternFill>
          <bgColor rgb="FFFF0000"/>
        </patternFill>
      </fill>
    </dxf>
    <dxf>
      <font>
        <color theme="0" tint="-0.499984740745262"/>
      </font>
      <fill>
        <patternFill>
          <bgColor theme="0" tint="-0.499984740745262"/>
        </patternFill>
      </fill>
    </dxf>
    <dxf>
      <font>
        <color theme="0" tint="-0.24994659260841701"/>
      </font>
      <fill>
        <patternFill>
          <bgColor theme="0" tint="-0.24994659260841701"/>
        </patternFill>
      </fill>
    </dxf>
    <dxf>
      <fill>
        <patternFill>
          <bgColor rgb="FFFF0000"/>
        </patternFill>
      </fill>
    </dxf>
    <dxf>
      <fill>
        <patternFill>
          <bgColor theme="0"/>
        </patternFill>
      </fill>
    </dxf>
    <dxf>
      <font>
        <color theme="0" tint="-0.499984740745262"/>
      </font>
      <fill>
        <patternFill>
          <bgColor theme="0" tint="-0.499984740745262"/>
        </patternFill>
      </fill>
    </dxf>
    <dxf>
      <fill>
        <patternFill>
          <bgColor theme="0"/>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ont>
        <color theme="1"/>
      </font>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patternType="solid">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color theme="0" tint="-0.499984740745262"/>
      </font>
      <fill>
        <patternFill>
          <bgColor theme="0" tint="-0.499984740745262"/>
        </patternFill>
      </fill>
    </dxf>
    <dxf>
      <font>
        <color theme="1"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499984740745262"/>
      </font>
      <fill>
        <patternFill>
          <fgColor theme="0" tint="-0.499984740745262"/>
          <bgColor theme="0" tint="-0.499984740745262"/>
        </patternFill>
      </fill>
    </dxf>
    <dxf>
      <font>
        <color theme="1"/>
      </font>
      <fill>
        <patternFill>
          <bgColor rgb="FFFFFF66"/>
        </patternFill>
      </fill>
    </dxf>
    <dxf>
      <font>
        <color theme="1"/>
      </font>
      <fill>
        <patternFill>
          <bgColor rgb="FFFFFF66"/>
        </patternFill>
      </fill>
    </dxf>
    <dxf>
      <font>
        <color auto="1"/>
      </font>
      <fill>
        <patternFill>
          <bgColor rgb="FFFFFF6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font>
      <fill>
        <patternFill>
          <bgColor theme="0" tint="-0.14996795556505021"/>
        </patternFill>
      </fill>
    </dxf>
    <dxf>
      <font>
        <color theme="0" tint="-0.499984740745262"/>
      </font>
      <fill>
        <patternFill>
          <bgColor theme="0" tint="-0.499984740745262"/>
        </patternFill>
      </fill>
    </dxf>
    <dxf>
      <font>
        <color theme="0" tint="-0.24994659260841701"/>
      </font>
      <fill>
        <patternFill>
          <bgColor theme="0" tint="-0.24994659260841701"/>
        </patternFill>
      </fill>
    </dxf>
    <dxf>
      <fill>
        <patternFill>
          <bgColor rgb="FFFF0000"/>
        </patternFill>
      </fill>
    </dxf>
    <dxf>
      <fill>
        <patternFill>
          <bgColor theme="0"/>
        </patternFill>
      </fill>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ont>
        <color theme="1"/>
      </font>
      <fill>
        <patternFill>
          <bgColor rgb="FFFF0000"/>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bgColor theme="0"/>
        </patternFill>
      </fill>
    </dxf>
    <dxf>
      <fill>
        <patternFill>
          <bgColor theme="0" tint="-0.34998626667073579"/>
        </patternFill>
      </fill>
    </dxf>
    <dxf>
      <font>
        <color theme="1"/>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auto="1"/>
      </font>
      <fill>
        <patternFill>
          <bgColor theme="0" tint="-0.14996795556505021"/>
        </patternFill>
      </fill>
    </dxf>
    <dxf>
      <fill>
        <patternFill>
          <bgColor theme="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fgColor theme="0"/>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bgColor theme="0" tint="-0.34998626667073579"/>
        </patternFill>
      </fill>
    </dxf>
    <dxf>
      <fill>
        <patternFill>
          <bgColor theme="0" tint="-0.34998626667073579"/>
        </patternFill>
      </fill>
    </dxf>
    <dxf>
      <fill>
        <patternFill>
          <bgColor theme="0"/>
        </patternFill>
      </fill>
    </dxf>
    <dxf>
      <fill>
        <patternFill>
          <bgColor rgb="FFFF0000"/>
        </patternFill>
      </fill>
    </dxf>
    <dxf>
      <font>
        <color theme="1"/>
      </font>
      <fill>
        <patternFill>
          <bgColor theme="0"/>
        </patternFill>
      </fill>
    </dxf>
    <dxf>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34998626667073579"/>
      </font>
      <fill>
        <patternFill>
          <fgColor auto="1"/>
          <bgColor theme="0" tint="-0.34998626667073579"/>
        </patternFill>
      </fill>
    </dxf>
    <dxf>
      <fill>
        <patternFill>
          <bgColor rgb="FFFF0000"/>
        </patternFill>
      </fill>
    </dxf>
    <dxf>
      <fill>
        <patternFill>
          <bgColor rgb="FFFF0000"/>
        </patternFill>
      </fill>
    </dxf>
    <dxf>
      <font>
        <color theme="0" tint="-0.34998626667073579"/>
      </font>
      <fill>
        <patternFill>
          <bgColor theme="0" tint="-0.34998626667073579"/>
        </patternFill>
      </fill>
    </dxf>
    <dxf>
      <font>
        <color theme="0" tint="-0.34998626667073579"/>
      </font>
      <fill>
        <patternFill patternType="solid">
          <bgColor theme="0" tint="-0.34998626667073579"/>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rgb="FFFF0000"/>
      </font>
      <fill>
        <patternFill>
          <bgColor rgb="FFFFFF00"/>
        </patternFill>
      </fill>
    </dxf>
    <dxf>
      <fill>
        <patternFill>
          <bgColor rgb="FFFF0000"/>
        </patternFill>
      </fill>
    </dxf>
    <dxf>
      <fill>
        <patternFill>
          <bgColor theme="0" tint="-0.34998626667073579"/>
        </patternFill>
      </fill>
    </dxf>
    <dxf>
      <fill>
        <patternFill>
          <bgColor theme="0" tint="-0.34998626667073579"/>
        </patternFill>
      </fill>
    </dxf>
    <dxf>
      <font>
        <color theme="1"/>
      </font>
      <fill>
        <patternFill>
          <bgColor theme="0"/>
        </patternFill>
      </fill>
    </dxf>
    <dxf>
      <font>
        <color theme="0" tint="-0.34998626667073579"/>
      </font>
      <fill>
        <patternFill>
          <bgColor theme="0" tint="-0.34998626667073579"/>
        </patternFill>
      </fill>
    </dxf>
    <dxf>
      <fill>
        <patternFill>
          <bgColor theme="0"/>
        </patternFill>
      </fill>
    </dxf>
    <dxf>
      <fill>
        <patternFill>
          <bgColor theme="0" tint="-0.34998626667073579"/>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fgColor auto="1"/>
          <bgColor theme="0" tint="-0.34998626667073579"/>
        </patternFill>
      </fill>
    </dxf>
    <dxf>
      <fill>
        <patternFill>
          <bgColor rgb="FFFF0000"/>
        </patternFill>
      </fill>
    </dxf>
    <dxf>
      <font>
        <color theme="1"/>
      </font>
      <fill>
        <patternFill>
          <bgColor theme="0"/>
        </patternFill>
      </fill>
    </dxf>
    <dxf>
      <fill>
        <patternFill>
          <bgColor rgb="FFFF0000"/>
        </patternFill>
      </fill>
    </dxf>
    <dxf>
      <font>
        <color theme="0" tint="-0.34998626667073579"/>
      </font>
      <fill>
        <patternFill>
          <bgColor theme="0" tint="-0.34998626667073579"/>
        </patternFill>
      </fill>
    </dxf>
    <dxf>
      <font>
        <color rgb="FFFF0000"/>
      </font>
      <fill>
        <patternFill>
          <bgColor rgb="FFFFFF00"/>
        </patternFill>
      </fill>
    </dxf>
    <dxf>
      <fill>
        <patternFill>
          <bgColor rgb="FFFF0000"/>
        </patternFill>
      </fill>
    </dxf>
    <dxf>
      <fill>
        <patternFill>
          <bgColor rgb="FFFF0000"/>
        </patternFill>
      </fill>
    </dxf>
    <dxf>
      <fill>
        <patternFill>
          <bgColor rgb="FFFF0000"/>
        </patternFill>
      </fill>
    </dxf>
    <dxf>
      <font>
        <color auto="1"/>
      </font>
      <fill>
        <patternFill>
          <bgColor rgb="FFFFFF99"/>
        </patternFill>
      </fill>
    </dxf>
    <dxf>
      <font>
        <color theme="0"/>
      </font>
      <fill>
        <patternFill>
          <bgColor theme="1" tint="4.9989318521683403E-2"/>
        </patternFill>
      </fill>
    </dxf>
    <dxf>
      <fill>
        <patternFill>
          <bgColor rgb="FFFFFF99"/>
        </patternFill>
      </fill>
    </dxf>
    <dxf>
      <font>
        <color theme="0"/>
      </font>
      <fill>
        <patternFill>
          <bgColor theme="1" tint="4.9989318521683403E-2"/>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0"/>
        </patternFill>
      </fill>
    </dxf>
    <dxf>
      <fill>
        <patternFill>
          <bgColor theme="0"/>
        </patternFill>
      </fill>
    </dxf>
    <dxf>
      <font>
        <color theme="0" tint="-0.34998626667073579"/>
      </font>
      <fill>
        <patternFill>
          <bgColor theme="0" tint="-0.34998626667073579"/>
        </patternFill>
      </fill>
    </dxf>
    <dxf>
      <fill>
        <patternFill>
          <bgColor theme="0" tint="-0.34998626667073579"/>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0" tint="-0.34998626667073579"/>
        </patternFill>
      </fill>
    </dxf>
    <dxf>
      <font>
        <color theme="1"/>
      </font>
      <fill>
        <patternFill>
          <bgColor rgb="FFFF0000"/>
        </patternFill>
      </fill>
    </dxf>
    <dxf>
      <font>
        <color theme="0" tint="-0.34998626667073579"/>
      </font>
      <fill>
        <patternFill>
          <bgColor theme="0" tint="-0.34998626667073579"/>
        </patternFill>
      </fill>
    </dxf>
    <dxf>
      <font>
        <color theme="1"/>
      </font>
      <fill>
        <patternFill>
          <bgColor theme="0" tint="-0.14996795556505021"/>
        </patternFill>
      </fill>
    </dxf>
    <dxf>
      <fill>
        <patternFill>
          <bgColor rgb="FFFF0000"/>
        </patternFill>
      </fill>
    </dxf>
    <dxf>
      <fill>
        <patternFill>
          <bgColor rgb="FFFF0000"/>
        </patternFill>
      </fill>
    </dxf>
    <dxf>
      <fill>
        <patternFill>
          <bgColor rgb="FFFF0000"/>
        </patternFill>
      </fill>
    </dxf>
    <dxf>
      <font>
        <color auto="1"/>
      </font>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6" tint="0.79998168889431442"/>
        </patternFill>
      </fill>
    </dxf>
    <dxf>
      <font>
        <color theme="0" tint="-0.34998626667073579"/>
      </font>
      <fill>
        <patternFill>
          <bgColor theme="0" tint="-0.34998626667073579"/>
        </patternFill>
      </fill>
    </dxf>
    <dxf>
      <fill>
        <patternFill>
          <fgColor auto="1"/>
          <bgColor rgb="FFFF0000"/>
        </patternFill>
      </fill>
    </dxf>
    <dxf>
      <font>
        <color theme="0" tint="-0.34998626667073579"/>
      </font>
      <fill>
        <patternFill>
          <bgColor theme="0" tint="-0.34998626667073579"/>
        </patternFill>
      </fill>
    </dxf>
    <dxf>
      <font>
        <color theme="1"/>
      </font>
      <fill>
        <patternFill>
          <bgColor rgb="FFFF0000"/>
        </patternFill>
      </fill>
    </dxf>
    <dxf>
      <fill>
        <patternFill>
          <bgColor rgb="FFFF0000"/>
        </patternFill>
      </fill>
    </dxf>
    <dxf>
      <fill>
        <patternFill>
          <bgColor rgb="FFFF0000"/>
        </patternFill>
      </fill>
    </dxf>
    <dxf>
      <font>
        <color theme="0" tint="-0.34998626667073579"/>
      </font>
      <fill>
        <patternFill>
          <bgColor theme="0" tint="-0.34998626667073579"/>
        </patternFill>
      </fill>
    </dxf>
    <dxf>
      <font>
        <color theme="1"/>
      </font>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2" tint="-0.24994659260841701"/>
      </font>
      <fill>
        <patternFill>
          <bgColor theme="2"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theme="0" tint="-0.24994659260841701"/>
      </font>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1" tint="0.499984740745262"/>
      </font>
      <fill>
        <patternFill>
          <bgColor theme="3"/>
        </patternFill>
      </fill>
    </dxf>
    <dxf>
      <font>
        <color theme="0" tint="-0.34998626667073579"/>
      </font>
      <fill>
        <patternFill>
          <bgColor theme="0" tint="-0.34998626667073579"/>
        </patternFill>
      </fill>
    </dxf>
    <dxf>
      <fill>
        <patternFill>
          <bgColor theme="7" tint="0.79998168889431442"/>
        </patternFill>
      </fill>
    </dxf>
    <dxf>
      <fill>
        <patternFill>
          <bgColor rgb="FFFF000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auto="1"/>
      </font>
      <fill>
        <patternFill>
          <bgColor theme="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ont>
        <color theme="1"/>
      </font>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24994659260841701"/>
      </font>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14996795556505021"/>
      </font>
      <fill>
        <patternFill>
          <bgColor theme="0" tint="-0.1499679555650502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strike val="0"/>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ont>
        <color theme="0" tint="-0.499984740745262"/>
      </font>
      <fill>
        <patternFill>
          <bgColor theme="0" tint="-0.499984740745262"/>
        </patternFill>
      </fill>
    </dxf>
    <dxf>
      <fill>
        <patternFill>
          <bgColor theme="0"/>
        </patternFill>
      </fill>
    </dxf>
    <dxf>
      <fill>
        <patternFill>
          <bgColor theme="0"/>
        </patternFill>
      </fill>
    </dxf>
    <dxf>
      <font>
        <color theme="0" tint="-0.499984740745262"/>
      </font>
      <fill>
        <patternFill>
          <bgColor theme="0" tint="-0.49998474074526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theme="0" tint="-0.499984740745262"/>
      </font>
      <fill>
        <patternFill>
          <bgColor theme="0" tint="-0.499984740745262"/>
        </patternFill>
      </fill>
    </dxf>
    <dxf>
      <font>
        <color rgb="FFFF0000"/>
      </font>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0000"/>
        </patternFill>
      </fill>
    </dxf>
    <dxf>
      <fill>
        <patternFill>
          <bgColor theme="0"/>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ont>
        <color theme="0" tint="-0.499984740745262"/>
      </font>
      <fill>
        <patternFill>
          <bgColor theme="0" tint="-0.499984740745262"/>
        </patternFill>
      </fill>
    </dxf>
    <dxf>
      <fill>
        <patternFill>
          <bgColor rgb="FFFF0000"/>
        </patternFill>
      </fill>
    </dxf>
    <dxf>
      <font>
        <color rgb="FFFF0000"/>
      </font>
      <fill>
        <patternFill>
          <bgColor rgb="FFFFFF00"/>
        </patternFill>
      </fill>
    </dxf>
    <dxf>
      <fill>
        <patternFill>
          <bgColor rgb="FFFF0000"/>
        </patternFill>
      </fill>
    </dxf>
    <dxf>
      <fill>
        <patternFill>
          <bgColor rgb="FFFF0000"/>
        </patternFill>
      </fill>
    </dxf>
    <dxf>
      <font>
        <color theme="0"/>
      </font>
      <fill>
        <patternFill>
          <bgColor theme="1" tint="4.9989318521683403E-2"/>
        </patternFill>
      </fill>
    </dxf>
    <dxf>
      <font>
        <color auto="1"/>
      </font>
      <fill>
        <patternFill>
          <bgColor rgb="FFFFFF99"/>
        </patternFill>
      </fill>
    </dxf>
    <dxf>
      <font>
        <color theme="0" tint="-0.499984740745262"/>
      </font>
      <fill>
        <patternFill>
          <bgColor theme="0" tint="-0.499984740745262"/>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499984740745262"/>
      </font>
      <fill>
        <patternFill>
          <bgColor theme="0" tint="-0.499984740745262"/>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0" tint="-0.499984740745262"/>
        </patternFill>
      </fill>
    </dxf>
    <dxf>
      <fill>
        <patternFill>
          <bgColor rgb="FFFF0000"/>
        </patternFill>
      </fill>
    </dxf>
    <dxf>
      <font>
        <color theme="0" tint="-0.499984740745262"/>
      </font>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rgb="FFFF0000"/>
        </patternFill>
      </fill>
    </dxf>
    <dxf>
      <font>
        <color auto="1"/>
      </font>
      <fill>
        <patternFill>
          <bgColor theme="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s>
  <tableStyles count="0" defaultTableStyle="TableStyleMedium9" defaultPivotStyle="PivotStyleLight16"/>
  <colors>
    <mruColors>
      <color rgb="FFF4A6DE"/>
      <color rgb="FFCCFFFF"/>
      <color rgb="FFFFFF99"/>
      <color rgb="FFFFFF66"/>
      <color rgb="FF00FE00"/>
      <color rgb="FFCBDCFD"/>
      <color rgb="FFCCFFCC"/>
      <color rgb="FFFFFFCC"/>
      <color rgb="FFFFEBFF"/>
      <color rgb="FF89A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pa-solution.net/daj/bs/faq/Detail.aspx?id=7179" TargetMode="External"/></Relationships>
</file>

<file path=xl/drawings/drawing1.xml><?xml version="1.0" encoding="utf-8"?>
<xdr:wsDr xmlns:xdr="http://schemas.openxmlformats.org/drawingml/2006/spreadsheetDrawing" xmlns:a="http://schemas.openxmlformats.org/drawingml/2006/main">
  <xdr:twoCellAnchor>
    <xdr:from>
      <xdr:col>100</xdr:col>
      <xdr:colOff>113507</xdr:colOff>
      <xdr:row>0</xdr:row>
      <xdr:rowOff>97632</xdr:rowOff>
    </xdr:from>
    <xdr:to>
      <xdr:col>115</xdr:col>
      <xdr:colOff>46805</xdr:colOff>
      <xdr:row>2</xdr:row>
      <xdr:rowOff>124359</xdr:rowOff>
    </xdr:to>
    <xdr:sp macro="" textlink="">
      <xdr:nvSpPr>
        <xdr:cNvPr id="2" name="正方形/長方形 1">
          <a:extLst>
            <a:ext uri="{FF2B5EF4-FFF2-40B4-BE49-F238E27FC236}">
              <a16:creationId xmlns:a16="http://schemas.microsoft.com/office/drawing/2014/main" id="{43D6DCDE-C321-4976-9B4A-E2CB1D248BF3}"/>
            </a:ext>
          </a:extLst>
        </xdr:cNvPr>
        <xdr:cNvSpPr/>
      </xdr:nvSpPr>
      <xdr:spPr>
        <a:xfrm>
          <a:off x="12019757" y="97632"/>
          <a:ext cx="1719236" cy="3601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en-US" altLang="ja-JP" sz="1400">
              <a:solidFill>
                <a:schemeClr val="bg1"/>
              </a:solidFill>
              <a:latin typeface="+mj-ea"/>
              <a:ea typeface="+mj-ea"/>
            </a:rPr>
            <a:t>2026-4-16 </a:t>
          </a:r>
          <a:r>
            <a:rPr kumimoji="1" lang="ja-JP" altLang="en-US" sz="1400">
              <a:solidFill>
                <a:schemeClr val="bg1"/>
              </a:solidFill>
            </a:rPr>
            <a:t>改訂</a:t>
          </a:r>
        </a:p>
      </xdr:txBody>
    </xdr:sp>
    <xdr:clientData/>
  </xdr:twoCellAnchor>
  <xdr:twoCellAnchor>
    <xdr:from>
      <xdr:col>1</xdr:col>
      <xdr:colOff>71437</xdr:colOff>
      <xdr:row>13</xdr:row>
      <xdr:rowOff>23812</xdr:rowOff>
    </xdr:from>
    <xdr:to>
      <xdr:col>56</xdr:col>
      <xdr:colOff>83343</xdr:colOff>
      <xdr:row>20</xdr:row>
      <xdr:rowOff>38100</xdr:rowOff>
    </xdr:to>
    <xdr:sp macro="" textlink="">
      <xdr:nvSpPr>
        <xdr:cNvPr id="5" name="テキスト ボックス 4">
          <a:extLst>
            <a:ext uri="{FF2B5EF4-FFF2-40B4-BE49-F238E27FC236}">
              <a16:creationId xmlns:a16="http://schemas.microsoft.com/office/drawing/2014/main" id="{A88A031E-56AA-4995-88CF-739F106D49AC}"/>
            </a:ext>
          </a:extLst>
        </xdr:cNvPr>
        <xdr:cNvSpPr txBox="1"/>
      </xdr:nvSpPr>
      <xdr:spPr bwMode="auto">
        <a:xfrm>
          <a:off x="190500" y="1571625"/>
          <a:ext cx="6560343"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1000">
              <a:latin typeface="ＭＳ Ｐ明朝" pitchFamily="18" charset="-128"/>
              <a:ea typeface="ＭＳ Ｐ明朝" pitchFamily="18" charset="-128"/>
            </a:rPr>
            <a:t>弊社製品のご購入に際しては、弊社にてお客様のライセンス発行および登録作業をさせていただきます。</a:t>
          </a:r>
          <a:endParaRPr kumimoji="1" lang="en-US" altLang="ja-JP" sz="1000">
            <a:latin typeface="ＭＳ Ｐ明朝" pitchFamily="18" charset="-128"/>
            <a:ea typeface="ＭＳ Ｐ明朝" pitchFamily="18" charset="-128"/>
          </a:endParaRPr>
        </a:p>
        <a:p>
          <a:r>
            <a:rPr kumimoji="1" lang="ja-JP" altLang="en-US" sz="1000">
              <a:latin typeface="ＭＳ Ｐ明朝" pitchFamily="18" charset="-128"/>
              <a:ea typeface="ＭＳ Ｐ明朝" pitchFamily="18" charset="-128"/>
            </a:rPr>
            <a:t>本申請書の個人情報に関する項目にご同意の上、本申請書</a:t>
          </a:r>
          <a:r>
            <a:rPr kumimoji="1" lang="en-US" altLang="ja-JP" sz="1000">
              <a:latin typeface="ＭＳ Ｐ明朝" pitchFamily="18" charset="-128"/>
              <a:ea typeface="ＭＳ Ｐ明朝" pitchFamily="18" charset="-128"/>
            </a:rPr>
            <a:t>(A</a:t>
          </a:r>
          <a:r>
            <a:rPr kumimoji="1" lang="ja-JP" altLang="en-US" sz="1000">
              <a:latin typeface="ＭＳ Ｐ明朝" pitchFamily="18" charset="-128"/>
              <a:ea typeface="ＭＳ Ｐ明朝" pitchFamily="18" charset="-128"/>
            </a:rPr>
            <a:t>表、</a:t>
          </a:r>
          <a:r>
            <a:rPr kumimoji="1" lang="en-US" altLang="ja-JP" sz="1000">
              <a:latin typeface="ＭＳ Ｐ明朝" pitchFamily="18" charset="-128"/>
              <a:ea typeface="ＭＳ Ｐ明朝" pitchFamily="18" charset="-128"/>
            </a:rPr>
            <a:t>B</a:t>
          </a:r>
          <a:r>
            <a:rPr kumimoji="1" lang="ja-JP" altLang="en-US" sz="1000">
              <a:latin typeface="ＭＳ Ｐ明朝" pitchFamily="18" charset="-128"/>
              <a:ea typeface="ＭＳ Ｐ明朝" pitchFamily="18" charset="-128"/>
            </a:rPr>
            <a:t>表</a:t>
          </a:r>
          <a:r>
            <a:rPr kumimoji="1" lang="en-US" altLang="ja-JP" sz="1000">
              <a:latin typeface="ＭＳ Ｐ明朝" pitchFamily="18" charset="-128"/>
              <a:ea typeface="ＭＳ Ｐ明朝" pitchFamily="18" charset="-128"/>
            </a:rPr>
            <a:t>)</a:t>
          </a:r>
          <a:r>
            <a:rPr kumimoji="1" lang="ja-JP" altLang="en-US" sz="1000">
              <a:latin typeface="ＭＳ Ｐ明朝" pitchFamily="18" charset="-128"/>
              <a:ea typeface="ＭＳ Ｐ明朝" pitchFamily="18" charset="-128"/>
            </a:rPr>
            <a:t>に必要事項をご記入のうえ、</a:t>
          </a:r>
          <a:endParaRPr kumimoji="1" lang="en-US" altLang="ja-JP" sz="1000">
            <a:latin typeface="ＭＳ Ｐ明朝" pitchFamily="18" charset="-128"/>
            <a:ea typeface="ＭＳ Ｐ明朝" pitchFamily="18" charset="-128"/>
          </a:endParaRPr>
        </a:p>
        <a:p>
          <a:r>
            <a:rPr kumimoji="1" lang="ja-JP" altLang="en-US" sz="1000">
              <a:latin typeface="ＭＳ Ｐ明朝" pitchFamily="18" charset="-128"/>
              <a:ea typeface="ＭＳ Ｐ明朝" pitchFamily="18" charset="-128"/>
            </a:rPr>
            <a:t>上記宛先までお送りいただけますようお願い申し上げます。</a:t>
          </a:r>
          <a:endParaRPr kumimoji="1" lang="en-US" altLang="ja-JP" sz="1000">
            <a:latin typeface="ＭＳ Ｐ明朝" pitchFamily="18" charset="-128"/>
            <a:ea typeface="ＭＳ Ｐ明朝" pitchFamily="18" charset="-128"/>
          </a:endParaRPr>
        </a:p>
        <a:p>
          <a:r>
            <a:rPr kumimoji="1" lang="ja-JP" altLang="en-US" sz="1000">
              <a:latin typeface="ＭＳ Ｐ明朝" pitchFamily="18" charset="-128"/>
              <a:ea typeface="ＭＳ Ｐ明朝" pitchFamily="18" charset="-128"/>
            </a:rPr>
            <a:t>正確さを期するため、できるだけ</a:t>
          </a:r>
          <a:r>
            <a:rPr kumimoji="1" lang="en-US" altLang="ja-JP" sz="1000">
              <a:latin typeface="ＭＳ Ｐ明朝" pitchFamily="18" charset="-128"/>
              <a:ea typeface="ＭＳ Ｐ明朝" pitchFamily="18" charset="-128"/>
            </a:rPr>
            <a:t>E-Mail</a:t>
          </a:r>
          <a:r>
            <a:rPr kumimoji="1" lang="ja-JP" altLang="en-US" sz="1000">
              <a:latin typeface="ＭＳ Ｐ明朝" pitchFamily="18" charset="-128"/>
              <a:ea typeface="ＭＳ Ｐ明朝" pitchFamily="18" charset="-128"/>
            </a:rPr>
            <a:t>でお願いいたします。</a:t>
          </a:r>
        </a:p>
        <a:p>
          <a:r>
            <a:rPr kumimoji="1" lang="ja-JP" altLang="en-US" sz="1000">
              <a:latin typeface="ＭＳ Ｐ明朝" pitchFamily="18" charset="-128"/>
              <a:ea typeface="ＭＳ Ｐ明朝" pitchFamily="18" charset="-128"/>
            </a:rPr>
            <a:t>当申請書の太枠欄以外のご記入は、お客様の任意となっております。</a:t>
          </a:r>
          <a:endParaRPr kumimoji="1" lang="en-US" altLang="ja-JP" sz="1000">
            <a:latin typeface="ＭＳ Ｐ明朝" pitchFamily="18" charset="-128"/>
            <a:ea typeface="ＭＳ Ｐ明朝" pitchFamily="18" charset="-128"/>
          </a:endParaRPr>
        </a:p>
        <a:p>
          <a:r>
            <a:rPr kumimoji="1" lang="ja-JP" altLang="en-US" sz="1000">
              <a:latin typeface="ＭＳ Ｐ明朝" pitchFamily="18" charset="-128"/>
              <a:ea typeface="ＭＳ Ｐ明朝" pitchFamily="18" charset="-128"/>
            </a:rPr>
            <a:t>ただしご記入いただけない場合、正常なサービスを提供できない可能性があります。</a:t>
          </a:r>
        </a:p>
      </xdr:txBody>
    </xdr:sp>
    <xdr:clientData/>
  </xdr:twoCellAnchor>
  <xdr:twoCellAnchor>
    <xdr:from>
      <xdr:col>57</xdr:col>
      <xdr:colOff>0</xdr:colOff>
      <xdr:row>23</xdr:row>
      <xdr:rowOff>1</xdr:rowOff>
    </xdr:from>
    <xdr:to>
      <xdr:col>113</xdr:col>
      <xdr:colOff>71439</xdr:colOff>
      <xdr:row>34</xdr:row>
      <xdr:rowOff>120651</xdr:rowOff>
    </xdr:to>
    <xdr:sp macro="" textlink="">
      <xdr:nvSpPr>
        <xdr:cNvPr id="6" name="テキスト ボックス 5">
          <a:extLst>
            <a:ext uri="{FF2B5EF4-FFF2-40B4-BE49-F238E27FC236}">
              <a16:creationId xmlns:a16="http://schemas.microsoft.com/office/drawing/2014/main" id="{494E61EA-062F-4058-ADA0-F668700C3A71}"/>
            </a:ext>
          </a:extLst>
        </xdr:cNvPr>
        <xdr:cNvSpPr txBox="1"/>
      </xdr:nvSpPr>
      <xdr:spPr bwMode="auto">
        <a:xfrm>
          <a:off x="6515100" y="2921001"/>
          <a:ext cx="6472239" cy="151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lang="ja-JP" altLang="ja-JP" sz="1000">
              <a:solidFill>
                <a:schemeClr val="dk1"/>
              </a:solidFill>
              <a:effectLst/>
              <a:latin typeface="ＭＳ Ｐ明朝" panose="02020600040205080304" pitchFamily="18" charset="-128"/>
              <a:ea typeface="ＭＳ Ｐ明朝" panose="02020600040205080304" pitchFamily="18" charset="-128"/>
              <a:cs typeface="+mn-cs"/>
            </a:rPr>
            <a:t>この度は当社製品についてご注文いただき誠にありがとうございます。</a:t>
          </a:r>
        </a:p>
        <a:p>
          <a:r>
            <a:rPr lang="ja-JP" altLang="ja-JP" sz="1000">
              <a:solidFill>
                <a:schemeClr val="dk1"/>
              </a:solidFill>
              <a:effectLst/>
              <a:latin typeface="ＭＳ Ｐ明朝" panose="02020600040205080304" pitchFamily="18" charset="-128"/>
              <a:ea typeface="ＭＳ Ｐ明朝" panose="02020600040205080304" pitchFamily="18" charset="-128"/>
              <a:cs typeface="+mn-cs"/>
            </a:rPr>
            <a:t>購入にあたって以下の注意事項（以下「本注意事項」という。）をご確認いただき、ご注文される製品についての発注情報について入力をお願いいたします。</a:t>
          </a:r>
        </a:p>
        <a:p>
          <a:r>
            <a:rPr lang="en-US" altLang="ja-JP" sz="1000">
              <a:solidFill>
                <a:schemeClr val="dk1"/>
              </a:solidFill>
              <a:effectLst/>
              <a:latin typeface="ＭＳ Ｐ明朝" panose="02020600040205080304" pitchFamily="18" charset="-128"/>
              <a:ea typeface="ＭＳ Ｐ明朝" panose="02020600040205080304" pitchFamily="18" charset="-128"/>
              <a:cs typeface="+mn-cs"/>
            </a:rPr>
            <a:t> </a:t>
          </a:r>
          <a:endParaRPr lang="ja-JP" altLang="ja-JP" sz="1000">
            <a:solidFill>
              <a:schemeClr val="dk1"/>
            </a:solidFill>
            <a:effectLst/>
            <a:latin typeface="ＭＳ Ｐ明朝" panose="02020600040205080304" pitchFamily="18" charset="-128"/>
            <a:ea typeface="ＭＳ Ｐ明朝" panose="02020600040205080304" pitchFamily="18" charset="-128"/>
            <a:cs typeface="+mn-cs"/>
          </a:endParaRPr>
        </a:p>
        <a:p>
          <a:pPr lvl="0"/>
          <a:r>
            <a:rPr lang="ja-JP" altLang="ja-JP" sz="1000">
              <a:solidFill>
                <a:schemeClr val="dk1"/>
              </a:solidFill>
              <a:effectLst/>
              <a:latin typeface="ＭＳ Ｐ明朝" panose="02020600040205080304" pitchFamily="18" charset="-128"/>
              <a:ea typeface="ＭＳ Ｐ明朝" panose="02020600040205080304" pitchFamily="18" charset="-128"/>
              <a:cs typeface="+mn-cs"/>
            </a:rPr>
            <a:t>当社に対する注文書と合わせて、ライセンス購入申請書（以下「本書類」という。）を提出することで、お客様はデジタルアーツ株式会社（以下「当社」という。）に対して、本注意事項が有効であること及び、本書類に入力された内容（数量、オプション構成など）で製品を発注することを認めます。</a:t>
          </a:r>
        </a:p>
        <a:p>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endParaRPr lang="ja-JP" altLang="ja-JP" sz="1000" u="none">
            <a:solidFill>
              <a:schemeClr val="dk1"/>
            </a:solidFill>
            <a:effectLst/>
            <a:latin typeface="ＭＳ Ｐ明朝" panose="02020600040205080304" pitchFamily="18" charset="-128"/>
            <a:ea typeface="ＭＳ Ｐ明朝" panose="02020600040205080304" pitchFamily="18" charset="-128"/>
            <a:cs typeface="+mn-cs"/>
          </a:endParaRPr>
        </a:p>
        <a:p>
          <a:pPr lvl="0"/>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本書類を提出することで、お客様は当社が示す個人情報保護方針について、予め同意したものとみなします。</a:t>
          </a:r>
        </a:p>
      </xdr:txBody>
    </xdr:sp>
    <xdr:clientData/>
  </xdr:twoCellAnchor>
  <xdr:twoCellAnchor>
    <xdr:from>
      <xdr:col>57</xdr:col>
      <xdr:colOff>0</xdr:colOff>
      <xdr:row>38</xdr:row>
      <xdr:rowOff>0</xdr:rowOff>
    </xdr:from>
    <xdr:to>
      <xdr:col>113</xdr:col>
      <xdr:colOff>71439</xdr:colOff>
      <xdr:row>58</xdr:row>
      <xdr:rowOff>25400</xdr:rowOff>
    </xdr:to>
    <xdr:sp macro="" textlink="">
      <xdr:nvSpPr>
        <xdr:cNvPr id="10" name="テキスト ボックス 9">
          <a:extLst>
            <a:ext uri="{FF2B5EF4-FFF2-40B4-BE49-F238E27FC236}">
              <a16:creationId xmlns:a16="http://schemas.microsoft.com/office/drawing/2014/main" id="{E7D80F99-A597-4AC2-AF16-4594BFFB06F5}"/>
            </a:ext>
          </a:extLst>
        </xdr:cNvPr>
        <xdr:cNvSpPr txBox="1"/>
      </xdr:nvSpPr>
      <xdr:spPr bwMode="auto">
        <a:xfrm>
          <a:off x="6515100" y="4826000"/>
          <a:ext cx="6472239" cy="2311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lvl="0"/>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当社が正常に本書類を受領した場合、</a:t>
          </a:r>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導入に際して十分な事前検証を行ったものとし、</a:t>
          </a:r>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ライセンス規約に準じていかなる場合においても返金もしくはその交渉について、当社が応じないことを認めます。</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endParaRPr lang="ja-JP" altLang="ja-JP" sz="1000" u="none">
            <a:solidFill>
              <a:schemeClr val="dk1"/>
            </a:solidFill>
            <a:effectLst/>
            <a:latin typeface="ＭＳ Ｐ明朝" panose="02020600040205080304" pitchFamily="18" charset="-128"/>
            <a:ea typeface="ＭＳ Ｐ明朝" panose="02020600040205080304" pitchFamily="18" charset="-128"/>
            <a:cs typeface="+mn-cs"/>
          </a:endParaRPr>
        </a:p>
        <a:p>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endParaRPr lang="ja-JP" altLang="ja-JP" sz="1000" u="none">
            <a:solidFill>
              <a:schemeClr val="dk1"/>
            </a:solidFill>
            <a:effectLst/>
            <a:latin typeface="ＭＳ Ｐ明朝" panose="02020600040205080304" pitchFamily="18" charset="-128"/>
            <a:ea typeface="ＭＳ Ｐ明朝" panose="02020600040205080304" pitchFamily="18" charset="-128"/>
            <a:cs typeface="+mn-cs"/>
          </a:endParaRPr>
        </a:p>
        <a:p>
          <a:pPr lvl="0"/>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当社製品と社外製品との連携について、お客様は当社が提供するマニュアル</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は当社がこれを検証した時点の情報であることを認めます。また、それぞれの製品に関する最新の情報は各製品メーカーにお問合せいただくようにお願いいたします</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a:t>
          </a:r>
        </a:p>
        <a:p>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endParaRPr lang="ja-JP" altLang="ja-JP" sz="1000" u="none">
            <a:solidFill>
              <a:schemeClr val="dk1"/>
            </a:solidFill>
            <a:effectLst/>
            <a:latin typeface="ＭＳ Ｐ明朝" panose="02020600040205080304" pitchFamily="18" charset="-128"/>
            <a:ea typeface="ＭＳ Ｐ明朝" panose="02020600040205080304" pitchFamily="18" charset="-128"/>
            <a:cs typeface="+mn-cs"/>
          </a:endParaRPr>
        </a:p>
        <a:p>
          <a:pPr lvl="0"/>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本書類について、お客様の代わりに当社販売代理店（以下「パートナー」という。）が入力し当社に対して提出した場合においても、記載内容に不備がなく当社が正常に本書類を受領した場合、お客様はその記載内容が有効であることを認めます。</a:t>
          </a:r>
        </a:p>
        <a:p>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 </a:t>
          </a:r>
          <a:endParaRPr lang="ja-JP" altLang="ja-JP" sz="1000" u="none">
            <a:solidFill>
              <a:schemeClr val="dk1"/>
            </a:solidFill>
            <a:effectLst/>
            <a:latin typeface="ＭＳ Ｐ明朝" panose="02020600040205080304" pitchFamily="18" charset="-128"/>
            <a:ea typeface="ＭＳ Ｐ明朝" panose="02020600040205080304" pitchFamily="18" charset="-128"/>
            <a:cs typeface="+mn-cs"/>
          </a:endParaRPr>
        </a:p>
        <a:p>
          <a:pPr lvl="0"/>
          <a:r>
            <a:rPr lang="ja-JP" altLang="ja-JP" sz="1000" u="none">
              <a:solidFill>
                <a:schemeClr val="dk1"/>
              </a:solidFill>
              <a:effectLst/>
              <a:latin typeface="ＭＳ Ｐ明朝" panose="02020600040205080304" pitchFamily="18" charset="-128"/>
              <a:ea typeface="ＭＳ Ｐ明朝" panose="02020600040205080304" pitchFamily="18" charset="-128"/>
              <a:cs typeface="+mn-cs"/>
            </a:rPr>
            <a:t>本取引条件の他、見積書、注文書記載の取引条件またはその他の書面に取引条件が記載されている場合は、当該取引条件が優先し適用されるものとします。</a:t>
          </a:r>
          <a:endParaRPr lang="en-US" altLang="ja-JP" sz="1000" u="none">
            <a:solidFill>
              <a:schemeClr val="dk1"/>
            </a:solidFill>
            <a:effectLst/>
            <a:latin typeface="ＭＳ Ｐ明朝" panose="02020600040205080304" pitchFamily="18" charset="-128"/>
            <a:ea typeface="ＭＳ Ｐ明朝" panose="02020600040205080304" pitchFamily="18" charset="-128"/>
            <a:cs typeface="+mn-cs"/>
          </a:endParaRPr>
        </a:p>
        <a:p>
          <a:pPr lvl="0"/>
          <a:endParaRPr lang="en-US" altLang="ja-JP" sz="1000" u="none">
            <a:solidFill>
              <a:schemeClr val="dk1"/>
            </a:solidFill>
            <a:effectLst/>
            <a:latin typeface="ＭＳ Ｐ明朝" panose="02020600040205080304" pitchFamily="18" charset="-128"/>
            <a:ea typeface="ＭＳ Ｐ明朝" panose="02020600040205080304" pitchFamily="18" charset="-128"/>
            <a:cs typeface="+mn-cs"/>
          </a:endParaRPr>
        </a:p>
        <a:p>
          <a:pPr lvl="0"/>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2024</a:t>
          </a:r>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年</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12</a:t>
          </a:r>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月より、お客様のサポートを目的としてパートナーが製品を購入する場合、誓約書のご提出をお願いしております。</a:t>
          </a:r>
        </a:p>
        <a:p>
          <a:pPr lvl="0"/>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下記</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URL</a:t>
          </a:r>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からダウンロード可能です。（</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DABP</a:t>
          </a:r>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サイトへ遷移いたします。）</a:t>
          </a:r>
        </a:p>
      </xdr:txBody>
    </xdr:sp>
    <xdr:clientData/>
  </xdr:twoCellAnchor>
  <xdr:twoCellAnchor>
    <xdr:from>
      <xdr:col>57</xdr:col>
      <xdr:colOff>0</xdr:colOff>
      <xdr:row>60</xdr:row>
      <xdr:rowOff>0</xdr:rowOff>
    </xdr:from>
    <xdr:to>
      <xdr:col>113</xdr:col>
      <xdr:colOff>46039</xdr:colOff>
      <xdr:row>61</xdr:row>
      <xdr:rowOff>101600</xdr:rowOff>
    </xdr:to>
    <xdr:sp macro="" textlink="">
      <xdr:nvSpPr>
        <xdr:cNvPr id="11" name="テキスト ボックス 10">
          <a:extLst>
            <a:ext uri="{FF2B5EF4-FFF2-40B4-BE49-F238E27FC236}">
              <a16:creationId xmlns:a16="http://schemas.microsoft.com/office/drawing/2014/main" id="{0CFA466F-80CF-4C5D-8653-0B695A52F3E6}"/>
            </a:ext>
          </a:extLst>
        </xdr:cNvPr>
        <xdr:cNvSpPr txBox="1"/>
      </xdr:nvSpPr>
      <xdr:spPr bwMode="auto">
        <a:xfrm>
          <a:off x="6515100" y="7366000"/>
          <a:ext cx="6446839"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lvl="0"/>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ダウンロードいただくには弊社から発行された</a:t>
          </a:r>
          <a:r>
            <a:rPr lang="en-US" altLang="ja-JP" sz="1000" u="none">
              <a:solidFill>
                <a:schemeClr val="dk1"/>
              </a:solidFill>
              <a:effectLst/>
              <a:latin typeface="ＭＳ Ｐ明朝" panose="02020600040205080304" pitchFamily="18" charset="-128"/>
              <a:ea typeface="ＭＳ Ｐ明朝" panose="02020600040205080304" pitchFamily="18" charset="-128"/>
              <a:cs typeface="+mn-cs"/>
            </a:rPr>
            <a:t>ID/PASS</a:t>
          </a:r>
          <a:r>
            <a:rPr lang="ja-JP" altLang="en-US" sz="1000" u="none">
              <a:solidFill>
                <a:schemeClr val="dk1"/>
              </a:solidFill>
              <a:effectLst/>
              <a:latin typeface="ＭＳ Ｐ明朝" panose="02020600040205080304" pitchFamily="18" charset="-128"/>
              <a:ea typeface="ＭＳ Ｐ明朝" panose="02020600040205080304" pitchFamily="18" charset="-128"/>
              <a:cs typeface="+mn-cs"/>
            </a:rPr>
            <a:t>が必要です。</a:t>
          </a:r>
          <a:endParaRPr lang="en-US" altLang="ja-JP" sz="1000" u="none">
            <a:solidFill>
              <a:schemeClr val="dk1"/>
            </a:solidFill>
            <a:effectLst/>
            <a:latin typeface="ＭＳ Ｐ明朝" panose="02020600040205080304" pitchFamily="18" charset="-128"/>
            <a:ea typeface="ＭＳ Ｐ明朝" panose="02020600040205080304" pitchFamily="18" charset="-128"/>
            <a:cs typeface="+mn-cs"/>
          </a:endParaRPr>
        </a:p>
      </xdr:txBody>
    </xdr:sp>
    <xdr:clientData/>
  </xdr:twoCellAnchor>
  <xdr:twoCellAnchor editAs="oneCell">
    <xdr:from>
      <xdr:col>88</xdr:col>
      <xdr:colOff>59112</xdr:colOff>
      <xdr:row>4</xdr:row>
      <xdr:rowOff>89608</xdr:rowOff>
    </xdr:from>
    <xdr:to>
      <xdr:col>116</xdr:col>
      <xdr:colOff>0</xdr:colOff>
      <xdr:row>13</xdr:row>
      <xdr:rowOff>66675</xdr:rowOff>
    </xdr:to>
    <xdr:pic>
      <xdr:nvPicPr>
        <xdr:cNvPr id="8" name="図 7">
          <a:extLst>
            <a:ext uri="{FF2B5EF4-FFF2-40B4-BE49-F238E27FC236}">
              <a16:creationId xmlns:a16="http://schemas.microsoft.com/office/drawing/2014/main" id="{B670EAAF-5503-DA8A-D257-D333311BBF46}"/>
            </a:ext>
          </a:extLst>
        </xdr:cNvPr>
        <xdr:cNvPicPr>
          <a:picLocks noChangeAspect="1"/>
        </xdr:cNvPicPr>
      </xdr:nvPicPr>
      <xdr:blipFill>
        <a:blip xmlns:r="http://schemas.openxmlformats.org/officeDocument/2006/relationships" r:embed="rId1"/>
        <a:stretch>
          <a:fillRect/>
        </a:stretch>
      </xdr:blipFill>
      <xdr:spPr>
        <a:xfrm>
          <a:off x="10117512" y="584908"/>
          <a:ext cx="3141288" cy="10914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52916</xdr:colOff>
      <xdr:row>20</xdr:row>
      <xdr:rowOff>85725</xdr:rowOff>
    </xdr:from>
    <xdr:to>
      <xdr:col>33</xdr:col>
      <xdr:colOff>1760009</xdr:colOff>
      <xdr:row>31</xdr:row>
      <xdr:rowOff>62440</xdr:rowOff>
    </xdr:to>
    <xdr:sp macro="" textlink="">
      <xdr:nvSpPr>
        <xdr:cNvPr id="2" name="正方形/長方形 1">
          <a:extLst>
            <a:ext uri="{FF2B5EF4-FFF2-40B4-BE49-F238E27FC236}">
              <a16:creationId xmlns:a16="http://schemas.microsoft.com/office/drawing/2014/main" id="{98BD450F-F601-CB02-86F1-1C345CA640C7}"/>
            </a:ext>
          </a:extLst>
        </xdr:cNvPr>
        <xdr:cNvSpPr/>
      </xdr:nvSpPr>
      <xdr:spPr>
        <a:xfrm>
          <a:off x="14454716" y="3609975"/>
          <a:ext cx="6136218" cy="186266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&lt;Note&gt;</a:t>
          </a:r>
        </a:p>
        <a:p>
          <a:pPr algn="l"/>
          <a:r>
            <a:rPr kumimoji="1" lang="ja-JP" altLang="en-US" sz="1100"/>
            <a:t>連携シリアルの処理が複雑で</a:t>
          </a:r>
          <a:r>
            <a:rPr kumimoji="1" lang="en-US" altLang="ja-JP" sz="1100"/>
            <a:t>Web</a:t>
          </a:r>
          <a:r>
            <a:rPr kumimoji="1" lang="ja-JP" altLang="en-US" sz="1100"/>
            <a:t>受注システムで値を取得できないため、</a:t>
          </a:r>
          <a:endParaRPr kumimoji="1" lang="en-US" altLang="ja-JP" sz="1100"/>
        </a:p>
        <a:p>
          <a:pPr algn="l"/>
          <a:r>
            <a:rPr kumimoji="1" lang="ja-JP" altLang="en-US" sz="1100"/>
            <a:t>中間シート上で各値を読み取らせて</a:t>
          </a:r>
          <a:r>
            <a:rPr kumimoji="1" lang="en-US" altLang="ja-JP" sz="1100"/>
            <a:t>if</a:t>
          </a:r>
          <a:r>
            <a:rPr kumimoji="1" lang="ja-JP" altLang="en-US" sz="1100"/>
            <a:t>関数で</a:t>
          </a:r>
          <a:r>
            <a:rPr kumimoji="1" lang="en-US" altLang="ja-JP" sz="1100"/>
            <a:t>product</a:t>
          </a:r>
          <a:r>
            <a:rPr kumimoji="1" lang="ja-JP" altLang="en-US" sz="1100"/>
            <a:t>に値を送る。（一番上の行にだけ送れば</a:t>
          </a:r>
          <a:r>
            <a:rPr kumimoji="1" lang="en-US" altLang="ja-JP" sz="1100"/>
            <a:t>OK</a:t>
          </a:r>
          <a:r>
            <a:rPr kumimoji="1" lang="ja-JP" altLang="en-US" sz="1100"/>
            <a:t>）</a:t>
          </a:r>
          <a:endParaRPr kumimoji="1" lang="en-US" altLang="ja-JP"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xdr:row>
      <xdr:rowOff>0</xdr:rowOff>
    </xdr:from>
    <xdr:to>
      <xdr:col>91</xdr:col>
      <xdr:colOff>9525</xdr:colOff>
      <xdr:row>8</xdr:row>
      <xdr:rowOff>68067</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bwMode="auto">
        <a:xfrm>
          <a:off x="200025" y="571500"/>
          <a:ext cx="8591550" cy="258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に必要事項をご記入のうえ、上記宛先までお送りいただけますようお願い申し上げます。正確さを期するため、できるだけ</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でお願いいたします。</a:t>
          </a:r>
        </a:p>
        <a:p>
          <a:r>
            <a:rPr kumimoji="1" lang="ja-JP" altLang="en-US" sz="500">
              <a:latin typeface="ＭＳ Ｐ明朝" pitchFamily="18" charset="-128"/>
              <a:ea typeface="ＭＳ Ｐ明朝" pitchFamily="18" charset="-128"/>
            </a:rPr>
            <a:t>当申請書の太枠欄以外のご記入は、お客様の任意となっております。ただしご記入いただけない場合、正常なサービスを提供できない可能性があります。</a:t>
          </a:r>
        </a:p>
      </xdr:txBody>
    </xdr:sp>
    <xdr:clientData/>
  </xdr:twoCellAnchor>
  <xdr:twoCellAnchor>
    <xdr:from>
      <xdr:col>1</xdr:col>
      <xdr:colOff>0</xdr:colOff>
      <xdr:row>8</xdr:row>
      <xdr:rowOff>0</xdr:rowOff>
    </xdr:from>
    <xdr:to>
      <xdr:col>107</xdr:col>
      <xdr:colOff>47625</xdr:colOff>
      <xdr:row>17</xdr:row>
      <xdr:rowOff>85725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bwMode="auto">
        <a:xfrm>
          <a:off x="200025" y="762000"/>
          <a:ext cx="10153650"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solidFill>
                <a:sysClr val="windowText" lastClr="000000"/>
              </a:solidFill>
              <a:latin typeface="ＭＳ Ｐ明朝" pitchFamily="18" charset="-128"/>
              <a:ea typeface="ＭＳ Ｐ明朝" pitchFamily="18" charset="-128"/>
            </a:rPr>
            <a:t>1.</a:t>
          </a:r>
          <a:r>
            <a:rPr kumimoji="1" lang="ja-JP" altLang="en-US" sz="400">
              <a:solidFill>
                <a:sysClr val="windowText" lastClr="000000"/>
              </a:solidFill>
              <a:latin typeface="ＭＳ Ｐ明朝" pitchFamily="18" charset="-128"/>
              <a:ea typeface="ＭＳ Ｐ明朝" pitchFamily="18" charset="-128"/>
            </a:rPr>
            <a:t>個人情報の取得・保有・利用</a:t>
          </a:r>
        </a:p>
        <a:p>
          <a:r>
            <a:rPr kumimoji="1" lang="ja-JP" altLang="en-US" sz="400">
              <a:solidFill>
                <a:sysClr val="windowText" lastClr="000000"/>
              </a:solidFill>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solidFill>
                <a:sysClr val="windowText" lastClr="000000"/>
              </a:solidFill>
              <a:latin typeface="ＭＳ Ｐ明朝" pitchFamily="18" charset="-128"/>
              <a:ea typeface="ＭＳ Ｐ明朝" pitchFamily="18" charset="-128"/>
            </a:rPr>
            <a:t>   (1)</a:t>
          </a:r>
          <a:r>
            <a:rPr kumimoji="1" lang="ja-JP" altLang="en-US" sz="400">
              <a:solidFill>
                <a:sysClr val="windowText" lastClr="000000"/>
              </a:solidFill>
              <a:latin typeface="ＭＳ Ｐ明朝" pitchFamily="18" charset="-128"/>
              <a:ea typeface="ＭＳ Ｐ明朝" pitchFamily="18" charset="-128"/>
            </a:rPr>
            <a:t>商品・サービスのご提供 　</a:t>
          </a:r>
          <a:r>
            <a:rPr kumimoji="1" lang="en-US" altLang="ja-JP" sz="400">
              <a:solidFill>
                <a:sysClr val="windowText" lastClr="000000"/>
              </a:solidFill>
              <a:latin typeface="ＭＳ Ｐ明朝" pitchFamily="18" charset="-128"/>
              <a:ea typeface="ＭＳ Ｐ明朝" pitchFamily="18" charset="-128"/>
            </a:rPr>
            <a:t>(2)</a:t>
          </a:r>
          <a:r>
            <a:rPr kumimoji="1" lang="ja-JP" altLang="en-US" sz="400">
              <a:solidFill>
                <a:sysClr val="windowText" lastClr="000000"/>
              </a:solidFill>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solidFill>
                <a:sysClr val="windowText" lastClr="000000"/>
              </a:solidFill>
              <a:latin typeface="ＭＳ Ｐ明朝" pitchFamily="18" charset="-128"/>
              <a:ea typeface="ＭＳ Ｐ明朝" pitchFamily="18" charset="-128"/>
            </a:rPr>
            <a:t>(3)</a:t>
          </a:r>
          <a:r>
            <a:rPr kumimoji="1" lang="ja-JP" altLang="en-US" sz="400">
              <a:solidFill>
                <a:sysClr val="windowText" lastClr="000000"/>
              </a:solidFill>
              <a:latin typeface="ＭＳ Ｐ明朝" pitchFamily="18" charset="-128"/>
              <a:ea typeface="ＭＳ Ｐ明朝" pitchFamily="18" charset="-128"/>
            </a:rPr>
            <a:t>より良い商品・サービス開発のための調査・分析　</a:t>
          </a:r>
          <a:r>
            <a:rPr kumimoji="1" lang="en-US" altLang="ja-JP" sz="400">
              <a:solidFill>
                <a:sysClr val="windowText" lastClr="000000"/>
              </a:solidFill>
              <a:latin typeface="ＭＳ Ｐ明朝" pitchFamily="18" charset="-128"/>
              <a:ea typeface="ＭＳ Ｐ明朝" pitchFamily="18" charset="-128"/>
            </a:rPr>
            <a:t>(4)</a:t>
          </a:r>
          <a:r>
            <a:rPr kumimoji="1" lang="ja-JP" altLang="en-US" sz="400">
              <a:solidFill>
                <a:sysClr val="windowText" lastClr="000000"/>
              </a:solidFill>
              <a:latin typeface="ＭＳ Ｐ明朝" pitchFamily="18" charset="-128"/>
              <a:ea typeface="ＭＳ Ｐ明朝" pitchFamily="18" charset="-128"/>
            </a:rPr>
            <a:t>お客様との連絡、協力、交渉、契約の履行、履行請求等 　</a:t>
          </a:r>
          <a:r>
            <a:rPr kumimoji="1" lang="en-US" altLang="ja-JP" sz="400">
              <a:solidFill>
                <a:sysClr val="windowText" lastClr="000000"/>
              </a:solidFill>
              <a:latin typeface="ＭＳ Ｐ明朝" pitchFamily="18" charset="-128"/>
              <a:ea typeface="ＭＳ Ｐ明朝" pitchFamily="18" charset="-128"/>
            </a:rPr>
            <a:t>(5)</a:t>
          </a:r>
          <a:r>
            <a:rPr kumimoji="1" lang="ja-JP" altLang="en-US" sz="400">
              <a:solidFill>
                <a:sysClr val="windowText" lastClr="000000"/>
              </a:solidFill>
              <a:latin typeface="ＭＳ Ｐ明朝" pitchFamily="18" charset="-128"/>
              <a:ea typeface="ＭＳ Ｐ明朝" pitchFamily="18" charset="-128"/>
            </a:rPr>
            <a:t>お問い合わせ、ご依頼等への対応、ご請求いただいた資料等の送付</a:t>
          </a:r>
        </a:p>
        <a:p>
          <a:r>
            <a:rPr kumimoji="1" lang="en-US" altLang="ja-JP" sz="400">
              <a:solidFill>
                <a:sysClr val="windowText" lastClr="000000"/>
              </a:solidFill>
              <a:latin typeface="ＭＳ Ｐ明朝" pitchFamily="18" charset="-128"/>
              <a:ea typeface="ＭＳ Ｐ明朝" pitchFamily="18" charset="-128"/>
            </a:rPr>
            <a:t>2.</a:t>
          </a:r>
          <a:r>
            <a:rPr kumimoji="1" lang="ja-JP" altLang="en-US" sz="400">
              <a:solidFill>
                <a:sysClr val="windowText" lastClr="000000"/>
              </a:solidFill>
              <a:latin typeface="ＭＳ Ｐ明朝" pitchFamily="18" charset="-128"/>
              <a:ea typeface="ＭＳ Ｐ明朝" pitchFamily="18" charset="-128"/>
            </a:rPr>
            <a:t>個人情報の共同利用</a:t>
          </a:r>
        </a:p>
        <a:p>
          <a:r>
            <a:rPr kumimoji="1" lang="ja-JP" altLang="en-US" sz="400">
              <a:solidFill>
                <a:sysClr val="windowText" lastClr="000000"/>
              </a:solidFill>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solidFill>
                <a:sysClr val="windowText" lastClr="000000"/>
              </a:solidFill>
              <a:latin typeface="ＭＳ Ｐ明朝" pitchFamily="18" charset="-128"/>
              <a:ea typeface="ＭＳ Ｐ明朝" pitchFamily="18" charset="-128"/>
            </a:rPr>
            <a:t>  (1)</a:t>
          </a:r>
          <a:r>
            <a:rPr kumimoji="1" lang="ja-JP" altLang="en-US" sz="400">
              <a:solidFill>
                <a:sysClr val="windowText" lastClr="000000"/>
              </a:solidFill>
              <a:latin typeface="ＭＳ Ｐ明朝" pitchFamily="18" charset="-128"/>
              <a:ea typeface="ＭＳ Ｐ明朝" pitchFamily="18" charset="-128"/>
            </a:rPr>
            <a:t>　共同利用する個人情報　：　お客様の氏名、住所、電話番号、</a:t>
          </a:r>
          <a:r>
            <a:rPr kumimoji="1" lang="en-US" altLang="ja-JP" sz="400">
              <a:solidFill>
                <a:sysClr val="windowText" lastClr="000000"/>
              </a:solidFill>
              <a:latin typeface="ＭＳ Ｐ明朝" pitchFamily="18" charset="-128"/>
              <a:ea typeface="ＭＳ Ｐ明朝" pitchFamily="18" charset="-128"/>
            </a:rPr>
            <a:t>FAX</a:t>
          </a:r>
          <a:r>
            <a:rPr kumimoji="1" lang="ja-JP" altLang="en-US" sz="400">
              <a:solidFill>
                <a:sysClr val="windowText" lastClr="000000"/>
              </a:solidFill>
              <a:latin typeface="ＭＳ Ｐ明朝" pitchFamily="18" charset="-128"/>
              <a:ea typeface="ＭＳ Ｐ明朝" pitchFamily="18" charset="-128"/>
            </a:rPr>
            <a:t>番号、メールアドレス、ご購入商品・サービス、契約履歴等</a:t>
          </a:r>
        </a:p>
        <a:p>
          <a:r>
            <a:rPr kumimoji="1" lang="en-US" altLang="ja-JP" sz="400">
              <a:solidFill>
                <a:sysClr val="windowText" lastClr="000000"/>
              </a:solidFill>
              <a:latin typeface="ＭＳ Ｐ明朝" pitchFamily="18" charset="-128"/>
              <a:ea typeface="ＭＳ Ｐ明朝" pitchFamily="18" charset="-128"/>
            </a:rPr>
            <a:t>  (2)</a:t>
          </a:r>
          <a:r>
            <a:rPr kumimoji="1" lang="ja-JP" altLang="en-US" sz="400">
              <a:solidFill>
                <a:sysClr val="windowText" lastClr="000000"/>
              </a:solidFill>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solidFill>
                <a:sysClr val="windowText" lastClr="000000"/>
              </a:solidFill>
              <a:latin typeface="ＭＳ Ｐ明朝" pitchFamily="18" charset="-128"/>
              <a:ea typeface="ＭＳ Ｐ明朝" pitchFamily="18" charset="-128"/>
            </a:rPr>
            <a:t> </a:t>
          </a:r>
          <a:r>
            <a:rPr kumimoji="1" lang="ja-JP" altLang="en-US" sz="400">
              <a:solidFill>
                <a:sysClr val="windowText" lastClr="000000"/>
              </a:solidFill>
              <a:latin typeface="ＭＳ Ｐ明朝" pitchFamily="18" charset="-128"/>
              <a:ea typeface="ＭＳ Ｐ明朝" pitchFamily="18" charset="-128"/>
            </a:rPr>
            <a:t>⑤お問い合わせ、ご依頼等への対応、ご請求いただいた資料等の送付</a:t>
          </a:r>
          <a:endParaRPr kumimoji="1" lang="en-US" altLang="ja-JP" sz="400">
            <a:solidFill>
              <a:sysClr val="windowText" lastClr="000000"/>
            </a:solidFill>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solidFill>
              <a:sysClr val="windowText" lastClr="000000"/>
            </a:solidFill>
            <a:latin typeface="ＭＳ Ｐ明朝" pitchFamily="18" charset="-128"/>
            <a:ea typeface="ＭＳ Ｐ明朝" pitchFamily="18" charset="-128"/>
          </a:endParaRPr>
        </a:p>
        <a:p>
          <a:endParaRPr kumimoji="1" lang="en-US" altLang="ja-JP" sz="400">
            <a:solidFill>
              <a:sysClr val="windowText" lastClr="000000"/>
            </a:solidFill>
            <a:latin typeface="ＭＳ Ｐ明朝" pitchFamily="18" charset="-128"/>
            <a:ea typeface="ＭＳ Ｐ明朝" pitchFamily="18" charset="-128"/>
          </a:endParaRPr>
        </a:p>
      </xdr:txBody>
    </xdr:sp>
    <xdr:clientData/>
  </xdr:twoCellAnchor>
  <xdr:twoCellAnchor>
    <xdr:from>
      <xdr:col>78</xdr:col>
      <xdr:colOff>0</xdr:colOff>
      <xdr:row>14</xdr:row>
      <xdr:rowOff>0</xdr:rowOff>
    </xdr:from>
    <xdr:to>
      <xdr:col>106</xdr:col>
      <xdr:colOff>86917</xdr:colOff>
      <xdr:row>17</xdr:row>
      <xdr:rowOff>76200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bwMode="auto">
        <a:xfrm>
          <a:off x="7543800" y="1333500"/>
          <a:ext cx="2753917"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solidFill>
                <a:schemeClr val="dk1"/>
              </a:solidFill>
              <a:latin typeface="ＭＳ Ｐ明朝" pitchFamily="18" charset="-128"/>
              <a:ea typeface="ＭＳ Ｐ明朝" pitchFamily="18" charset="-128"/>
              <a:cs typeface="+mn-cs"/>
            </a:rPr>
            <a:t>個人情報お問い合わせ窓口：  </a:t>
          </a:r>
        </a:p>
        <a:p>
          <a:r>
            <a:rPr kumimoji="1" lang="ja-JP" altLang="en-US" sz="500">
              <a:solidFill>
                <a:schemeClr val="dk1"/>
              </a:solidFill>
              <a:latin typeface="ＭＳ Ｐ明朝" pitchFamily="18" charset="-128"/>
              <a:ea typeface="ＭＳ Ｐ明朝" pitchFamily="18" charset="-128"/>
              <a:cs typeface="+mn-cs"/>
            </a:rPr>
            <a:t>デジタルアーツ株式会社</a:t>
          </a:r>
        </a:p>
        <a:p>
          <a:r>
            <a:rPr kumimoji="1" lang="ja-JP" altLang="en-US" sz="500">
              <a:solidFill>
                <a:schemeClr val="dk1"/>
              </a:solidFill>
              <a:latin typeface="ＭＳ Ｐ明朝" pitchFamily="18" charset="-128"/>
              <a:ea typeface="ＭＳ Ｐ明朝" pitchFamily="18" charset="-128"/>
              <a:cs typeface="+mn-cs"/>
            </a:rPr>
            <a:t>〒</a:t>
          </a:r>
          <a:r>
            <a:rPr kumimoji="1" lang="en-US" altLang="ja-JP" sz="500">
              <a:solidFill>
                <a:schemeClr val="dk1"/>
              </a:solidFill>
              <a:latin typeface="ＭＳ Ｐ明朝" pitchFamily="18" charset="-128"/>
              <a:ea typeface="ＭＳ Ｐ明朝" pitchFamily="18" charset="-128"/>
              <a:cs typeface="+mn-cs"/>
            </a:rPr>
            <a:t>100-0004</a:t>
          </a:r>
          <a:r>
            <a:rPr kumimoji="1" lang="ja-JP" altLang="en-US" sz="500">
              <a:solidFill>
                <a:schemeClr val="dk1"/>
              </a:solidFill>
              <a:latin typeface="ＭＳ Ｐ明朝" pitchFamily="18" charset="-128"/>
              <a:ea typeface="ＭＳ Ｐ明朝" pitchFamily="18" charset="-128"/>
              <a:cs typeface="+mn-cs"/>
            </a:rPr>
            <a:t>　　東京都千代田区大手町</a:t>
          </a:r>
          <a:r>
            <a:rPr kumimoji="1" lang="en-US" altLang="ja-JP" sz="500">
              <a:solidFill>
                <a:schemeClr val="dk1"/>
              </a:solidFill>
              <a:latin typeface="ＭＳ Ｐ明朝" pitchFamily="18" charset="-128"/>
              <a:ea typeface="ＭＳ Ｐ明朝" pitchFamily="18" charset="-128"/>
              <a:cs typeface="+mn-cs"/>
            </a:rPr>
            <a:t>1-5-1</a:t>
          </a:r>
          <a:r>
            <a:rPr kumimoji="1" lang="ja-JP" altLang="en-US" sz="500">
              <a:solidFill>
                <a:schemeClr val="dk1"/>
              </a:solidFill>
              <a:latin typeface="ＭＳ Ｐ明朝" pitchFamily="18" charset="-128"/>
              <a:ea typeface="ＭＳ Ｐ明朝" pitchFamily="18" charset="-128"/>
              <a:cs typeface="+mn-cs"/>
            </a:rPr>
            <a:t>　大手町ファーストスクエア ウエストタワー</a:t>
          </a:r>
          <a:r>
            <a:rPr kumimoji="1" lang="en-US" altLang="ja-JP" sz="500">
              <a:solidFill>
                <a:schemeClr val="dk1"/>
              </a:solidFill>
              <a:latin typeface="ＭＳ Ｐ明朝" pitchFamily="18" charset="-128"/>
              <a:ea typeface="ＭＳ Ｐ明朝" pitchFamily="18" charset="-128"/>
              <a:cs typeface="+mn-cs"/>
            </a:rPr>
            <a:t>14</a:t>
          </a:r>
          <a:r>
            <a:rPr kumimoji="1" lang="ja-JP" altLang="en-US" sz="500">
              <a:solidFill>
                <a:schemeClr val="dk1"/>
              </a:solidFill>
              <a:latin typeface="ＭＳ Ｐ明朝" pitchFamily="18" charset="-128"/>
              <a:ea typeface="ＭＳ Ｐ明朝" pitchFamily="18" charset="-128"/>
              <a:cs typeface="+mn-cs"/>
            </a:rPr>
            <a:t>階</a:t>
          </a:r>
        </a:p>
        <a:p>
          <a:r>
            <a:rPr kumimoji="1" lang="en-US" altLang="ja-JP" sz="500">
              <a:solidFill>
                <a:schemeClr val="dk1"/>
              </a:solidFill>
              <a:latin typeface="ＭＳ Ｐ明朝" pitchFamily="18" charset="-128"/>
              <a:ea typeface="ＭＳ Ｐ明朝" pitchFamily="18" charset="-128"/>
              <a:cs typeface="+mn-cs"/>
            </a:rPr>
            <a:t>TEL</a:t>
          </a:r>
          <a:r>
            <a:rPr kumimoji="1" lang="ja-JP" altLang="en-US" sz="500">
              <a:solidFill>
                <a:schemeClr val="dk1"/>
              </a:solidFill>
              <a:latin typeface="ＭＳ Ｐ明朝" pitchFamily="18" charset="-128"/>
              <a:ea typeface="ＭＳ Ｐ明朝" pitchFamily="18" charset="-128"/>
              <a:cs typeface="+mn-cs"/>
            </a:rPr>
            <a:t>　</a:t>
          </a:r>
          <a:r>
            <a:rPr kumimoji="1" lang="en-US" altLang="ja-JP" sz="500">
              <a:solidFill>
                <a:schemeClr val="dk1"/>
              </a:solidFill>
              <a:latin typeface="ＭＳ Ｐ明朝" pitchFamily="18" charset="-128"/>
              <a:ea typeface="ＭＳ Ｐ明朝" pitchFamily="18" charset="-128"/>
              <a:cs typeface="+mn-cs"/>
            </a:rPr>
            <a:t>03-5220-1160</a:t>
          </a:r>
          <a:r>
            <a:rPr kumimoji="1" lang="ja-JP" altLang="en-US" sz="500">
              <a:solidFill>
                <a:schemeClr val="dk1"/>
              </a:solidFill>
              <a:latin typeface="ＭＳ Ｐ明朝" pitchFamily="18" charset="-128"/>
              <a:ea typeface="ＭＳ Ｐ明朝" pitchFamily="18" charset="-128"/>
              <a:cs typeface="+mn-cs"/>
            </a:rPr>
            <a:t>／</a:t>
          </a:r>
          <a:r>
            <a:rPr kumimoji="1" lang="en-US" altLang="ja-JP" sz="500">
              <a:solidFill>
                <a:schemeClr val="dk1"/>
              </a:solidFill>
              <a:latin typeface="ＭＳ Ｐ明朝" pitchFamily="18" charset="-128"/>
              <a:ea typeface="ＭＳ Ｐ明朝" pitchFamily="18" charset="-128"/>
              <a:cs typeface="+mn-cs"/>
            </a:rPr>
            <a:t>FAX</a:t>
          </a:r>
          <a:r>
            <a:rPr kumimoji="1" lang="ja-JP" altLang="en-US" sz="500">
              <a:solidFill>
                <a:schemeClr val="dk1"/>
              </a:solidFill>
              <a:latin typeface="ＭＳ Ｐ明朝" pitchFamily="18" charset="-128"/>
              <a:ea typeface="ＭＳ Ｐ明朝" pitchFamily="18" charset="-128"/>
              <a:cs typeface="+mn-cs"/>
            </a:rPr>
            <a:t>　</a:t>
          </a:r>
          <a:r>
            <a:rPr kumimoji="1" lang="en-US" altLang="ja-JP" sz="500">
              <a:solidFill>
                <a:schemeClr val="dk1"/>
              </a:solidFill>
              <a:latin typeface="ＭＳ Ｐ明朝" pitchFamily="18" charset="-128"/>
              <a:ea typeface="ＭＳ Ｐ明朝" pitchFamily="18" charset="-128"/>
              <a:cs typeface="+mn-cs"/>
            </a:rPr>
            <a:t>03-5220-1060</a:t>
          </a:r>
          <a:r>
            <a:rPr kumimoji="1" lang="ja-JP" altLang="en-US" sz="500">
              <a:solidFill>
                <a:schemeClr val="dk1"/>
              </a:solidFill>
              <a:latin typeface="ＭＳ Ｐ明朝" pitchFamily="18" charset="-128"/>
              <a:ea typeface="ＭＳ Ｐ明朝" pitchFamily="18" charset="-128"/>
              <a:cs typeface="+mn-cs"/>
            </a:rPr>
            <a:t>／</a:t>
          </a:r>
          <a:r>
            <a:rPr kumimoji="1" lang="en-US" altLang="ja-JP" sz="500">
              <a:solidFill>
                <a:schemeClr val="dk1"/>
              </a:solidFill>
              <a:latin typeface="ＭＳ Ｐ明朝" pitchFamily="18" charset="-128"/>
              <a:ea typeface="ＭＳ Ｐ明朝" pitchFamily="18" charset="-128"/>
              <a:cs typeface="+mn-cs"/>
            </a:rPr>
            <a:t>E-Mail</a:t>
          </a:r>
          <a:r>
            <a:rPr kumimoji="1" lang="ja-JP" altLang="en-US" sz="500">
              <a:solidFill>
                <a:schemeClr val="dk1"/>
              </a:solidFill>
              <a:latin typeface="ＭＳ Ｐ明朝" pitchFamily="18" charset="-128"/>
              <a:ea typeface="ＭＳ Ｐ明朝" pitchFamily="18" charset="-128"/>
              <a:cs typeface="+mn-cs"/>
            </a:rPr>
            <a:t>　</a:t>
          </a:r>
          <a:r>
            <a:rPr kumimoji="1" lang="en-US" altLang="ja-JP" sz="500">
              <a:solidFill>
                <a:schemeClr val="dk1"/>
              </a:solidFill>
              <a:latin typeface="ＭＳ Ｐ明朝" pitchFamily="18" charset="-128"/>
              <a:ea typeface="ＭＳ Ｐ明朝" pitchFamily="18" charset="-128"/>
              <a:cs typeface="+mn-cs"/>
            </a:rPr>
            <a:t>privacy@daj.co.jp</a:t>
          </a:r>
        </a:p>
      </xdr:txBody>
    </xdr:sp>
    <xdr:clientData/>
  </xdr:twoCellAnchor>
  <xdr:twoCellAnchor>
    <xdr:from>
      <xdr:col>113</xdr:col>
      <xdr:colOff>57149</xdr:colOff>
      <xdr:row>56</xdr:row>
      <xdr:rowOff>28575</xdr:rowOff>
    </xdr:from>
    <xdr:to>
      <xdr:col>116</xdr:col>
      <xdr:colOff>23399</xdr:colOff>
      <xdr:row>58</xdr:row>
      <xdr:rowOff>90075</xdr:rowOff>
    </xdr:to>
    <xdr:sp macro="" textlink="">
      <xdr:nvSpPr>
        <xdr:cNvPr id="13" name="フローチャート : 結合子 10">
          <a:extLst>
            <a:ext uri="{FF2B5EF4-FFF2-40B4-BE49-F238E27FC236}">
              <a16:creationId xmlns:a16="http://schemas.microsoft.com/office/drawing/2014/main" id="{00000000-0008-0000-0800-00000D000000}"/>
            </a:ext>
          </a:extLst>
        </xdr:cNvPr>
        <xdr:cNvSpPr/>
      </xdr:nvSpPr>
      <xdr:spPr>
        <a:xfrm>
          <a:off x="10934699" y="53625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185059</xdr:colOff>
      <xdr:row>47</xdr:row>
      <xdr:rowOff>28575</xdr:rowOff>
    </xdr:from>
    <xdr:to>
      <xdr:col>154</xdr:col>
      <xdr:colOff>57150</xdr:colOff>
      <xdr:row>60</xdr:row>
      <xdr:rowOff>19050</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11348359" y="4505325"/>
          <a:ext cx="4015466" cy="1228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a:solidFill>
              <a:sysClr val="windowText" lastClr="000000"/>
            </a:solidFill>
            <a:effectLst/>
            <a:latin typeface="+mn-lt"/>
            <a:ea typeface="+mn-ea"/>
            <a:cs typeface="+mn-cs"/>
          </a:endParaRPr>
        </a:p>
        <a:p>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表の入力にお進みください。</a:t>
          </a:r>
        </a:p>
      </xdr:txBody>
    </xdr:sp>
    <xdr:clientData/>
  </xdr:twoCellAnchor>
  <xdr:twoCellAnchor>
    <xdr:from>
      <xdr:col>116</xdr:col>
      <xdr:colOff>102393</xdr:colOff>
      <xdr:row>45</xdr:row>
      <xdr:rowOff>19050</xdr:rowOff>
    </xdr:from>
    <xdr:to>
      <xdr:col>116</xdr:col>
      <xdr:colOff>354393</xdr:colOff>
      <xdr:row>47</xdr:row>
      <xdr:rowOff>80550</xdr:rowOff>
    </xdr:to>
    <xdr:sp macro="" textlink="">
      <xdr:nvSpPr>
        <xdr:cNvPr id="16" name="フローチャート : 結合子 26">
          <a:extLst>
            <a:ext uri="{FF2B5EF4-FFF2-40B4-BE49-F238E27FC236}">
              <a16:creationId xmlns:a16="http://schemas.microsoft.com/office/drawing/2014/main" id="{00000000-0008-0000-0800-000010000000}"/>
            </a:ext>
          </a:extLst>
        </xdr:cNvPr>
        <xdr:cNvSpPr/>
      </xdr:nvSpPr>
      <xdr:spPr>
        <a:xfrm>
          <a:off x="11265693" y="43053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185059</xdr:colOff>
      <xdr:row>2</xdr:row>
      <xdr:rowOff>38102</xdr:rowOff>
    </xdr:from>
    <xdr:to>
      <xdr:col>154</xdr:col>
      <xdr:colOff>47625</xdr:colOff>
      <xdr:row>7</xdr:row>
      <xdr:rowOff>66676</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11348359" y="228602"/>
          <a:ext cx="4005941" cy="5048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a:t>
          </a:r>
          <a:endParaRPr kumimoji="1" lang="en-US" altLang="ja-JP" sz="900">
            <a:solidFill>
              <a:sysClr val="windowText" lastClr="000000"/>
            </a:solidFill>
          </a:endParaRPr>
        </a:p>
        <a:p>
          <a:pPr algn="l"/>
          <a:r>
            <a:rPr kumimoji="1" lang="ja-JP" altLang="en-US" sz="900">
              <a:solidFill>
                <a:sysClr val="windowText" lastClr="000000"/>
              </a:solidFill>
            </a:rPr>
            <a:t>必ずご記入ください。</a:t>
          </a:r>
        </a:p>
      </xdr:txBody>
    </xdr:sp>
    <xdr:clientData/>
  </xdr:twoCellAnchor>
  <xdr:twoCellAnchor>
    <xdr:from>
      <xdr:col>116</xdr:col>
      <xdr:colOff>102393</xdr:colOff>
      <xdr:row>1</xdr:row>
      <xdr:rowOff>0</xdr:rowOff>
    </xdr:from>
    <xdr:to>
      <xdr:col>116</xdr:col>
      <xdr:colOff>354393</xdr:colOff>
      <xdr:row>3</xdr:row>
      <xdr:rowOff>61500</xdr:rowOff>
    </xdr:to>
    <xdr:sp macro="" textlink="">
      <xdr:nvSpPr>
        <xdr:cNvPr id="18" name="フローチャート : 結合子 24">
          <a:extLst>
            <a:ext uri="{FF2B5EF4-FFF2-40B4-BE49-F238E27FC236}">
              <a16:creationId xmlns:a16="http://schemas.microsoft.com/office/drawing/2014/main" id="{00000000-0008-0000-0800-000012000000}"/>
            </a:ext>
          </a:extLst>
        </xdr:cNvPr>
        <xdr:cNvSpPr/>
      </xdr:nvSpPr>
      <xdr:spPr>
        <a:xfrm>
          <a:off x="11265693" y="952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116</xdr:col>
      <xdr:colOff>185059</xdr:colOff>
      <xdr:row>9</xdr:row>
      <xdr:rowOff>81644</xdr:rowOff>
    </xdr:from>
    <xdr:to>
      <xdr:col>154</xdr:col>
      <xdr:colOff>57150</xdr:colOff>
      <xdr:row>13</xdr:row>
      <xdr:rowOff>38100</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11348359" y="938894"/>
          <a:ext cx="4015466"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ホスティングサービス提供者様の情報をご記入ください。</a:t>
          </a:r>
        </a:p>
      </xdr:txBody>
    </xdr:sp>
    <xdr:clientData/>
  </xdr:twoCellAnchor>
  <xdr:twoCellAnchor>
    <xdr:from>
      <xdr:col>116</xdr:col>
      <xdr:colOff>102393</xdr:colOff>
      <xdr:row>8</xdr:row>
      <xdr:rowOff>9525</xdr:rowOff>
    </xdr:from>
    <xdr:to>
      <xdr:col>116</xdr:col>
      <xdr:colOff>354393</xdr:colOff>
      <xdr:row>10</xdr:row>
      <xdr:rowOff>71025</xdr:rowOff>
    </xdr:to>
    <xdr:sp macro="" textlink="">
      <xdr:nvSpPr>
        <xdr:cNvPr id="20" name="フローチャート : 結合子 26">
          <a:extLst>
            <a:ext uri="{FF2B5EF4-FFF2-40B4-BE49-F238E27FC236}">
              <a16:creationId xmlns:a16="http://schemas.microsoft.com/office/drawing/2014/main" id="{00000000-0008-0000-0800-000014000000}"/>
            </a:ext>
          </a:extLst>
        </xdr:cNvPr>
        <xdr:cNvSpPr/>
      </xdr:nvSpPr>
      <xdr:spPr>
        <a:xfrm>
          <a:off x="11265693" y="7715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116</xdr:col>
      <xdr:colOff>185059</xdr:colOff>
      <xdr:row>15</xdr:row>
      <xdr:rowOff>91168</xdr:rowOff>
    </xdr:from>
    <xdr:to>
      <xdr:col>154</xdr:col>
      <xdr:colOff>57150</xdr:colOff>
      <xdr:row>19</xdr:row>
      <xdr:rowOff>66675</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a:xfrm>
          <a:off x="11348359" y="1519918"/>
          <a:ext cx="4015466"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en-US" sz="900">
              <a:solidFill>
                <a:sysClr val="windowText" lastClr="000000"/>
              </a:solidFill>
              <a:effectLst/>
              <a:latin typeface="+mn-lt"/>
              <a:ea typeface="+mn-ea"/>
              <a:cs typeface="+mn-cs"/>
            </a:rPr>
            <a:t>ホスティングサービス提供者様へ販売される販売店様</a:t>
          </a:r>
          <a:r>
            <a:rPr kumimoji="1" lang="ja-JP" altLang="ja-JP" sz="900">
              <a:solidFill>
                <a:sysClr val="windowText" lastClr="000000"/>
              </a:solidFill>
              <a:effectLst/>
              <a:latin typeface="+mn-lt"/>
              <a:ea typeface="+mn-ea"/>
              <a:cs typeface="+mn-cs"/>
            </a:rPr>
            <a:t>の情報をご記入ください。</a:t>
          </a:r>
          <a:endParaRPr lang="ja-JP" altLang="ja-JP" sz="900">
            <a:solidFill>
              <a:sysClr val="windowText" lastClr="000000"/>
            </a:solidFill>
            <a:effectLst/>
          </a:endParaRPr>
        </a:p>
      </xdr:txBody>
    </xdr:sp>
    <xdr:clientData/>
  </xdr:twoCellAnchor>
  <xdr:twoCellAnchor>
    <xdr:from>
      <xdr:col>116</xdr:col>
      <xdr:colOff>102393</xdr:colOff>
      <xdr:row>14</xdr:row>
      <xdr:rowOff>0</xdr:rowOff>
    </xdr:from>
    <xdr:to>
      <xdr:col>116</xdr:col>
      <xdr:colOff>354393</xdr:colOff>
      <xdr:row>16</xdr:row>
      <xdr:rowOff>61500</xdr:rowOff>
    </xdr:to>
    <xdr:sp macro="" textlink="">
      <xdr:nvSpPr>
        <xdr:cNvPr id="22" name="フローチャート : 結合子 26">
          <a:extLst>
            <a:ext uri="{FF2B5EF4-FFF2-40B4-BE49-F238E27FC236}">
              <a16:creationId xmlns:a16="http://schemas.microsoft.com/office/drawing/2014/main" id="{00000000-0008-0000-0800-000016000000}"/>
            </a:ext>
          </a:extLst>
        </xdr:cNvPr>
        <xdr:cNvSpPr/>
      </xdr:nvSpPr>
      <xdr:spPr>
        <a:xfrm>
          <a:off x="11265693" y="13335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116</xdr:col>
      <xdr:colOff>185059</xdr:colOff>
      <xdr:row>22</xdr:row>
      <xdr:rowOff>24493</xdr:rowOff>
    </xdr:from>
    <xdr:to>
      <xdr:col>154</xdr:col>
      <xdr:colOff>57150</xdr:colOff>
      <xdr:row>27</xdr:row>
      <xdr:rowOff>19050</xdr:rowOff>
    </xdr:to>
    <xdr:sp macro="" textlink="">
      <xdr:nvSpPr>
        <xdr:cNvPr id="23" name="正方形/長方形 22">
          <a:extLst>
            <a:ext uri="{FF2B5EF4-FFF2-40B4-BE49-F238E27FC236}">
              <a16:creationId xmlns:a16="http://schemas.microsoft.com/office/drawing/2014/main" id="{00000000-0008-0000-0800-000017000000}"/>
            </a:ext>
          </a:extLst>
        </xdr:cNvPr>
        <xdr:cNvSpPr/>
      </xdr:nvSpPr>
      <xdr:spPr>
        <a:xfrm>
          <a:off x="11348359" y="2119993"/>
          <a:ext cx="4015466"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en-US" sz="900">
              <a:solidFill>
                <a:sysClr val="windowText" lastClr="000000"/>
              </a:solidFill>
              <a:effectLst/>
              <a:latin typeface="+mn-lt"/>
              <a:ea typeface="+mn-ea"/>
              <a:cs typeface="+mn-cs"/>
            </a:rPr>
            <a:t>入力された担当者アドレスへ更新案内や各種情報のご案内が行われます。</a:t>
          </a:r>
        </a:p>
        <a:p>
          <a:r>
            <a:rPr kumimoji="1" lang="ja-JP" altLang="en-US" sz="900">
              <a:solidFill>
                <a:sysClr val="windowText" lastClr="000000"/>
              </a:solidFill>
              <a:effectLst/>
              <a:latin typeface="+mn-lt"/>
              <a:ea typeface="+mn-ea"/>
              <a:cs typeface="+mn-cs"/>
            </a:rPr>
            <a:t>ご案内を望まない場合は</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をご選択下さい。</a:t>
          </a:r>
        </a:p>
      </xdr:txBody>
    </xdr:sp>
    <xdr:clientData/>
  </xdr:twoCellAnchor>
  <xdr:twoCellAnchor>
    <xdr:from>
      <xdr:col>116</xdr:col>
      <xdr:colOff>102393</xdr:colOff>
      <xdr:row>20</xdr:row>
      <xdr:rowOff>28575</xdr:rowOff>
    </xdr:from>
    <xdr:to>
      <xdr:col>116</xdr:col>
      <xdr:colOff>354393</xdr:colOff>
      <xdr:row>22</xdr:row>
      <xdr:rowOff>90075</xdr:rowOff>
    </xdr:to>
    <xdr:sp macro="" textlink="">
      <xdr:nvSpPr>
        <xdr:cNvPr id="24" name="フローチャート : 結合子 26">
          <a:extLst>
            <a:ext uri="{FF2B5EF4-FFF2-40B4-BE49-F238E27FC236}">
              <a16:creationId xmlns:a16="http://schemas.microsoft.com/office/drawing/2014/main" id="{00000000-0008-0000-0800-000018000000}"/>
            </a:ext>
          </a:extLst>
        </xdr:cNvPr>
        <xdr:cNvSpPr/>
      </xdr:nvSpPr>
      <xdr:spPr>
        <a:xfrm>
          <a:off x="11265693" y="19335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185059</xdr:colOff>
      <xdr:row>36</xdr:row>
      <xdr:rowOff>34018</xdr:rowOff>
    </xdr:from>
    <xdr:to>
      <xdr:col>154</xdr:col>
      <xdr:colOff>57150</xdr:colOff>
      <xdr:row>44</xdr:row>
      <xdr:rowOff>66675</xdr:rowOff>
    </xdr:to>
    <xdr:sp macro="" textlink="">
      <xdr:nvSpPr>
        <xdr:cNvPr id="25" name="正方形/長方形 24">
          <a:extLst>
            <a:ext uri="{FF2B5EF4-FFF2-40B4-BE49-F238E27FC236}">
              <a16:creationId xmlns:a16="http://schemas.microsoft.com/office/drawing/2014/main" id="{00000000-0008-0000-0800-000019000000}"/>
            </a:ext>
          </a:extLst>
        </xdr:cNvPr>
        <xdr:cNvSpPr/>
      </xdr:nvSpPr>
      <xdr:spPr>
        <a:xfrm>
          <a:off x="11348359" y="3463018"/>
          <a:ext cx="4015466"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販売店様情報を</a:t>
          </a:r>
          <a:r>
            <a:rPr kumimoji="1" lang="ja-JP" altLang="ja-JP" sz="900" baseline="0">
              <a:solidFill>
                <a:sysClr val="windowText" lastClr="000000"/>
              </a:solidFill>
              <a:effectLst/>
              <a:latin typeface="+mn-lt"/>
              <a:ea typeface="+mn-ea"/>
              <a:cs typeface="+mn-cs"/>
            </a:rPr>
            <a:t>全てご記入ください。</a:t>
          </a:r>
          <a:endParaRPr lang="ja-JP" altLang="ja-JP" sz="900">
            <a:solidFill>
              <a:sysClr val="windowText" lastClr="000000"/>
            </a:solidFill>
            <a:effectLst/>
          </a:endParaRPr>
        </a:p>
      </xdr:txBody>
    </xdr:sp>
    <xdr:clientData/>
  </xdr:twoCellAnchor>
  <xdr:twoCellAnchor>
    <xdr:from>
      <xdr:col>116</xdr:col>
      <xdr:colOff>102393</xdr:colOff>
      <xdr:row>34</xdr:row>
      <xdr:rowOff>38100</xdr:rowOff>
    </xdr:from>
    <xdr:to>
      <xdr:col>116</xdr:col>
      <xdr:colOff>354393</xdr:colOff>
      <xdr:row>37</xdr:row>
      <xdr:rowOff>4350</xdr:rowOff>
    </xdr:to>
    <xdr:sp macro="" textlink="">
      <xdr:nvSpPr>
        <xdr:cNvPr id="26" name="フローチャート : 結合子 26">
          <a:extLst>
            <a:ext uri="{FF2B5EF4-FFF2-40B4-BE49-F238E27FC236}">
              <a16:creationId xmlns:a16="http://schemas.microsoft.com/office/drawing/2014/main" id="{00000000-0008-0000-0800-00001A000000}"/>
            </a:ext>
          </a:extLst>
        </xdr:cNvPr>
        <xdr:cNvSpPr/>
      </xdr:nvSpPr>
      <xdr:spPr>
        <a:xfrm>
          <a:off x="11265693" y="3276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57</xdr:col>
      <xdr:colOff>0</xdr:colOff>
      <xdr:row>22</xdr:row>
      <xdr:rowOff>38100</xdr:rowOff>
    </xdr:from>
    <xdr:to>
      <xdr:col>59</xdr:col>
      <xdr:colOff>61500</xdr:colOff>
      <xdr:row>25</xdr:row>
      <xdr:rowOff>4350</xdr:rowOff>
    </xdr:to>
    <xdr:sp macro="" textlink="">
      <xdr:nvSpPr>
        <xdr:cNvPr id="27" name="フローチャート : 結合子 5">
          <a:extLst>
            <a:ext uri="{FF2B5EF4-FFF2-40B4-BE49-F238E27FC236}">
              <a16:creationId xmlns:a16="http://schemas.microsoft.com/office/drawing/2014/main" id="{00000000-0008-0000-0800-00001B000000}"/>
            </a:ext>
          </a:extLst>
        </xdr:cNvPr>
        <xdr:cNvSpPr/>
      </xdr:nvSpPr>
      <xdr:spPr>
        <a:xfrm>
          <a:off x="5543550" y="2133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57</xdr:col>
      <xdr:colOff>9525</xdr:colOff>
      <xdr:row>25</xdr:row>
      <xdr:rowOff>76198</xdr:rowOff>
    </xdr:from>
    <xdr:to>
      <xdr:col>59</xdr:col>
      <xdr:colOff>71025</xdr:colOff>
      <xdr:row>28</xdr:row>
      <xdr:rowOff>42448</xdr:rowOff>
    </xdr:to>
    <xdr:sp macro="" textlink="">
      <xdr:nvSpPr>
        <xdr:cNvPr id="28" name="フローチャート : 結合子 10">
          <a:extLst>
            <a:ext uri="{FF2B5EF4-FFF2-40B4-BE49-F238E27FC236}">
              <a16:creationId xmlns:a16="http://schemas.microsoft.com/office/drawing/2014/main" id="{00000000-0008-0000-0800-00001C000000}"/>
            </a:ext>
          </a:extLst>
        </xdr:cNvPr>
        <xdr:cNvSpPr/>
      </xdr:nvSpPr>
      <xdr:spPr>
        <a:xfrm>
          <a:off x="5553075" y="2457448"/>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9525</xdr:colOff>
      <xdr:row>44</xdr:row>
      <xdr:rowOff>76198</xdr:rowOff>
    </xdr:from>
    <xdr:to>
      <xdr:col>59</xdr:col>
      <xdr:colOff>71025</xdr:colOff>
      <xdr:row>47</xdr:row>
      <xdr:rowOff>42448</xdr:rowOff>
    </xdr:to>
    <xdr:sp macro="" textlink="">
      <xdr:nvSpPr>
        <xdr:cNvPr id="29" name="フローチャート : 結合子 10">
          <a:extLst>
            <a:ext uri="{FF2B5EF4-FFF2-40B4-BE49-F238E27FC236}">
              <a16:creationId xmlns:a16="http://schemas.microsoft.com/office/drawing/2014/main" id="{00000000-0008-0000-0800-00001D000000}"/>
            </a:ext>
          </a:extLst>
        </xdr:cNvPr>
        <xdr:cNvSpPr/>
      </xdr:nvSpPr>
      <xdr:spPr>
        <a:xfrm>
          <a:off x="5553075" y="4267198"/>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57</xdr:col>
      <xdr:colOff>0</xdr:colOff>
      <xdr:row>39</xdr:row>
      <xdr:rowOff>57148</xdr:rowOff>
    </xdr:from>
    <xdr:to>
      <xdr:col>59</xdr:col>
      <xdr:colOff>61500</xdr:colOff>
      <xdr:row>42</xdr:row>
      <xdr:rowOff>23398</xdr:rowOff>
    </xdr:to>
    <xdr:sp macro="" textlink="">
      <xdr:nvSpPr>
        <xdr:cNvPr id="30" name="フローチャート : 結合子 10">
          <a:extLst>
            <a:ext uri="{FF2B5EF4-FFF2-40B4-BE49-F238E27FC236}">
              <a16:creationId xmlns:a16="http://schemas.microsoft.com/office/drawing/2014/main" id="{00000000-0008-0000-0800-00001E000000}"/>
            </a:ext>
          </a:extLst>
        </xdr:cNvPr>
        <xdr:cNvSpPr/>
      </xdr:nvSpPr>
      <xdr:spPr>
        <a:xfrm>
          <a:off x="5543550" y="3771898"/>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57</xdr:col>
      <xdr:colOff>9525</xdr:colOff>
      <xdr:row>58</xdr:row>
      <xdr:rowOff>76199</xdr:rowOff>
    </xdr:from>
    <xdr:to>
      <xdr:col>59</xdr:col>
      <xdr:colOff>71025</xdr:colOff>
      <xdr:row>61</xdr:row>
      <xdr:rowOff>42449</xdr:rowOff>
    </xdr:to>
    <xdr:sp macro="" textlink="">
      <xdr:nvSpPr>
        <xdr:cNvPr id="31" name="フローチャート : 結合子 10">
          <a:extLst>
            <a:ext uri="{FF2B5EF4-FFF2-40B4-BE49-F238E27FC236}">
              <a16:creationId xmlns:a16="http://schemas.microsoft.com/office/drawing/2014/main" id="{00000000-0008-0000-0800-00001F000000}"/>
            </a:ext>
          </a:extLst>
        </xdr:cNvPr>
        <xdr:cNvSpPr/>
      </xdr:nvSpPr>
      <xdr:spPr>
        <a:xfrm>
          <a:off x="5553075" y="560069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185059</xdr:colOff>
      <xdr:row>63</xdr:row>
      <xdr:rowOff>1</xdr:rowOff>
    </xdr:from>
    <xdr:to>
      <xdr:col>154</xdr:col>
      <xdr:colOff>57150</xdr:colOff>
      <xdr:row>67</xdr:row>
      <xdr:rowOff>57150</xdr:rowOff>
    </xdr:to>
    <xdr:sp macro="" textlink="">
      <xdr:nvSpPr>
        <xdr:cNvPr id="32" name="正方形/長方形 31">
          <a:extLst>
            <a:ext uri="{FF2B5EF4-FFF2-40B4-BE49-F238E27FC236}">
              <a16:creationId xmlns:a16="http://schemas.microsoft.com/office/drawing/2014/main" id="{00000000-0008-0000-0800-000020000000}"/>
            </a:ext>
          </a:extLst>
        </xdr:cNvPr>
        <xdr:cNvSpPr/>
      </xdr:nvSpPr>
      <xdr:spPr>
        <a:xfrm>
          <a:off x="11348359" y="6000751"/>
          <a:ext cx="4015466" cy="438149"/>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D-SPA</a:t>
          </a:r>
          <a:r>
            <a:rPr lang="ja-JP" altLang="en-US" sz="900">
              <a:solidFill>
                <a:sysClr val="windowText" lastClr="000000"/>
              </a:solidFill>
              <a:effectLst/>
              <a:latin typeface="+mn-lt"/>
              <a:ea typeface="+mn-ea"/>
              <a:cs typeface="+mn-cs"/>
            </a:rPr>
            <a:t>本体機器に関する申請事項をご入力ください。</a:t>
          </a:r>
          <a:endParaRPr lang="en-US" altLang="ja-JP" sz="900">
            <a:solidFill>
              <a:sysClr val="windowText" lastClr="000000"/>
            </a:solidFill>
            <a:effectLst/>
            <a:latin typeface="+mn-lt"/>
            <a:ea typeface="+mn-ea"/>
            <a:cs typeface="+mn-cs"/>
          </a:endParaRPr>
        </a:p>
      </xdr:txBody>
    </xdr:sp>
    <xdr:clientData/>
  </xdr:twoCellAnchor>
  <xdr:twoCellAnchor>
    <xdr:from>
      <xdr:col>113</xdr:col>
      <xdr:colOff>47625</xdr:colOff>
      <xdr:row>77</xdr:row>
      <xdr:rowOff>28575</xdr:rowOff>
    </xdr:from>
    <xdr:to>
      <xdr:col>116</xdr:col>
      <xdr:colOff>13875</xdr:colOff>
      <xdr:row>80</xdr:row>
      <xdr:rowOff>23400</xdr:rowOff>
    </xdr:to>
    <xdr:sp macro="" textlink="">
      <xdr:nvSpPr>
        <xdr:cNvPr id="35" name="フローチャート : 結合子 26">
          <a:extLst>
            <a:ext uri="{FF2B5EF4-FFF2-40B4-BE49-F238E27FC236}">
              <a16:creationId xmlns:a16="http://schemas.microsoft.com/office/drawing/2014/main" id="{00000000-0008-0000-0800-000023000000}"/>
            </a:ext>
          </a:extLst>
        </xdr:cNvPr>
        <xdr:cNvSpPr/>
      </xdr:nvSpPr>
      <xdr:spPr>
        <a:xfrm>
          <a:off x="10925175" y="6381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116</xdr:col>
      <xdr:colOff>185059</xdr:colOff>
      <xdr:row>70</xdr:row>
      <xdr:rowOff>85726</xdr:rowOff>
    </xdr:from>
    <xdr:to>
      <xdr:col>154</xdr:col>
      <xdr:colOff>57150</xdr:colOff>
      <xdr:row>75</xdr:row>
      <xdr:rowOff>57151</xdr:rowOff>
    </xdr:to>
    <xdr:sp macro="" textlink="">
      <xdr:nvSpPr>
        <xdr:cNvPr id="36" name="正方形/長方形 35">
          <a:extLst>
            <a:ext uri="{FF2B5EF4-FFF2-40B4-BE49-F238E27FC236}">
              <a16:creationId xmlns:a16="http://schemas.microsoft.com/office/drawing/2014/main" id="{00000000-0008-0000-0800-000024000000}"/>
            </a:ext>
          </a:extLst>
        </xdr:cNvPr>
        <xdr:cNvSpPr/>
      </xdr:nvSpPr>
      <xdr:spPr>
        <a:xfrm>
          <a:off x="11348359" y="6753226"/>
          <a:ext cx="4015466" cy="43815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D-SPA</a:t>
          </a:r>
          <a:r>
            <a:rPr lang="ja-JP" altLang="en-US" sz="900">
              <a:solidFill>
                <a:sysClr val="windowText" lastClr="000000"/>
              </a:solidFill>
              <a:effectLst/>
              <a:latin typeface="+mn-lt"/>
              <a:ea typeface="+mn-ea"/>
              <a:cs typeface="+mn-cs"/>
            </a:rPr>
            <a:t>本体機器の保守サービスに関する申請事項をご入力ください。</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102393</xdr:colOff>
      <xdr:row>68</xdr:row>
      <xdr:rowOff>76200</xdr:rowOff>
    </xdr:from>
    <xdr:to>
      <xdr:col>116</xdr:col>
      <xdr:colOff>354393</xdr:colOff>
      <xdr:row>71</xdr:row>
      <xdr:rowOff>42450</xdr:rowOff>
    </xdr:to>
    <xdr:sp macro="" textlink="">
      <xdr:nvSpPr>
        <xdr:cNvPr id="37" name="フローチャート : 結合子 26">
          <a:extLst>
            <a:ext uri="{FF2B5EF4-FFF2-40B4-BE49-F238E27FC236}">
              <a16:creationId xmlns:a16="http://schemas.microsoft.com/office/drawing/2014/main" id="{00000000-0008-0000-0800-000025000000}"/>
            </a:ext>
          </a:extLst>
        </xdr:cNvPr>
        <xdr:cNvSpPr/>
      </xdr:nvSpPr>
      <xdr:spPr>
        <a:xfrm>
          <a:off x="11265693" y="65532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50" b="1">
              <a:solidFill>
                <a:sysClr val="windowText" lastClr="000000"/>
              </a:solidFill>
              <a:latin typeface="+mn-ea"/>
              <a:ea typeface="+mn-ea"/>
            </a:rPr>
            <a:t>9</a:t>
          </a:r>
        </a:p>
      </xdr:txBody>
    </xdr:sp>
    <xdr:clientData/>
  </xdr:twoCellAnchor>
  <xdr:twoCellAnchor>
    <xdr:from>
      <xdr:col>113</xdr:col>
      <xdr:colOff>57150</xdr:colOff>
      <xdr:row>96</xdr:row>
      <xdr:rowOff>38100</xdr:rowOff>
    </xdr:from>
    <xdr:to>
      <xdr:col>116</xdr:col>
      <xdr:colOff>23400</xdr:colOff>
      <xdr:row>99</xdr:row>
      <xdr:rowOff>32925</xdr:rowOff>
    </xdr:to>
    <xdr:sp macro="" textlink="">
      <xdr:nvSpPr>
        <xdr:cNvPr id="39" name="フローチャート : 結合子 26">
          <a:extLst>
            <a:ext uri="{FF2B5EF4-FFF2-40B4-BE49-F238E27FC236}">
              <a16:creationId xmlns:a16="http://schemas.microsoft.com/office/drawing/2014/main" id="{00000000-0008-0000-0800-000027000000}"/>
            </a:ext>
          </a:extLst>
        </xdr:cNvPr>
        <xdr:cNvSpPr/>
      </xdr:nvSpPr>
      <xdr:spPr>
        <a:xfrm>
          <a:off x="10934700" y="81343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1">
              <a:solidFill>
                <a:sysClr val="windowText" lastClr="000000"/>
              </a:solidFill>
              <a:latin typeface="+mn-ea"/>
              <a:ea typeface="+mn-ea"/>
            </a:rPr>
            <a:t>9</a:t>
          </a:r>
        </a:p>
      </xdr:txBody>
    </xdr:sp>
    <xdr:clientData/>
  </xdr:twoCellAnchor>
  <xdr:twoCellAnchor>
    <xdr:from>
      <xdr:col>116</xdr:col>
      <xdr:colOff>194584</xdr:colOff>
      <xdr:row>79</xdr:row>
      <xdr:rowOff>9526</xdr:rowOff>
    </xdr:from>
    <xdr:to>
      <xdr:col>154</xdr:col>
      <xdr:colOff>57150</xdr:colOff>
      <xdr:row>86</xdr:row>
      <xdr:rowOff>9525</xdr:rowOff>
    </xdr:to>
    <xdr:sp macro="" textlink="">
      <xdr:nvSpPr>
        <xdr:cNvPr id="40" name="正方形/長方形 39">
          <a:extLst>
            <a:ext uri="{FF2B5EF4-FFF2-40B4-BE49-F238E27FC236}">
              <a16:creationId xmlns:a16="http://schemas.microsoft.com/office/drawing/2014/main" id="{00000000-0008-0000-0800-000028000000}"/>
            </a:ext>
          </a:extLst>
        </xdr:cNvPr>
        <xdr:cNvSpPr/>
      </xdr:nvSpPr>
      <xdr:spPr>
        <a:xfrm>
          <a:off x="11357884" y="7486651"/>
          <a:ext cx="4005941" cy="71437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D-SPA</a:t>
          </a:r>
          <a:r>
            <a:rPr lang="ja-JP" altLang="en-US" sz="900">
              <a:solidFill>
                <a:sysClr val="windowText" lastClr="000000"/>
              </a:solidFill>
              <a:effectLst/>
              <a:latin typeface="+mn-lt"/>
              <a:ea typeface="+mn-ea"/>
              <a:cs typeface="+mn-cs"/>
            </a:rPr>
            <a:t>本体機器の設置場所に関する申請事項をご入力ください。</a:t>
          </a:r>
          <a:endParaRPr lang="en-US" altLang="ja-JP" sz="900">
            <a:solidFill>
              <a:sysClr val="windowText" lastClr="000000"/>
            </a:solidFill>
            <a:effectLst/>
            <a:latin typeface="+mn-lt"/>
            <a:ea typeface="+mn-ea"/>
            <a:cs typeface="+mn-cs"/>
          </a:endParaRPr>
        </a:p>
        <a:p>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「モデル」列は「ご購入保守サービス明細」表より転記されます。</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104775</xdr:colOff>
      <xdr:row>77</xdr:row>
      <xdr:rowOff>19050</xdr:rowOff>
    </xdr:from>
    <xdr:to>
      <xdr:col>116</xdr:col>
      <xdr:colOff>356775</xdr:colOff>
      <xdr:row>80</xdr:row>
      <xdr:rowOff>13875</xdr:rowOff>
    </xdr:to>
    <xdr:sp macro="" textlink="">
      <xdr:nvSpPr>
        <xdr:cNvPr id="41" name="フローチャート : 結合子 26">
          <a:extLst>
            <a:ext uri="{FF2B5EF4-FFF2-40B4-BE49-F238E27FC236}">
              <a16:creationId xmlns:a16="http://schemas.microsoft.com/office/drawing/2014/main" id="{00000000-0008-0000-0800-000029000000}"/>
            </a:ext>
          </a:extLst>
        </xdr:cNvPr>
        <xdr:cNvSpPr/>
      </xdr:nvSpPr>
      <xdr:spPr>
        <a:xfrm>
          <a:off x="11268075" y="73247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050" b="1">
            <a:solidFill>
              <a:sysClr val="windowText" lastClr="000000"/>
            </a:solidFill>
            <a:latin typeface="+mn-ea"/>
            <a:ea typeface="+mn-ea"/>
          </a:endParaRPr>
        </a:p>
      </xdr:txBody>
    </xdr:sp>
    <xdr:clientData/>
  </xdr:twoCellAnchor>
  <xdr:twoCellAnchor>
    <xdr:from>
      <xdr:col>113</xdr:col>
      <xdr:colOff>57150</xdr:colOff>
      <xdr:row>115</xdr:row>
      <xdr:rowOff>47625</xdr:rowOff>
    </xdr:from>
    <xdr:to>
      <xdr:col>116</xdr:col>
      <xdr:colOff>23400</xdr:colOff>
      <xdr:row>118</xdr:row>
      <xdr:rowOff>42450</xdr:rowOff>
    </xdr:to>
    <xdr:sp macro="" textlink="">
      <xdr:nvSpPr>
        <xdr:cNvPr id="43" name="フローチャート : 結合子 26">
          <a:extLst>
            <a:ext uri="{FF2B5EF4-FFF2-40B4-BE49-F238E27FC236}">
              <a16:creationId xmlns:a16="http://schemas.microsoft.com/office/drawing/2014/main" id="{00000000-0008-0000-0800-00002B000000}"/>
            </a:ext>
          </a:extLst>
        </xdr:cNvPr>
        <xdr:cNvSpPr/>
      </xdr:nvSpPr>
      <xdr:spPr>
        <a:xfrm>
          <a:off x="10934700" y="97726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b="1">
            <a:solidFill>
              <a:sysClr val="windowText" lastClr="000000"/>
            </a:solidFill>
            <a:latin typeface="+mn-ea"/>
            <a:ea typeface="+mn-ea"/>
          </a:endParaRPr>
        </a:p>
      </xdr:txBody>
    </xdr:sp>
    <xdr:clientData/>
  </xdr:twoCellAnchor>
  <xdr:twoCellAnchor>
    <xdr:from>
      <xdr:col>116</xdr:col>
      <xdr:colOff>185059</xdr:colOff>
      <xdr:row>89</xdr:row>
      <xdr:rowOff>9526</xdr:rowOff>
    </xdr:from>
    <xdr:to>
      <xdr:col>154</xdr:col>
      <xdr:colOff>57150</xdr:colOff>
      <xdr:row>94</xdr:row>
      <xdr:rowOff>19051</xdr:rowOff>
    </xdr:to>
    <xdr:sp macro="" textlink="">
      <xdr:nvSpPr>
        <xdr:cNvPr id="46" name="正方形/長方形 45">
          <a:extLst>
            <a:ext uri="{FF2B5EF4-FFF2-40B4-BE49-F238E27FC236}">
              <a16:creationId xmlns:a16="http://schemas.microsoft.com/office/drawing/2014/main" id="{00000000-0008-0000-0800-00002E000000}"/>
            </a:ext>
          </a:extLst>
        </xdr:cNvPr>
        <xdr:cNvSpPr/>
      </xdr:nvSpPr>
      <xdr:spPr>
        <a:xfrm>
          <a:off x="11348359" y="8458201"/>
          <a:ext cx="4015466" cy="43815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ソフトウェアオプションに関する申請事項をご入力ください。</a:t>
          </a:r>
          <a:endParaRPr lang="en-US" altLang="ja-JP" sz="900">
            <a:solidFill>
              <a:sysClr val="windowText" lastClr="000000"/>
            </a:solidFill>
            <a:effectLst/>
            <a:latin typeface="+mn-lt"/>
            <a:ea typeface="+mn-ea"/>
            <a:cs typeface="+mn-cs"/>
          </a:endParaRPr>
        </a:p>
      </xdr:txBody>
    </xdr:sp>
    <xdr:clientData/>
  </xdr:twoCellAnchor>
  <xdr:twoCellAnchor>
    <xdr:from>
      <xdr:col>0</xdr:col>
      <xdr:colOff>104774</xdr:colOff>
      <xdr:row>163</xdr:row>
      <xdr:rowOff>9525</xdr:rowOff>
    </xdr:from>
    <xdr:to>
      <xdr:col>2</xdr:col>
      <xdr:colOff>28574</xdr:colOff>
      <xdr:row>164</xdr:row>
      <xdr:rowOff>47624</xdr:rowOff>
    </xdr:to>
    <xdr:sp macro="" textlink="">
      <xdr:nvSpPr>
        <xdr:cNvPr id="49" name="フローチャート : 結合子 26">
          <a:extLst>
            <a:ext uri="{FF2B5EF4-FFF2-40B4-BE49-F238E27FC236}">
              <a16:creationId xmlns:a16="http://schemas.microsoft.com/office/drawing/2014/main" id="{00000000-0008-0000-0800-000031000000}"/>
            </a:ext>
          </a:extLst>
        </xdr:cNvPr>
        <xdr:cNvSpPr/>
      </xdr:nvSpPr>
      <xdr:spPr>
        <a:xfrm>
          <a:off x="104774" y="14944725"/>
          <a:ext cx="219075" cy="190499"/>
        </a:xfrm>
        <a:prstGeom prst="ellipse">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a:t>
          </a:r>
        </a:p>
      </xdr:txBody>
    </xdr:sp>
    <xdr:clientData/>
  </xdr:twoCellAnchor>
  <xdr:twoCellAnchor>
    <xdr:from>
      <xdr:col>116</xdr:col>
      <xdr:colOff>213631</xdr:colOff>
      <xdr:row>98</xdr:row>
      <xdr:rowOff>19051</xdr:rowOff>
    </xdr:from>
    <xdr:to>
      <xdr:col>178</xdr:col>
      <xdr:colOff>76199</xdr:colOff>
      <xdr:row>128</xdr:row>
      <xdr:rowOff>19050</xdr:rowOff>
    </xdr:to>
    <xdr:sp macro="" textlink="">
      <xdr:nvSpPr>
        <xdr:cNvPr id="51" name="正方形/長方形 50">
          <a:extLst>
            <a:ext uri="{FF2B5EF4-FFF2-40B4-BE49-F238E27FC236}">
              <a16:creationId xmlns:a16="http://schemas.microsoft.com/office/drawing/2014/main" id="{00000000-0008-0000-0800-000033000000}"/>
            </a:ext>
          </a:extLst>
        </xdr:cNvPr>
        <xdr:cNvSpPr/>
      </xdr:nvSpPr>
      <xdr:spPr>
        <a:xfrm>
          <a:off x="11376931" y="9239251"/>
          <a:ext cx="6291943" cy="2571749"/>
        </a:xfrm>
        <a:prstGeom prst="rect">
          <a:avLst/>
        </a:prstGeom>
        <a:solidFill>
          <a:schemeClr val="accent4">
            <a:lumMod val="20000"/>
            <a:lumOff val="80000"/>
          </a:schemeClr>
        </a:solidFill>
        <a:ln w="444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i-FILTER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for D-SPA Ver.4</a:t>
          </a:r>
          <a:r>
            <a:rPr lang="ja-JP" altLang="en-US" sz="900">
              <a:solidFill>
                <a:sysClr val="windowText" lastClr="000000"/>
              </a:solidFill>
              <a:effectLst/>
              <a:latin typeface="+mn-lt"/>
              <a:ea typeface="+mn-ea"/>
              <a:cs typeface="+mn-cs"/>
            </a:rPr>
            <a:t> （以下、</a:t>
          </a:r>
          <a:r>
            <a:rPr lang="en-US" altLang="ja-JP" sz="900">
              <a:solidFill>
                <a:sysClr val="windowText" lastClr="000000"/>
              </a:solidFill>
              <a:effectLst/>
              <a:latin typeface="+mn-lt"/>
              <a:ea typeface="+mn-ea"/>
              <a:cs typeface="+mn-cs"/>
            </a:rPr>
            <a:t>i-FILTER for D-SPA </a:t>
          </a:r>
          <a:r>
            <a:rPr lang="ja-JP" altLang="en-US" sz="900">
              <a:solidFill>
                <a:sysClr val="windowText" lastClr="000000"/>
              </a:solidFill>
              <a:effectLst/>
              <a:latin typeface="+mn-lt"/>
              <a:ea typeface="+mn-ea"/>
              <a:cs typeface="+mn-cs"/>
            </a:rPr>
            <a:t>）をご利用される場合は、</a:t>
          </a:r>
          <a:endParaRPr lang="en-US" altLang="ja-JP" sz="900">
            <a:solidFill>
              <a:sysClr val="windowText" lastClr="000000"/>
            </a:solidFill>
            <a:effectLst/>
            <a:latin typeface="+mn-lt"/>
            <a:ea typeface="+mn-ea"/>
            <a:cs typeface="+mn-cs"/>
          </a:endParaRPr>
        </a:p>
        <a:p>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アラートの通知先登録についてご確認ください。</a:t>
          </a:r>
          <a:endParaRPr lang="en-US" altLang="ja-JP" sz="9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9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(1)</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アラート対象製品の</a:t>
          </a:r>
          <a:r>
            <a:rPr kumimoji="0" lang="ja-JP" altLang="en-US" sz="900" b="1" i="0" u="none" strike="noStrike" kern="0" cap="none" spc="0" normalizeH="0" baseline="0" noProof="0">
              <a:ln>
                <a:noFill/>
              </a:ln>
              <a:solidFill>
                <a:srgbClr val="FF0000"/>
              </a:solidFill>
              <a:effectLst/>
              <a:uLnTx/>
              <a:uFillTx/>
              <a:latin typeface="+mn-lt"/>
              <a:ea typeface="+mn-ea"/>
              <a:cs typeface="+mn-cs"/>
            </a:rPr>
            <a:t>新規</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のお申し込みの場合は、注意書きをお読みいただき「了承済」をご選択ください。</a:t>
          </a:r>
          <a:endParaRPr kumimoji="0" lang="en-US" altLang="ja-JP" sz="9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必要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な場合は、シリアルの納品後に、</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アラート通知先申請サイトより通知先のメールアドレスをご申請ください。</a:t>
          </a:r>
          <a:endParaRPr kumimoji="0" lang="en-US" altLang="ja-JP" sz="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不要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な場合は、シリアルの納品後に、</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アラート通知先申請サイトより通知不要の旨をご申請ください。</a:t>
          </a:r>
          <a:endParaRPr kumimoji="0"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(2)</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アラート対象製品の</a:t>
          </a:r>
          <a:r>
            <a:rPr kumimoji="0" lang="ja-JP" altLang="en-US" sz="900" b="1" i="0" u="none" strike="noStrike" kern="0" cap="none" spc="0" normalizeH="0" baseline="0" noProof="0">
              <a:ln>
                <a:noFill/>
              </a:ln>
              <a:solidFill>
                <a:srgbClr val="FF0000"/>
              </a:solidFill>
              <a:effectLst/>
              <a:uLnTx/>
              <a:uFillTx/>
              <a:latin typeface="+mn-lt"/>
              <a:ea typeface="+mn-ea"/>
              <a:cs typeface="+mn-cs"/>
            </a:rPr>
            <a:t>更新</a:t>
          </a:r>
          <a:r>
            <a:rPr kumimoji="0" lang="en-US" altLang="ja-JP" sz="900" b="1" i="0" u="none" strike="noStrike" kern="0" cap="none" spc="0" normalizeH="0" baseline="0" noProof="0">
              <a:ln>
                <a:noFill/>
              </a:ln>
              <a:solidFill>
                <a:srgbClr val="FF0000"/>
              </a:solidFill>
              <a:effectLst/>
              <a:uLnTx/>
              <a:uFillTx/>
              <a:latin typeface="+mn-lt"/>
              <a:ea typeface="+mn-ea"/>
              <a:cs typeface="+mn-cs"/>
            </a:rPr>
            <a:t>/</a:t>
          </a:r>
          <a:r>
            <a:rPr kumimoji="0" lang="ja-JP" altLang="en-US" sz="900" b="1" i="0" u="none" strike="noStrike" kern="0" cap="none" spc="0" normalizeH="0" baseline="0" noProof="0">
              <a:ln>
                <a:noFill/>
              </a:ln>
              <a:solidFill>
                <a:srgbClr val="FF0000"/>
              </a:solidFill>
              <a:effectLst/>
              <a:uLnTx/>
              <a:uFillTx/>
              <a:latin typeface="+mn-lt"/>
              <a:ea typeface="+mn-ea"/>
              <a:cs typeface="+mn-cs"/>
            </a:rPr>
            <a:t>追加</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のお申し込みの場合、</a:t>
          </a:r>
          <a:endParaRPr kumimoji="0" lang="en-US" altLang="ja-JP" sz="9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3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必要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アラート通知先申請サイトより通知先のメールアドレスをご申請のうえ、「申請済」をご選択ください。</a:t>
          </a:r>
          <a:endParaRPr kumimoji="0"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不要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アラート通知先申請サイトより通知不要の旨をご申請のうえ、「申請済」をご選択ください。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5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通知先または通知不要の旨は、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アラート対象製品のシリアルごとに申請をお願いいたします。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※(2)</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の場合で、過去に通知先メールアドレスまたは通知不要の旨を申請済みの場合は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「申請済」をご選択いただき、改めて申請サイトよりご申請いただく必要はございません。</a:t>
          </a:r>
        </a:p>
      </xdr:txBody>
    </xdr:sp>
    <xdr:clientData/>
  </xdr:twoCellAnchor>
  <xdr:twoCellAnchor>
    <xdr:from>
      <xdr:col>116</xdr:col>
      <xdr:colOff>102393</xdr:colOff>
      <xdr:row>95</xdr:row>
      <xdr:rowOff>76200</xdr:rowOff>
    </xdr:from>
    <xdr:to>
      <xdr:col>116</xdr:col>
      <xdr:colOff>354393</xdr:colOff>
      <xdr:row>98</xdr:row>
      <xdr:rowOff>71025</xdr:rowOff>
    </xdr:to>
    <xdr:sp macro="" textlink="">
      <xdr:nvSpPr>
        <xdr:cNvPr id="52" name="フローチャート : 結合子 26">
          <a:extLst>
            <a:ext uri="{FF2B5EF4-FFF2-40B4-BE49-F238E27FC236}">
              <a16:creationId xmlns:a16="http://schemas.microsoft.com/office/drawing/2014/main" id="{00000000-0008-0000-0800-000034000000}"/>
            </a:ext>
          </a:extLst>
        </xdr:cNvPr>
        <xdr:cNvSpPr/>
      </xdr:nvSpPr>
      <xdr:spPr>
        <a:xfrm>
          <a:off x="11265693" y="9039225"/>
          <a:ext cx="252000" cy="252000"/>
        </a:xfrm>
        <a:prstGeom prst="flowChartConnector">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113</xdr:col>
      <xdr:colOff>66675</xdr:colOff>
      <xdr:row>29</xdr:row>
      <xdr:rowOff>47625</xdr:rowOff>
    </xdr:from>
    <xdr:to>
      <xdr:col>116</xdr:col>
      <xdr:colOff>32925</xdr:colOff>
      <xdr:row>32</xdr:row>
      <xdr:rowOff>13875</xdr:rowOff>
    </xdr:to>
    <xdr:sp macro="" textlink="">
      <xdr:nvSpPr>
        <xdr:cNvPr id="14" name="フローチャート : 結合子 10">
          <a:extLst>
            <a:ext uri="{FF2B5EF4-FFF2-40B4-BE49-F238E27FC236}">
              <a16:creationId xmlns:a16="http://schemas.microsoft.com/office/drawing/2014/main" id="{00000000-0008-0000-0800-00000E000000}"/>
            </a:ext>
          </a:extLst>
        </xdr:cNvPr>
        <xdr:cNvSpPr/>
      </xdr:nvSpPr>
      <xdr:spPr>
        <a:xfrm>
          <a:off x="10944225" y="28098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76200</xdr:colOff>
      <xdr:row>19</xdr:row>
      <xdr:rowOff>76200</xdr:rowOff>
    </xdr:from>
    <xdr:to>
      <xdr:col>116</xdr:col>
      <xdr:colOff>42450</xdr:colOff>
      <xdr:row>22</xdr:row>
      <xdr:rowOff>42450</xdr:rowOff>
    </xdr:to>
    <xdr:sp macro="" textlink="">
      <xdr:nvSpPr>
        <xdr:cNvPr id="54" name="フローチャート : 結合子 10">
          <a:extLst>
            <a:ext uri="{FF2B5EF4-FFF2-40B4-BE49-F238E27FC236}">
              <a16:creationId xmlns:a16="http://schemas.microsoft.com/office/drawing/2014/main" id="{00000000-0008-0000-0800-000036000000}"/>
            </a:ext>
          </a:extLst>
        </xdr:cNvPr>
        <xdr:cNvSpPr/>
      </xdr:nvSpPr>
      <xdr:spPr>
        <a:xfrm>
          <a:off x="10953750" y="18859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116</xdr:col>
      <xdr:colOff>194584</xdr:colOff>
      <xdr:row>29</xdr:row>
      <xdr:rowOff>72119</xdr:rowOff>
    </xdr:from>
    <xdr:to>
      <xdr:col>154</xdr:col>
      <xdr:colOff>66675</xdr:colOff>
      <xdr:row>33</xdr:row>
      <xdr:rowOff>28575</xdr:rowOff>
    </xdr:to>
    <xdr:sp macro="" textlink="">
      <xdr:nvSpPr>
        <xdr:cNvPr id="57" name="正方形/長方形 56">
          <a:extLst>
            <a:ext uri="{FF2B5EF4-FFF2-40B4-BE49-F238E27FC236}">
              <a16:creationId xmlns:a16="http://schemas.microsoft.com/office/drawing/2014/main" id="{00000000-0008-0000-0800-000039000000}"/>
            </a:ext>
          </a:extLst>
        </xdr:cNvPr>
        <xdr:cNvSpPr/>
      </xdr:nvSpPr>
      <xdr:spPr>
        <a:xfrm>
          <a:off x="11357884" y="2834369"/>
          <a:ext cx="4015466"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116</xdr:col>
      <xdr:colOff>102393</xdr:colOff>
      <xdr:row>28</xdr:row>
      <xdr:rowOff>0</xdr:rowOff>
    </xdr:from>
    <xdr:to>
      <xdr:col>116</xdr:col>
      <xdr:colOff>354393</xdr:colOff>
      <xdr:row>30</xdr:row>
      <xdr:rowOff>61500</xdr:rowOff>
    </xdr:to>
    <xdr:sp macro="" textlink="">
      <xdr:nvSpPr>
        <xdr:cNvPr id="58" name="フローチャート : 結合子 26">
          <a:extLst>
            <a:ext uri="{FF2B5EF4-FFF2-40B4-BE49-F238E27FC236}">
              <a16:creationId xmlns:a16="http://schemas.microsoft.com/office/drawing/2014/main" id="{00000000-0008-0000-0800-00003A000000}"/>
            </a:ext>
          </a:extLst>
        </xdr:cNvPr>
        <xdr:cNvSpPr/>
      </xdr:nvSpPr>
      <xdr:spPr>
        <a:xfrm>
          <a:off x="11265693" y="26670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oneCellAnchor>
    <xdr:from>
      <xdr:col>116</xdr:col>
      <xdr:colOff>71940</xdr:colOff>
      <xdr:row>77</xdr:row>
      <xdr:rowOff>9525</xdr:rowOff>
    </xdr:from>
    <xdr:ext cx="312906" cy="259045"/>
    <xdr:sp macro="" textlink="">
      <xdr:nvSpPr>
        <xdr:cNvPr id="59" name="テキスト ボックス 58">
          <a:extLst>
            <a:ext uri="{FF2B5EF4-FFF2-40B4-BE49-F238E27FC236}">
              <a16:creationId xmlns:a16="http://schemas.microsoft.com/office/drawing/2014/main" id="{00000000-0008-0000-0800-00003B000000}"/>
            </a:ext>
          </a:extLst>
        </xdr:cNvPr>
        <xdr:cNvSpPr txBox="1"/>
      </xdr:nvSpPr>
      <xdr:spPr>
        <a:xfrm>
          <a:off x="11235240" y="7315200"/>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000" b="1">
              <a:latin typeface="+mn-ea"/>
              <a:ea typeface="+mn-ea"/>
            </a:rPr>
            <a:t>10</a:t>
          </a:r>
          <a:endParaRPr kumimoji="1" lang="ja-JP" altLang="en-US" sz="1000" b="1">
            <a:latin typeface="+mn-ea"/>
            <a:ea typeface="+mn-ea"/>
          </a:endParaRPr>
        </a:p>
      </xdr:txBody>
    </xdr:sp>
    <xdr:clientData/>
  </xdr:oneCellAnchor>
  <xdr:oneCellAnchor>
    <xdr:from>
      <xdr:col>113</xdr:col>
      <xdr:colOff>19050</xdr:colOff>
      <xdr:row>115</xdr:row>
      <xdr:rowOff>38100</xdr:rowOff>
    </xdr:from>
    <xdr:ext cx="312906" cy="259045"/>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a:off x="10896600" y="9763125"/>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latin typeface="+mn-ea"/>
              <a:ea typeface="+mn-ea"/>
            </a:rPr>
            <a:t>10</a:t>
          </a:r>
          <a:endParaRPr kumimoji="1" lang="ja-JP" altLang="en-US" sz="1000" b="1">
            <a:latin typeface="+mn-ea"/>
            <a:ea typeface="+mn-ea"/>
          </a:endParaRPr>
        </a:p>
      </xdr:txBody>
    </xdr:sp>
    <xdr:clientData/>
  </xdr:oneCellAnchor>
  <xdr:twoCellAnchor>
    <xdr:from>
      <xdr:col>116</xdr:col>
      <xdr:colOff>95250</xdr:colOff>
      <xdr:row>87</xdr:row>
      <xdr:rowOff>57150</xdr:rowOff>
    </xdr:from>
    <xdr:to>
      <xdr:col>116</xdr:col>
      <xdr:colOff>347250</xdr:colOff>
      <xdr:row>90</xdr:row>
      <xdr:rowOff>51975</xdr:rowOff>
    </xdr:to>
    <xdr:sp macro="" textlink="">
      <xdr:nvSpPr>
        <xdr:cNvPr id="63" name="フローチャート : 結合子 26">
          <a:extLst>
            <a:ext uri="{FF2B5EF4-FFF2-40B4-BE49-F238E27FC236}">
              <a16:creationId xmlns:a16="http://schemas.microsoft.com/office/drawing/2014/main" id="{00000000-0008-0000-0800-00003F000000}"/>
            </a:ext>
          </a:extLst>
        </xdr:cNvPr>
        <xdr:cNvSpPr/>
      </xdr:nvSpPr>
      <xdr:spPr>
        <a:xfrm>
          <a:off x="11258550" y="83343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050" b="1">
            <a:solidFill>
              <a:sysClr val="windowText" lastClr="000000"/>
            </a:solidFill>
            <a:latin typeface="+mn-ea"/>
            <a:ea typeface="+mn-ea"/>
          </a:endParaRPr>
        </a:p>
      </xdr:txBody>
    </xdr:sp>
    <xdr:clientData/>
  </xdr:twoCellAnchor>
  <xdr:oneCellAnchor>
    <xdr:from>
      <xdr:col>116</xdr:col>
      <xdr:colOff>71428</xdr:colOff>
      <xdr:row>87</xdr:row>
      <xdr:rowOff>47625</xdr:rowOff>
    </xdr:from>
    <xdr:ext cx="313932" cy="259045"/>
    <xdr:sp macro="" textlink="">
      <xdr:nvSpPr>
        <xdr:cNvPr id="61" name="テキスト ボックス 60">
          <a:extLst>
            <a:ext uri="{FF2B5EF4-FFF2-40B4-BE49-F238E27FC236}">
              <a16:creationId xmlns:a16="http://schemas.microsoft.com/office/drawing/2014/main" id="{00000000-0008-0000-0800-00003D000000}"/>
            </a:ext>
          </a:extLst>
        </xdr:cNvPr>
        <xdr:cNvSpPr txBox="1"/>
      </xdr:nvSpPr>
      <xdr:spPr>
        <a:xfrm>
          <a:off x="11234728" y="832485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000" b="1">
              <a:latin typeface="+mn-ea"/>
              <a:ea typeface="+mn-ea"/>
            </a:rPr>
            <a:t>11</a:t>
          </a:r>
          <a:endParaRPr kumimoji="1" lang="ja-JP" altLang="en-US" sz="1000" b="1">
            <a:latin typeface="+mn-ea"/>
            <a:ea typeface="+mn-ea"/>
          </a:endParaRPr>
        </a:p>
      </xdr:txBody>
    </xdr:sp>
    <xdr:clientData/>
  </xdr:oneCellAnchor>
  <xdr:twoCellAnchor>
    <xdr:from>
      <xdr:col>113</xdr:col>
      <xdr:colOff>76200</xdr:colOff>
      <xdr:row>134</xdr:row>
      <xdr:rowOff>38100</xdr:rowOff>
    </xdr:from>
    <xdr:to>
      <xdr:col>116</xdr:col>
      <xdr:colOff>42450</xdr:colOff>
      <xdr:row>137</xdr:row>
      <xdr:rowOff>32925</xdr:rowOff>
    </xdr:to>
    <xdr:sp macro="" textlink="">
      <xdr:nvSpPr>
        <xdr:cNvPr id="64" name="フローチャート : 結合子 26">
          <a:extLst>
            <a:ext uri="{FF2B5EF4-FFF2-40B4-BE49-F238E27FC236}">
              <a16:creationId xmlns:a16="http://schemas.microsoft.com/office/drawing/2014/main" id="{00000000-0008-0000-0800-000040000000}"/>
            </a:ext>
          </a:extLst>
        </xdr:cNvPr>
        <xdr:cNvSpPr/>
      </xdr:nvSpPr>
      <xdr:spPr>
        <a:xfrm>
          <a:off x="10953750" y="113919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050" b="1">
            <a:solidFill>
              <a:sysClr val="windowText" lastClr="000000"/>
            </a:solidFill>
            <a:latin typeface="+mn-ea"/>
            <a:ea typeface="+mn-ea"/>
          </a:endParaRPr>
        </a:p>
      </xdr:txBody>
    </xdr:sp>
    <xdr:clientData/>
  </xdr:twoCellAnchor>
  <xdr:oneCellAnchor>
    <xdr:from>
      <xdr:col>113</xdr:col>
      <xdr:colOff>47625</xdr:colOff>
      <xdr:row>134</xdr:row>
      <xdr:rowOff>28575</xdr:rowOff>
    </xdr:from>
    <xdr:ext cx="313932" cy="259045"/>
    <xdr:sp macro="" textlink="">
      <xdr:nvSpPr>
        <xdr:cNvPr id="62" name="テキスト ボックス 61">
          <a:extLst>
            <a:ext uri="{FF2B5EF4-FFF2-40B4-BE49-F238E27FC236}">
              <a16:creationId xmlns:a16="http://schemas.microsoft.com/office/drawing/2014/main" id="{00000000-0008-0000-0800-00003E000000}"/>
            </a:ext>
          </a:extLst>
        </xdr:cNvPr>
        <xdr:cNvSpPr txBox="1"/>
      </xdr:nvSpPr>
      <xdr:spPr>
        <a:xfrm>
          <a:off x="10925175" y="1138237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latin typeface="+mn-ea"/>
              <a:ea typeface="+mn-ea"/>
            </a:rPr>
            <a:t>11</a:t>
          </a:r>
          <a:endParaRPr kumimoji="1" lang="ja-JP" altLang="en-US" sz="1000" b="1">
            <a:latin typeface="+mn-ea"/>
            <a:ea typeface="+mn-ea"/>
          </a:endParaRPr>
        </a:p>
      </xdr:txBody>
    </xdr:sp>
    <xdr:clientData/>
  </xdr:oneCellAnchor>
  <xdr:twoCellAnchor>
    <xdr:from>
      <xdr:col>116</xdr:col>
      <xdr:colOff>102393</xdr:colOff>
      <xdr:row>60</xdr:row>
      <xdr:rowOff>76200</xdr:rowOff>
    </xdr:from>
    <xdr:to>
      <xdr:col>116</xdr:col>
      <xdr:colOff>354393</xdr:colOff>
      <xdr:row>63</xdr:row>
      <xdr:rowOff>42450</xdr:rowOff>
    </xdr:to>
    <xdr:sp macro="" textlink="">
      <xdr:nvSpPr>
        <xdr:cNvPr id="66" name="フローチャート : 結合子 26">
          <a:extLst>
            <a:ext uri="{FF2B5EF4-FFF2-40B4-BE49-F238E27FC236}">
              <a16:creationId xmlns:a16="http://schemas.microsoft.com/office/drawing/2014/main" id="{00000000-0008-0000-0800-000042000000}"/>
            </a:ext>
          </a:extLst>
        </xdr:cNvPr>
        <xdr:cNvSpPr/>
      </xdr:nvSpPr>
      <xdr:spPr>
        <a:xfrm>
          <a:off x="11265693" y="57912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xdr:row>
      <xdr:rowOff>0</xdr:rowOff>
    </xdr:from>
    <xdr:to>
      <xdr:col>88</xdr:col>
      <xdr:colOff>62468</xdr:colOff>
      <xdr:row>7</xdr:row>
      <xdr:rowOff>38757</xdr:rowOff>
    </xdr:to>
    <xdr:sp macro="" textlink="">
      <xdr:nvSpPr>
        <xdr:cNvPr id="2" name="テキスト ボックス 1">
          <a:extLst>
            <a:ext uri="{FF2B5EF4-FFF2-40B4-BE49-F238E27FC236}">
              <a16:creationId xmlns:a16="http://schemas.microsoft.com/office/drawing/2014/main" id="{C161AF52-AC86-4656-A311-2562DFFEB9B1}"/>
            </a:ext>
          </a:extLst>
        </xdr:cNvPr>
        <xdr:cNvSpPr txBox="1"/>
      </xdr:nvSpPr>
      <xdr:spPr bwMode="auto">
        <a:xfrm>
          <a:off x="184150" y="571500"/>
          <a:ext cx="7803118" cy="134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9525</xdr:colOff>
      <xdr:row>18</xdr:row>
      <xdr:rowOff>0</xdr:rowOff>
    </xdr:to>
    <xdr:sp macro="" textlink="">
      <xdr:nvSpPr>
        <xdr:cNvPr id="3" name="テキスト ボックス 2">
          <a:extLst>
            <a:ext uri="{FF2B5EF4-FFF2-40B4-BE49-F238E27FC236}">
              <a16:creationId xmlns:a16="http://schemas.microsoft.com/office/drawing/2014/main" id="{1398B839-A8EE-4ABE-A021-C733D6D33479}"/>
            </a:ext>
          </a:extLst>
        </xdr:cNvPr>
        <xdr:cNvSpPr txBox="1"/>
      </xdr:nvSpPr>
      <xdr:spPr bwMode="auto">
        <a:xfrm>
          <a:off x="184150" y="762000"/>
          <a:ext cx="952817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80</xdr:col>
      <xdr:colOff>66675</xdr:colOff>
      <xdr:row>14</xdr:row>
      <xdr:rowOff>53975</xdr:rowOff>
    </xdr:from>
    <xdr:to>
      <xdr:col>112</xdr:col>
      <xdr:colOff>8618</xdr:colOff>
      <xdr:row>17</xdr:row>
      <xdr:rowOff>77557</xdr:rowOff>
    </xdr:to>
    <xdr:sp macro="" textlink="">
      <xdr:nvSpPr>
        <xdr:cNvPr id="4" name="テキスト ボックス 3">
          <a:extLst>
            <a:ext uri="{FF2B5EF4-FFF2-40B4-BE49-F238E27FC236}">
              <a16:creationId xmlns:a16="http://schemas.microsoft.com/office/drawing/2014/main" id="{989CE632-2ED0-4DF9-B5F9-8CDB4AE14A91}"/>
            </a:ext>
          </a:extLst>
        </xdr:cNvPr>
        <xdr:cNvSpPr txBox="1"/>
      </xdr:nvSpPr>
      <xdr:spPr bwMode="auto">
        <a:xfrm>
          <a:off x="7019925" y="1387475"/>
          <a:ext cx="2694668" cy="309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56</xdr:col>
      <xdr:colOff>47627</xdr:colOff>
      <xdr:row>22</xdr:row>
      <xdr:rowOff>28575</xdr:rowOff>
    </xdr:from>
    <xdr:to>
      <xdr:col>59</xdr:col>
      <xdr:colOff>13877</xdr:colOff>
      <xdr:row>24</xdr:row>
      <xdr:rowOff>90075</xdr:rowOff>
    </xdr:to>
    <xdr:sp macro="" textlink="">
      <xdr:nvSpPr>
        <xdr:cNvPr id="5" name="フローチャート : 結合子 5">
          <a:extLst>
            <a:ext uri="{FF2B5EF4-FFF2-40B4-BE49-F238E27FC236}">
              <a16:creationId xmlns:a16="http://schemas.microsoft.com/office/drawing/2014/main" id="{D4563770-E02A-45B4-AB4D-4166C1E974B2}"/>
            </a:ext>
          </a:extLst>
        </xdr:cNvPr>
        <xdr:cNvSpPr/>
      </xdr:nvSpPr>
      <xdr:spPr>
        <a:xfrm>
          <a:off x="5121277" y="2124075"/>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47626</xdr:colOff>
      <xdr:row>26</xdr:row>
      <xdr:rowOff>66673</xdr:rowOff>
    </xdr:from>
    <xdr:to>
      <xdr:col>59</xdr:col>
      <xdr:colOff>13876</xdr:colOff>
      <xdr:row>29</xdr:row>
      <xdr:rowOff>32923</xdr:rowOff>
    </xdr:to>
    <xdr:sp macro="" textlink="">
      <xdr:nvSpPr>
        <xdr:cNvPr id="6" name="フローチャート : 結合子 10">
          <a:extLst>
            <a:ext uri="{FF2B5EF4-FFF2-40B4-BE49-F238E27FC236}">
              <a16:creationId xmlns:a16="http://schemas.microsoft.com/office/drawing/2014/main" id="{5C361ACC-D27F-42AE-B475-CD6BD375BA0D}"/>
            </a:ext>
          </a:extLst>
        </xdr:cNvPr>
        <xdr:cNvSpPr/>
      </xdr:nvSpPr>
      <xdr:spPr>
        <a:xfrm>
          <a:off x="5121276" y="2543173"/>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9526</xdr:colOff>
      <xdr:row>52</xdr:row>
      <xdr:rowOff>80528</xdr:rowOff>
    </xdr:from>
    <xdr:to>
      <xdr:col>59</xdr:col>
      <xdr:colOff>71026</xdr:colOff>
      <xdr:row>55</xdr:row>
      <xdr:rowOff>43892</xdr:rowOff>
    </xdr:to>
    <xdr:sp macro="" textlink="">
      <xdr:nvSpPr>
        <xdr:cNvPr id="7" name="フローチャート : 結合子 10">
          <a:extLst>
            <a:ext uri="{FF2B5EF4-FFF2-40B4-BE49-F238E27FC236}">
              <a16:creationId xmlns:a16="http://schemas.microsoft.com/office/drawing/2014/main" id="{A320D44D-2805-43F0-AB66-0836E33F375D}"/>
            </a:ext>
          </a:extLst>
        </xdr:cNvPr>
        <xdr:cNvSpPr/>
      </xdr:nvSpPr>
      <xdr:spPr>
        <a:xfrm>
          <a:off x="5043344" y="4692937"/>
          <a:ext cx="234682" cy="257773"/>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56</xdr:col>
      <xdr:colOff>57151</xdr:colOff>
      <xdr:row>40</xdr:row>
      <xdr:rowOff>9523</xdr:rowOff>
    </xdr:from>
    <xdr:to>
      <xdr:col>59</xdr:col>
      <xdr:colOff>23401</xdr:colOff>
      <xdr:row>42</xdr:row>
      <xdr:rowOff>71023</xdr:rowOff>
    </xdr:to>
    <xdr:sp macro="" textlink="">
      <xdr:nvSpPr>
        <xdr:cNvPr id="8" name="フローチャート : 結合子 10">
          <a:extLst>
            <a:ext uri="{FF2B5EF4-FFF2-40B4-BE49-F238E27FC236}">
              <a16:creationId xmlns:a16="http://schemas.microsoft.com/office/drawing/2014/main" id="{3A0E7DA2-E89F-4B2E-B8DB-0EB2206F1AA4}"/>
            </a:ext>
          </a:extLst>
        </xdr:cNvPr>
        <xdr:cNvSpPr/>
      </xdr:nvSpPr>
      <xdr:spPr>
        <a:xfrm>
          <a:off x="5130801" y="3819523"/>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38100</xdr:colOff>
      <xdr:row>66</xdr:row>
      <xdr:rowOff>38099</xdr:rowOff>
    </xdr:from>
    <xdr:to>
      <xdr:col>59</xdr:col>
      <xdr:colOff>4350</xdr:colOff>
      <xdr:row>69</xdr:row>
      <xdr:rowOff>4349</xdr:rowOff>
    </xdr:to>
    <xdr:sp macro="" textlink="">
      <xdr:nvSpPr>
        <xdr:cNvPr id="9" name="フローチャート : 結合子 10">
          <a:extLst>
            <a:ext uri="{FF2B5EF4-FFF2-40B4-BE49-F238E27FC236}">
              <a16:creationId xmlns:a16="http://schemas.microsoft.com/office/drawing/2014/main" id="{4B6A8493-D822-4E91-82D4-CEC2B81935F7}"/>
            </a:ext>
          </a:extLst>
        </xdr:cNvPr>
        <xdr:cNvSpPr/>
      </xdr:nvSpPr>
      <xdr:spPr>
        <a:xfrm>
          <a:off x="5111750" y="5562599"/>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113</xdr:col>
      <xdr:colOff>95249</xdr:colOff>
      <xdr:row>53</xdr:row>
      <xdr:rowOff>66675</xdr:rowOff>
    </xdr:from>
    <xdr:to>
      <xdr:col>116</xdr:col>
      <xdr:colOff>61499</xdr:colOff>
      <xdr:row>56</xdr:row>
      <xdr:rowOff>32925</xdr:rowOff>
    </xdr:to>
    <xdr:sp macro="" textlink="">
      <xdr:nvSpPr>
        <xdr:cNvPr id="10" name="フローチャート : 結合子 10">
          <a:extLst>
            <a:ext uri="{FF2B5EF4-FFF2-40B4-BE49-F238E27FC236}">
              <a16:creationId xmlns:a16="http://schemas.microsoft.com/office/drawing/2014/main" id="{1DB6B38D-B235-4427-8B85-C5C6311435F3}"/>
            </a:ext>
          </a:extLst>
        </xdr:cNvPr>
        <xdr:cNvSpPr/>
      </xdr:nvSpPr>
      <xdr:spPr>
        <a:xfrm>
          <a:off x="10236199" y="4352925"/>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9525</xdr:colOff>
      <xdr:row>16</xdr:row>
      <xdr:rowOff>57150</xdr:rowOff>
    </xdr:from>
    <xdr:to>
      <xdr:col>115</xdr:col>
      <xdr:colOff>71025</xdr:colOff>
      <xdr:row>19</xdr:row>
      <xdr:rowOff>23400</xdr:rowOff>
    </xdr:to>
    <xdr:sp macro="" textlink="">
      <xdr:nvSpPr>
        <xdr:cNvPr id="11" name="フローチャート : 結合子 10">
          <a:extLst>
            <a:ext uri="{FF2B5EF4-FFF2-40B4-BE49-F238E27FC236}">
              <a16:creationId xmlns:a16="http://schemas.microsoft.com/office/drawing/2014/main" id="{4112A1A3-03C3-4DF2-8E03-3751D4EFB181}"/>
            </a:ext>
          </a:extLst>
        </xdr:cNvPr>
        <xdr:cNvSpPr/>
      </xdr:nvSpPr>
      <xdr:spPr>
        <a:xfrm>
          <a:off x="10156825" y="1581150"/>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117</xdr:col>
      <xdr:colOff>181882</xdr:colOff>
      <xdr:row>38</xdr:row>
      <xdr:rowOff>66677</xdr:rowOff>
    </xdr:from>
    <xdr:to>
      <xdr:col>159</xdr:col>
      <xdr:colOff>20982</xdr:colOff>
      <xdr:row>50</xdr:row>
      <xdr:rowOff>77932</xdr:rowOff>
    </xdr:to>
    <xdr:sp macro="" textlink="">
      <xdr:nvSpPr>
        <xdr:cNvPr id="12" name="正方形/長方形 11">
          <a:extLst>
            <a:ext uri="{FF2B5EF4-FFF2-40B4-BE49-F238E27FC236}">
              <a16:creationId xmlns:a16="http://schemas.microsoft.com/office/drawing/2014/main" id="{534A8B40-5927-4FA1-A5AB-9F13932F6961}"/>
            </a:ext>
          </a:extLst>
        </xdr:cNvPr>
        <xdr:cNvSpPr/>
      </xdr:nvSpPr>
      <xdr:spPr>
        <a:xfrm>
          <a:off x="10316482" y="3686177"/>
          <a:ext cx="3915800" cy="115425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endParaRPr lang="en-US" altLang="ja-JP" sz="900" b="1">
            <a:solidFill>
              <a:srgbClr val="FF0000"/>
            </a:solidFill>
            <a:effectLst/>
          </a:endParaRPr>
        </a:p>
      </xdr:txBody>
    </xdr:sp>
    <xdr:clientData/>
  </xdr:twoCellAnchor>
  <xdr:twoCellAnchor>
    <xdr:from>
      <xdr:col>117</xdr:col>
      <xdr:colOff>114300</xdr:colOff>
      <xdr:row>37</xdr:row>
      <xdr:rowOff>0</xdr:rowOff>
    </xdr:from>
    <xdr:to>
      <xdr:col>117</xdr:col>
      <xdr:colOff>369475</xdr:colOff>
      <xdr:row>39</xdr:row>
      <xdr:rowOff>64675</xdr:rowOff>
    </xdr:to>
    <xdr:sp macro="" textlink="">
      <xdr:nvSpPr>
        <xdr:cNvPr id="13" name="フローチャート : 結合子 26">
          <a:extLst>
            <a:ext uri="{FF2B5EF4-FFF2-40B4-BE49-F238E27FC236}">
              <a16:creationId xmlns:a16="http://schemas.microsoft.com/office/drawing/2014/main" id="{090A109B-6B63-4ADF-838C-947E3A16BF30}"/>
            </a:ext>
          </a:extLst>
        </xdr:cNvPr>
        <xdr:cNvSpPr/>
      </xdr:nvSpPr>
      <xdr:spPr>
        <a:xfrm>
          <a:off x="10349345" y="3524250"/>
          <a:ext cx="255175" cy="255175"/>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117</xdr:col>
      <xdr:colOff>175532</xdr:colOff>
      <xdr:row>56</xdr:row>
      <xdr:rowOff>43544</xdr:rowOff>
    </xdr:from>
    <xdr:to>
      <xdr:col>160</xdr:col>
      <xdr:colOff>55907</xdr:colOff>
      <xdr:row>59</xdr:row>
      <xdr:rowOff>19050</xdr:rowOff>
    </xdr:to>
    <xdr:sp macro="" textlink="">
      <xdr:nvSpPr>
        <xdr:cNvPr id="14" name="正方形/長方形 13">
          <a:extLst>
            <a:ext uri="{FF2B5EF4-FFF2-40B4-BE49-F238E27FC236}">
              <a16:creationId xmlns:a16="http://schemas.microsoft.com/office/drawing/2014/main" id="{F70EB68C-7B2D-4459-8740-0730F95BFA39}"/>
            </a:ext>
          </a:extLst>
        </xdr:cNvPr>
        <xdr:cNvSpPr/>
      </xdr:nvSpPr>
      <xdr:spPr>
        <a:xfrm>
          <a:off x="10678432" y="4615544"/>
          <a:ext cx="4179325" cy="2612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DigitalArts@Cloud</a:t>
          </a:r>
          <a:r>
            <a:rPr lang="ja-JP" altLang="en-US" sz="900">
              <a:solidFill>
                <a:sysClr val="windowText" lastClr="000000"/>
              </a:solidFill>
              <a:effectLst/>
              <a:latin typeface="+mn-lt"/>
              <a:ea typeface="+mn-ea"/>
              <a:cs typeface="+mn-cs"/>
            </a:rPr>
            <a:t> の既存のご契約（試用版は対象外）の有無をご選択ください。</a:t>
          </a:r>
          <a:endParaRPr lang="ja-JP" altLang="ja-JP" sz="900">
            <a:solidFill>
              <a:sysClr val="windowText" lastClr="000000"/>
            </a:solidFill>
            <a:effectLst/>
          </a:endParaRPr>
        </a:p>
      </xdr:txBody>
    </xdr:sp>
    <xdr:clientData/>
  </xdr:twoCellAnchor>
  <xdr:twoCellAnchor>
    <xdr:from>
      <xdr:col>117</xdr:col>
      <xdr:colOff>76200</xdr:colOff>
      <xdr:row>54</xdr:row>
      <xdr:rowOff>85725</xdr:rowOff>
    </xdr:from>
    <xdr:to>
      <xdr:col>117</xdr:col>
      <xdr:colOff>328200</xdr:colOff>
      <xdr:row>57</xdr:row>
      <xdr:rowOff>51975</xdr:rowOff>
    </xdr:to>
    <xdr:sp macro="" textlink="">
      <xdr:nvSpPr>
        <xdr:cNvPr id="15" name="フローチャート : 結合子 26">
          <a:extLst>
            <a:ext uri="{FF2B5EF4-FFF2-40B4-BE49-F238E27FC236}">
              <a16:creationId xmlns:a16="http://schemas.microsoft.com/office/drawing/2014/main" id="{77687768-D712-429E-9FC3-449C8F5903B0}"/>
            </a:ext>
          </a:extLst>
        </xdr:cNvPr>
        <xdr:cNvSpPr/>
      </xdr:nvSpPr>
      <xdr:spPr>
        <a:xfrm>
          <a:off x="10579100" y="44672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117</xdr:col>
      <xdr:colOff>181882</xdr:colOff>
      <xdr:row>88</xdr:row>
      <xdr:rowOff>76068</xdr:rowOff>
    </xdr:from>
    <xdr:to>
      <xdr:col>161</xdr:col>
      <xdr:colOff>0</xdr:colOff>
      <xdr:row>95</xdr:row>
      <xdr:rowOff>82743</xdr:rowOff>
    </xdr:to>
    <xdr:sp macro="" textlink="">
      <xdr:nvSpPr>
        <xdr:cNvPr id="16" name="正方形/長方形 15">
          <a:extLst>
            <a:ext uri="{FF2B5EF4-FFF2-40B4-BE49-F238E27FC236}">
              <a16:creationId xmlns:a16="http://schemas.microsoft.com/office/drawing/2014/main" id="{665E3DF8-AB0C-4EB8-8756-4351097E9CA0}"/>
            </a:ext>
          </a:extLst>
        </xdr:cNvPr>
        <xdr:cNvSpPr/>
      </xdr:nvSpPr>
      <xdr:spPr>
        <a:xfrm>
          <a:off x="10684782" y="8743818"/>
          <a:ext cx="4205968" cy="6734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「製品区分」、「申請区分」の順でご選択の上、引き続き、必要な申請内容（</a:t>
          </a:r>
          <a:r>
            <a:rPr lang="ja-JP" altLang="en-US" sz="900" b="1">
              <a:solidFill>
                <a:srgbClr val="FF0000"/>
              </a:solidFill>
              <a:effectLst/>
              <a:latin typeface="+mn-lt"/>
              <a:ea typeface="+mn-ea"/>
              <a:cs typeface="+mn-cs"/>
            </a:rPr>
            <a:t>赤くなるセルの箇所</a:t>
          </a:r>
          <a:r>
            <a:rPr lang="ja-JP" altLang="en-US" sz="900">
              <a:solidFill>
                <a:sysClr val="windowText" lastClr="000000"/>
              </a:solidFill>
              <a:effectLst/>
              <a:latin typeface="+mn-lt"/>
              <a:ea typeface="+mn-ea"/>
              <a:cs typeface="+mn-cs"/>
            </a:rPr>
            <a:t>）を入力してください。</a:t>
          </a:r>
          <a:endParaRPr lang="en-US" altLang="ja-JP" sz="900">
            <a:solidFill>
              <a:sysClr val="windowText" lastClr="000000"/>
            </a:solidFill>
            <a:effectLst/>
            <a:latin typeface="+mn-lt"/>
            <a:ea typeface="+mn-ea"/>
            <a:cs typeface="+mn-cs"/>
          </a:endParaRPr>
        </a:p>
      </xdr:txBody>
    </xdr:sp>
    <xdr:clientData/>
  </xdr:twoCellAnchor>
  <xdr:twoCellAnchor>
    <xdr:from>
      <xdr:col>117</xdr:col>
      <xdr:colOff>175532</xdr:colOff>
      <xdr:row>2</xdr:row>
      <xdr:rowOff>38102</xdr:rowOff>
    </xdr:from>
    <xdr:to>
      <xdr:col>160</xdr:col>
      <xdr:colOff>55907</xdr:colOff>
      <xdr:row>5</xdr:row>
      <xdr:rowOff>66675</xdr:rowOff>
    </xdr:to>
    <xdr:sp macro="" textlink="">
      <xdr:nvSpPr>
        <xdr:cNvPr id="19" name="正方形/長方形 18">
          <a:extLst>
            <a:ext uri="{FF2B5EF4-FFF2-40B4-BE49-F238E27FC236}">
              <a16:creationId xmlns:a16="http://schemas.microsoft.com/office/drawing/2014/main" id="{769B4A45-54F7-4083-BF55-A7412D32866F}"/>
            </a:ext>
          </a:extLst>
        </xdr:cNvPr>
        <xdr:cNvSpPr/>
      </xdr:nvSpPr>
      <xdr:spPr>
        <a:xfrm>
          <a:off x="10678432" y="228602"/>
          <a:ext cx="4179325" cy="314323"/>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となります。必ずご記入ください。</a:t>
          </a:r>
        </a:p>
      </xdr:txBody>
    </xdr:sp>
    <xdr:clientData/>
  </xdr:twoCellAnchor>
  <xdr:twoCellAnchor>
    <xdr:from>
      <xdr:col>117</xdr:col>
      <xdr:colOff>66675</xdr:colOff>
      <xdr:row>0</xdr:row>
      <xdr:rowOff>66675</xdr:rowOff>
    </xdr:from>
    <xdr:to>
      <xdr:col>117</xdr:col>
      <xdr:colOff>318675</xdr:colOff>
      <xdr:row>3</xdr:row>
      <xdr:rowOff>32925</xdr:rowOff>
    </xdr:to>
    <xdr:sp macro="" textlink="">
      <xdr:nvSpPr>
        <xdr:cNvPr id="20" name="フローチャート : 結合子 24">
          <a:extLst>
            <a:ext uri="{FF2B5EF4-FFF2-40B4-BE49-F238E27FC236}">
              <a16:creationId xmlns:a16="http://schemas.microsoft.com/office/drawing/2014/main" id="{FA487FEF-A46A-4216-8889-E76B80DAAD83}"/>
            </a:ext>
          </a:extLst>
        </xdr:cNvPr>
        <xdr:cNvSpPr/>
      </xdr:nvSpPr>
      <xdr:spPr>
        <a:xfrm>
          <a:off x="10569575" y="66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117</xdr:col>
      <xdr:colOff>175532</xdr:colOff>
      <xdr:row>7</xdr:row>
      <xdr:rowOff>72119</xdr:rowOff>
    </xdr:from>
    <xdr:to>
      <xdr:col>160</xdr:col>
      <xdr:colOff>55907</xdr:colOff>
      <xdr:row>11</xdr:row>
      <xdr:rowOff>28575</xdr:rowOff>
    </xdr:to>
    <xdr:sp macro="" textlink="">
      <xdr:nvSpPr>
        <xdr:cNvPr id="21" name="正方形/長方形 20">
          <a:extLst>
            <a:ext uri="{FF2B5EF4-FFF2-40B4-BE49-F238E27FC236}">
              <a16:creationId xmlns:a16="http://schemas.microsoft.com/office/drawing/2014/main" id="{B716A671-72E2-4B6B-AB55-E7B6E7D8ABFA}"/>
            </a:ext>
          </a:extLst>
        </xdr:cNvPr>
        <xdr:cNvSpPr/>
      </xdr:nvSpPr>
      <xdr:spPr>
        <a:xfrm>
          <a:off x="10678432" y="738869"/>
          <a:ext cx="4179325"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117</xdr:col>
      <xdr:colOff>95250</xdr:colOff>
      <xdr:row>6</xdr:row>
      <xdr:rowOff>38100</xdr:rowOff>
    </xdr:from>
    <xdr:to>
      <xdr:col>117</xdr:col>
      <xdr:colOff>347250</xdr:colOff>
      <xdr:row>9</xdr:row>
      <xdr:rowOff>4350</xdr:rowOff>
    </xdr:to>
    <xdr:sp macro="" textlink="">
      <xdr:nvSpPr>
        <xdr:cNvPr id="22" name="フローチャート : 結合子 26">
          <a:extLst>
            <a:ext uri="{FF2B5EF4-FFF2-40B4-BE49-F238E27FC236}">
              <a16:creationId xmlns:a16="http://schemas.microsoft.com/office/drawing/2014/main" id="{96527AF7-6242-437C-8499-421942982C8C}"/>
            </a:ext>
          </a:extLst>
        </xdr:cNvPr>
        <xdr:cNvSpPr/>
      </xdr:nvSpPr>
      <xdr:spPr>
        <a:xfrm>
          <a:off x="10598150" y="609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117</xdr:col>
      <xdr:colOff>175532</xdr:colOff>
      <xdr:row>13</xdr:row>
      <xdr:rowOff>34018</xdr:rowOff>
    </xdr:from>
    <xdr:to>
      <xdr:col>160</xdr:col>
      <xdr:colOff>55907</xdr:colOff>
      <xdr:row>17</xdr:row>
      <xdr:rowOff>9525</xdr:rowOff>
    </xdr:to>
    <xdr:sp macro="" textlink="">
      <xdr:nvSpPr>
        <xdr:cNvPr id="23" name="正方形/長方形 22">
          <a:extLst>
            <a:ext uri="{FF2B5EF4-FFF2-40B4-BE49-F238E27FC236}">
              <a16:creationId xmlns:a16="http://schemas.microsoft.com/office/drawing/2014/main" id="{58CF7B2A-BED5-42A3-8636-FE9841DD6557}"/>
            </a:ext>
          </a:extLst>
        </xdr:cNvPr>
        <xdr:cNvSpPr/>
      </xdr:nvSpPr>
      <xdr:spPr>
        <a:xfrm>
          <a:off x="10678432" y="1272268"/>
          <a:ext cx="4179325"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117</xdr:col>
      <xdr:colOff>85725</xdr:colOff>
      <xdr:row>11</xdr:row>
      <xdr:rowOff>76200</xdr:rowOff>
    </xdr:from>
    <xdr:to>
      <xdr:col>117</xdr:col>
      <xdr:colOff>337725</xdr:colOff>
      <xdr:row>14</xdr:row>
      <xdr:rowOff>42450</xdr:rowOff>
    </xdr:to>
    <xdr:sp macro="" textlink="">
      <xdr:nvSpPr>
        <xdr:cNvPr id="24" name="フローチャート : 結合子 26">
          <a:extLst>
            <a:ext uri="{FF2B5EF4-FFF2-40B4-BE49-F238E27FC236}">
              <a16:creationId xmlns:a16="http://schemas.microsoft.com/office/drawing/2014/main" id="{6D3BA4DE-F430-4D6B-A1FF-226FA6297725}"/>
            </a:ext>
          </a:extLst>
        </xdr:cNvPr>
        <xdr:cNvSpPr/>
      </xdr:nvSpPr>
      <xdr:spPr>
        <a:xfrm>
          <a:off x="10588625" y="11239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117</xdr:col>
      <xdr:colOff>175532</xdr:colOff>
      <xdr:row>18</xdr:row>
      <xdr:rowOff>42333</xdr:rowOff>
    </xdr:from>
    <xdr:to>
      <xdr:col>160</xdr:col>
      <xdr:colOff>55907</xdr:colOff>
      <xdr:row>25</xdr:row>
      <xdr:rowOff>84667</xdr:rowOff>
    </xdr:to>
    <xdr:sp macro="" textlink="">
      <xdr:nvSpPr>
        <xdr:cNvPr id="25" name="正方形/長方形 24">
          <a:extLst>
            <a:ext uri="{FF2B5EF4-FFF2-40B4-BE49-F238E27FC236}">
              <a16:creationId xmlns:a16="http://schemas.microsoft.com/office/drawing/2014/main" id="{7D797B52-D066-488D-A311-38128E9D6014}"/>
            </a:ext>
          </a:extLst>
        </xdr:cNvPr>
        <xdr:cNvSpPr/>
      </xdr:nvSpPr>
      <xdr:spPr>
        <a:xfrm>
          <a:off x="10678432" y="1756833"/>
          <a:ext cx="4179325" cy="70908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入力された担当者アドレスへ更新案内</a:t>
          </a:r>
          <a:r>
            <a:rPr kumimoji="1" lang="ja-JP" altLang="en-US" sz="900">
              <a:solidFill>
                <a:sysClr val="windowText" lastClr="000000"/>
              </a:solidFill>
              <a:effectLst/>
              <a:latin typeface="+mn-lt"/>
              <a:ea typeface="+mn-ea"/>
              <a:cs typeface="+mn-cs"/>
            </a:rPr>
            <a:t>や障害通知、各種情報のご案内</a:t>
          </a:r>
          <a:r>
            <a:rPr kumimoji="1" lang="ja-JP" altLang="ja-JP" sz="900">
              <a:solidFill>
                <a:sysClr val="windowText" lastClr="000000"/>
              </a:solidFill>
              <a:effectLst/>
              <a:latin typeface="+mn-lt"/>
              <a:ea typeface="+mn-ea"/>
              <a:cs typeface="+mn-cs"/>
            </a:rPr>
            <a:t>が行われます。</a:t>
          </a:r>
          <a:endParaRPr kumimoji="1" lang="en-US" altLang="ja-JP" sz="900">
            <a:solidFill>
              <a:sysClr val="windowText" lastClr="000000"/>
            </a:solidFill>
            <a:effectLst/>
            <a:latin typeface="+mn-lt"/>
            <a:ea typeface="+mn-ea"/>
            <a:cs typeface="+mn-cs"/>
          </a:endParaRPr>
        </a:p>
        <a:p>
          <a:r>
            <a:rPr kumimoji="1" lang="ja-JP" altLang="en-US" sz="900">
              <a:solidFill>
                <a:sysClr val="windowText" lastClr="000000"/>
              </a:solidFill>
              <a:effectLst/>
              <a:latin typeface="+mn-lt"/>
              <a:ea typeface="+mn-ea"/>
              <a:cs typeface="+mn-cs"/>
            </a:rPr>
            <a:t>ご案内を</a:t>
          </a:r>
          <a:r>
            <a:rPr kumimoji="1" lang="ja-JP" altLang="ja-JP" sz="900">
              <a:solidFill>
                <a:sysClr val="windowText" lastClr="000000"/>
              </a:solidFill>
              <a:effectLst/>
              <a:latin typeface="+mn-lt"/>
              <a:ea typeface="+mn-ea"/>
              <a:cs typeface="+mn-cs"/>
            </a:rPr>
            <a:t>望まない場合</a:t>
          </a:r>
          <a:r>
            <a:rPr kumimoji="1" lang="ja-JP" altLang="en-US" sz="900">
              <a:solidFill>
                <a:sysClr val="windowText" lastClr="000000"/>
              </a:solidFill>
              <a:effectLst/>
              <a:latin typeface="+mn-lt"/>
              <a:ea typeface="+mn-ea"/>
              <a:cs typeface="+mn-cs"/>
            </a:rPr>
            <a:t>は</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endParaRPr kumimoji="1" lang="en-US" altLang="ja-JP" sz="900">
            <a:solidFill>
              <a:sysClr val="windowText" lastClr="000000"/>
            </a:solidFill>
            <a:effectLst/>
            <a:latin typeface="+mn-lt"/>
            <a:ea typeface="+mn-ea"/>
            <a:cs typeface="+mn-cs"/>
          </a:endParaRPr>
        </a:p>
        <a:p>
          <a:r>
            <a:rPr lang="en-US" altLang="ja-JP" sz="900">
              <a:solidFill>
                <a:sysClr val="windowText" lastClr="000000"/>
              </a:solidFill>
              <a:effectLst/>
            </a:rPr>
            <a:t>※</a:t>
          </a:r>
          <a:r>
            <a:rPr lang="ja-JP" altLang="en-US" sz="900">
              <a:solidFill>
                <a:sysClr val="windowText" lastClr="000000"/>
              </a:solidFill>
              <a:effectLst/>
            </a:rPr>
            <a:t>障害通知については環境提供後に「ユーザー情報 </a:t>
          </a:r>
          <a:r>
            <a:rPr lang="en-US" altLang="ja-JP" sz="900">
              <a:solidFill>
                <a:sysClr val="windowText" lastClr="000000"/>
              </a:solidFill>
              <a:effectLst/>
            </a:rPr>
            <a:t>&gt; </a:t>
          </a:r>
          <a:r>
            <a:rPr lang="ja-JP" altLang="en-US" sz="900">
              <a:solidFill>
                <a:sysClr val="windowText" lastClr="000000"/>
              </a:solidFill>
              <a:effectLst/>
            </a:rPr>
            <a:t>メールアドレス」を変更された場合は、変更後のアドレスに通知されます。</a:t>
          </a:r>
          <a:endParaRPr lang="ja-JP" altLang="ja-JP" sz="900">
            <a:solidFill>
              <a:sysClr val="windowText" lastClr="000000"/>
            </a:solidFill>
            <a:effectLst/>
          </a:endParaRPr>
        </a:p>
      </xdr:txBody>
    </xdr:sp>
    <xdr:clientData/>
  </xdr:twoCellAnchor>
  <xdr:twoCellAnchor>
    <xdr:from>
      <xdr:col>117</xdr:col>
      <xdr:colOff>74083</xdr:colOff>
      <xdr:row>16</xdr:row>
      <xdr:rowOff>87842</xdr:rowOff>
    </xdr:from>
    <xdr:to>
      <xdr:col>117</xdr:col>
      <xdr:colOff>326083</xdr:colOff>
      <xdr:row>19</xdr:row>
      <xdr:rowOff>54092</xdr:rowOff>
    </xdr:to>
    <xdr:sp macro="" textlink="">
      <xdr:nvSpPr>
        <xdr:cNvPr id="26" name="フローチャート : 結合子 26">
          <a:extLst>
            <a:ext uri="{FF2B5EF4-FFF2-40B4-BE49-F238E27FC236}">
              <a16:creationId xmlns:a16="http://schemas.microsoft.com/office/drawing/2014/main" id="{F97B1E0A-5765-4741-9A70-A9AE8CBF6915}"/>
            </a:ext>
          </a:extLst>
        </xdr:cNvPr>
        <xdr:cNvSpPr/>
      </xdr:nvSpPr>
      <xdr:spPr>
        <a:xfrm>
          <a:off x="10576983" y="1611842"/>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117</xdr:col>
      <xdr:colOff>175532</xdr:colOff>
      <xdr:row>26</xdr:row>
      <xdr:rowOff>87991</xdr:rowOff>
    </xdr:from>
    <xdr:to>
      <xdr:col>160</xdr:col>
      <xdr:colOff>55907</xdr:colOff>
      <xdr:row>35</xdr:row>
      <xdr:rowOff>25398</xdr:rowOff>
    </xdr:to>
    <xdr:sp macro="" textlink="">
      <xdr:nvSpPr>
        <xdr:cNvPr id="27" name="正方形/長方形 26">
          <a:extLst>
            <a:ext uri="{FF2B5EF4-FFF2-40B4-BE49-F238E27FC236}">
              <a16:creationId xmlns:a16="http://schemas.microsoft.com/office/drawing/2014/main" id="{A037060B-2912-4D85-8A67-FCAEBA51613F}"/>
            </a:ext>
          </a:extLst>
        </xdr:cNvPr>
        <xdr:cNvSpPr/>
      </xdr:nvSpPr>
      <xdr:spPr>
        <a:xfrm>
          <a:off x="10678432" y="2564491"/>
          <a:ext cx="4179325"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117</xdr:col>
      <xdr:colOff>95250</xdr:colOff>
      <xdr:row>24</xdr:row>
      <xdr:rowOff>66675</xdr:rowOff>
    </xdr:from>
    <xdr:to>
      <xdr:col>117</xdr:col>
      <xdr:colOff>347250</xdr:colOff>
      <xdr:row>27</xdr:row>
      <xdr:rowOff>32925</xdr:rowOff>
    </xdr:to>
    <xdr:sp macro="" textlink="">
      <xdr:nvSpPr>
        <xdr:cNvPr id="28" name="フローチャート : 結合子 26">
          <a:extLst>
            <a:ext uri="{FF2B5EF4-FFF2-40B4-BE49-F238E27FC236}">
              <a16:creationId xmlns:a16="http://schemas.microsoft.com/office/drawing/2014/main" id="{92B50765-297A-47DD-8530-F9A2509E4719}"/>
            </a:ext>
          </a:extLst>
        </xdr:cNvPr>
        <xdr:cNvSpPr/>
      </xdr:nvSpPr>
      <xdr:spPr>
        <a:xfrm>
          <a:off x="10598150" y="2352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138</xdr:col>
      <xdr:colOff>66675</xdr:colOff>
      <xdr:row>61</xdr:row>
      <xdr:rowOff>91857</xdr:rowOff>
    </xdr:from>
    <xdr:to>
      <xdr:col>160</xdr:col>
      <xdr:colOff>52457</xdr:colOff>
      <xdr:row>76</xdr:row>
      <xdr:rowOff>21166</xdr:rowOff>
    </xdr:to>
    <xdr:sp macro="" textlink="">
      <xdr:nvSpPr>
        <xdr:cNvPr id="29" name="正方形/長方形 28">
          <a:extLst>
            <a:ext uri="{FF2B5EF4-FFF2-40B4-BE49-F238E27FC236}">
              <a16:creationId xmlns:a16="http://schemas.microsoft.com/office/drawing/2014/main" id="{7FB38050-44AB-4FDB-B9EF-8699650C1FD1}"/>
            </a:ext>
          </a:extLst>
        </xdr:cNvPr>
        <xdr:cNvSpPr/>
      </xdr:nvSpPr>
      <xdr:spPr>
        <a:xfrm>
          <a:off x="12912725" y="5140107"/>
          <a:ext cx="1941582" cy="1485059"/>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注意事項をご確認の上</a:t>
          </a:r>
          <a:r>
            <a:rPr lang="en-US" altLang="ja-JP" sz="900">
              <a:solidFill>
                <a:sysClr val="windowText" lastClr="000000"/>
              </a:solidFill>
              <a:effectLst/>
            </a:rPr>
            <a:t>.</a:t>
          </a:r>
          <a:r>
            <a:rPr lang="ja-JP" altLang="en-US" sz="900">
              <a:solidFill>
                <a:sysClr val="windowText" lastClr="000000"/>
              </a:solidFill>
              <a:effectLst/>
            </a:rPr>
            <a:t>既にご契約されている</a:t>
          </a:r>
          <a:r>
            <a:rPr lang="en-US" altLang="ja-JP" sz="900">
              <a:solidFill>
                <a:sysClr val="windowText" lastClr="000000"/>
              </a:solidFill>
              <a:effectLst/>
            </a:rPr>
            <a:t>DigitalArts@Cloud</a:t>
          </a:r>
          <a:r>
            <a:rPr lang="ja-JP" altLang="en-US" sz="900">
              <a:solidFill>
                <a:sysClr val="windowText" lastClr="000000"/>
              </a:solidFill>
              <a:effectLst/>
            </a:rPr>
            <a:t> 製品の</a:t>
          </a:r>
          <a:endParaRPr lang="en-US" altLang="ja-JP" sz="900">
            <a:solidFill>
              <a:sysClr val="windowText" lastClr="000000"/>
            </a:solidFill>
            <a:effectLst/>
          </a:endParaRPr>
        </a:p>
        <a:p>
          <a:r>
            <a:rPr lang="ja-JP" altLang="en-US" sz="900">
              <a:solidFill>
                <a:sysClr val="windowText" lastClr="000000"/>
              </a:solidFill>
              <a:effectLst/>
            </a:rPr>
            <a:t>シリアルをいずれか１つご入力ください。</a:t>
          </a:r>
          <a:endParaRPr lang="en-US" altLang="ja-JP" sz="900">
            <a:solidFill>
              <a:sysClr val="windowText" lastClr="000000"/>
            </a:solidFill>
            <a:effectLst/>
          </a:endParaRPr>
        </a:p>
        <a:p>
          <a:endParaRPr lang="en-US" altLang="ja-JP" sz="900">
            <a:solidFill>
              <a:sysClr val="windowText" lastClr="000000"/>
            </a:solidFill>
            <a:effectLst/>
          </a:endParaRPr>
        </a:p>
        <a:p>
          <a:r>
            <a:rPr lang="en-US" altLang="ja-JP" sz="900">
              <a:solidFill>
                <a:sysClr val="windowText" lastClr="000000"/>
              </a:solidFill>
              <a:effectLst/>
            </a:rPr>
            <a:t>i-FILTER@Cloud GIGA</a:t>
          </a:r>
          <a:r>
            <a:rPr lang="ja-JP" altLang="en-US" sz="900">
              <a:solidFill>
                <a:sysClr val="windowText" lastClr="000000"/>
              </a:solidFill>
              <a:effectLst/>
            </a:rPr>
            <a:t>スクール版を購入する際、</a:t>
          </a:r>
          <a:r>
            <a:rPr lang="en-US" altLang="ja-JP" sz="900">
              <a:solidFill>
                <a:sysClr val="windowText" lastClr="000000"/>
              </a:solidFill>
              <a:effectLst/>
            </a:rPr>
            <a:t>Desk GIGA</a:t>
          </a:r>
          <a:r>
            <a:rPr lang="ja-JP" altLang="en-US" sz="900">
              <a:solidFill>
                <a:sysClr val="windowText" lastClr="000000"/>
              </a:solidFill>
              <a:effectLst/>
            </a:rPr>
            <a:t>スクール版を既に保有している場合は、保有シリアルに</a:t>
          </a:r>
          <a:r>
            <a:rPr lang="en-US" altLang="ja-JP" sz="900">
              <a:solidFill>
                <a:sysClr val="windowText" lastClr="000000"/>
              </a:solidFill>
              <a:effectLst/>
            </a:rPr>
            <a:t>Desk GIGA</a:t>
          </a:r>
          <a:r>
            <a:rPr lang="ja-JP" altLang="en-US" sz="900">
              <a:solidFill>
                <a:sysClr val="windowText" lastClr="000000"/>
              </a:solidFill>
              <a:effectLst/>
            </a:rPr>
            <a:t>スクール版のシリアルを入力してください。</a:t>
          </a:r>
          <a:endParaRPr lang="ja-JP" altLang="ja-JP" sz="900">
            <a:solidFill>
              <a:sysClr val="windowText" lastClr="000000"/>
            </a:solidFill>
            <a:effectLst/>
          </a:endParaRPr>
        </a:p>
      </xdr:txBody>
    </xdr:sp>
    <xdr:clientData/>
  </xdr:twoCellAnchor>
  <xdr:twoCellAnchor>
    <xdr:from>
      <xdr:col>117</xdr:col>
      <xdr:colOff>175532</xdr:colOff>
      <xdr:row>61</xdr:row>
      <xdr:rowOff>91165</xdr:rowOff>
    </xdr:from>
    <xdr:to>
      <xdr:col>135</xdr:col>
      <xdr:colOff>19047</xdr:colOff>
      <xdr:row>76</xdr:row>
      <xdr:rowOff>19050</xdr:rowOff>
    </xdr:to>
    <xdr:sp macro="" textlink="">
      <xdr:nvSpPr>
        <xdr:cNvPr id="30" name="正方形/長方形 29">
          <a:extLst>
            <a:ext uri="{FF2B5EF4-FFF2-40B4-BE49-F238E27FC236}">
              <a16:creationId xmlns:a16="http://schemas.microsoft.com/office/drawing/2014/main" id="{B49F954B-9A5C-41CD-ABC2-4B19C74A177B}"/>
            </a:ext>
          </a:extLst>
        </xdr:cNvPr>
        <xdr:cNvSpPr/>
      </xdr:nvSpPr>
      <xdr:spPr>
        <a:xfrm>
          <a:off x="10678432" y="5139415"/>
          <a:ext cx="1919965" cy="148363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試用版のご利用がない場合、</a:t>
          </a:r>
          <a:r>
            <a:rPr lang="en-US" altLang="ja-JP" sz="900">
              <a:solidFill>
                <a:sysClr val="windowText" lastClr="000000"/>
              </a:solidFill>
              <a:effectLst/>
            </a:rPr>
            <a:t>DigitalArts@Cloud</a:t>
          </a:r>
          <a:r>
            <a:rPr lang="ja-JP" altLang="en-US" sz="900">
              <a:solidFill>
                <a:sysClr val="windowText" lastClr="000000"/>
              </a:solidFill>
              <a:effectLst/>
            </a:rPr>
            <a:t> の管理者となる</a:t>
          </a:r>
          <a:endParaRPr lang="en-US" altLang="ja-JP" sz="900">
            <a:solidFill>
              <a:sysClr val="windowText" lastClr="000000"/>
            </a:solidFill>
            <a:effectLst/>
          </a:endParaRPr>
        </a:p>
        <a:p>
          <a:r>
            <a:rPr lang="ja-JP" altLang="en-US" sz="900">
              <a:solidFill>
                <a:sysClr val="windowText" lastClr="000000"/>
              </a:solidFill>
              <a:effectLst/>
            </a:rPr>
            <a:t>メールアドレスをご入力ください。</a:t>
          </a:r>
          <a:endParaRPr lang="en-US" altLang="ja-JP" sz="900">
            <a:solidFill>
              <a:sysClr val="windowText" lastClr="000000"/>
            </a:solidFill>
            <a:effectLst/>
          </a:endParaRPr>
        </a:p>
        <a:p>
          <a:endParaRPr lang="en-US" altLang="ja-JP" sz="300">
            <a:solidFill>
              <a:sysClr val="windowText" lastClr="000000"/>
            </a:solidFill>
            <a:effectLst/>
          </a:endParaRPr>
        </a:p>
        <a:p>
          <a:r>
            <a:rPr lang="ja-JP" altLang="en-US" sz="900">
              <a:solidFill>
                <a:sysClr val="windowText" lastClr="000000"/>
              </a:solidFill>
              <a:effectLst/>
            </a:rPr>
            <a:t>試用版のご利用がある場合は、</a:t>
          </a:r>
          <a:endParaRPr lang="en-US" altLang="ja-JP" sz="900">
            <a:solidFill>
              <a:sysClr val="windowText" lastClr="000000"/>
            </a:solidFill>
            <a:effectLst/>
          </a:endParaRPr>
        </a:p>
        <a:p>
          <a:r>
            <a:rPr lang="ja-JP" altLang="en-US" sz="900">
              <a:solidFill>
                <a:sysClr val="windowText" lastClr="000000"/>
              </a:solidFill>
              <a:effectLst/>
            </a:rPr>
            <a:t>この欄は入力せず、各製品申請欄に</a:t>
          </a:r>
          <a:endParaRPr lang="en-US" altLang="ja-JP" sz="900">
            <a:solidFill>
              <a:sysClr val="windowText" lastClr="000000"/>
            </a:solidFill>
            <a:effectLst/>
          </a:endParaRPr>
        </a:p>
        <a:p>
          <a:r>
            <a:rPr lang="ja-JP" altLang="en-US" sz="900">
              <a:solidFill>
                <a:sysClr val="windowText" lastClr="000000"/>
              </a:solidFill>
              <a:effectLst/>
            </a:rPr>
            <a:t>お進みください。</a:t>
          </a:r>
          <a:endParaRPr lang="en-US" altLang="ja-JP" sz="900">
            <a:solidFill>
              <a:sysClr val="windowText" lastClr="000000"/>
            </a:solidFill>
            <a:effectLst/>
          </a:endParaRPr>
        </a:p>
        <a:p>
          <a:endParaRPr lang="en-US" altLang="ja-JP" sz="900">
            <a:solidFill>
              <a:sysClr val="windowText" lastClr="000000"/>
            </a:solidFill>
            <a:effectLst/>
          </a:endParaRPr>
        </a:p>
        <a:p>
          <a:r>
            <a:rPr lang="ja-JP" altLang="en-US" sz="900">
              <a:solidFill>
                <a:sysClr val="windowText" lastClr="000000"/>
              </a:solidFill>
              <a:effectLst/>
            </a:rPr>
            <a:t>管理者</a:t>
          </a:r>
          <a:r>
            <a:rPr lang="en-US" altLang="ja-JP" sz="900">
              <a:solidFill>
                <a:sysClr val="windowText" lastClr="000000"/>
              </a:solidFill>
              <a:effectLst/>
            </a:rPr>
            <a:t>E-mail</a:t>
          </a:r>
          <a:r>
            <a:rPr lang="ja-JP" altLang="en-US" sz="900">
              <a:solidFill>
                <a:sysClr val="windowText" lastClr="000000"/>
              </a:solidFill>
              <a:effectLst/>
            </a:rPr>
            <a:t>の最大文字数は</a:t>
          </a:r>
          <a:r>
            <a:rPr lang="en-US" altLang="ja-JP" sz="900">
              <a:solidFill>
                <a:sysClr val="windowText" lastClr="000000"/>
              </a:solidFill>
              <a:effectLst/>
            </a:rPr>
            <a:t>64</a:t>
          </a:r>
          <a:r>
            <a:rPr lang="ja-JP" altLang="en-US" sz="900">
              <a:solidFill>
                <a:sysClr val="windowText" lastClr="000000"/>
              </a:solidFill>
              <a:effectLst/>
            </a:rPr>
            <a:t>文字となります。</a:t>
          </a:r>
          <a:endParaRPr lang="en-US" altLang="ja-JP" sz="900">
            <a:solidFill>
              <a:sysClr val="windowText" lastClr="000000"/>
            </a:solidFill>
            <a:effectLst/>
          </a:endParaRPr>
        </a:p>
      </xdr:txBody>
    </xdr:sp>
    <xdr:clientData/>
  </xdr:twoCellAnchor>
  <xdr:twoCellAnchor>
    <xdr:from>
      <xdr:col>137</xdr:col>
      <xdr:colOff>57150</xdr:colOff>
      <xdr:row>60</xdr:row>
      <xdr:rowOff>76200</xdr:rowOff>
    </xdr:from>
    <xdr:to>
      <xdr:col>143</xdr:col>
      <xdr:colOff>57151</xdr:colOff>
      <xdr:row>62</xdr:row>
      <xdr:rowOff>57150</xdr:rowOff>
    </xdr:to>
    <xdr:sp macro="" textlink="">
      <xdr:nvSpPr>
        <xdr:cNvPr id="31" name="フローチャート : 結合子 26">
          <a:extLst>
            <a:ext uri="{FF2B5EF4-FFF2-40B4-BE49-F238E27FC236}">
              <a16:creationId xmlns:a16="http://schemas.microsoft.com/office/drawing/2014/main" id="{F29EB86B-899D-40AD-9241-EE73143C1706}"/>
            </a:ext>
          </a:extLst>
        </xdr:cNvPr>
        <xdr:cNvSpPr/>
      </xdr:nvSpPr>
      <xdr:spPr>
        <a:xfrm>
          <a:off x="12814300" y="5029200"/>
          <a:ext cx="533401" cy="17145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8-2</a:t>
          </a:r>
        </a:p>
      </xdr:txBody>
    </xdr:sp>
    <xdr:clientData/>
  </xdr:twoCellAnchor>
  <xdr:twoCellAnchor>
    <xdr:from>
      <xdr:col>117</xdr:col>
      <xdr:colOff>76199</xdr:colOff>
      <xdr:row>60</xdr:row>
      <xdr:rowOff>57150</xdr:rowOff>
    </xdr:from>
    <xdr:to>
      <xdr:col>118</xdr:col>
      <xdr:colOff>28575</xdr:colOff>
      <xdr:row>62</xdr:row>
      <xdr:rowOff>47625</xdr:rowOff>
    </xdr:to>
    <xdr:sp macro="" textlink="">
      <xdr:nvSpPr>
        <xdr:cNvPr id="32" name="フローチャート : 結合子 26">
          <a:extLst>
            <a:ext uri="{FF2B5EF4-FFF2-40B4-BE49-F238E27FC236}">
              <a16:creationId xmlns:a16="http://schemas.microsoft.com/office/drawing/2014/main" id="{817FB0AA-9D1D-4DDE-9761-2A20AAAD46F4}"/>
            </a:ext>
          </a:extLst>
        </xdr:cNvPr>
        <xdr:cNvSpPr/>
      </xdr:nvSpPr>
      <xdr:spPr>
        <a:xfrm>
          <a:off x="10579099" y="5010150"/>
          <a:ext cx="517526" cy="180975"/>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8-1</a:t>
          </a:r>
        </a:p>
      </xdr:txBody>
    </xdr:sp>
    <xdr:clientData/>
  </xdr:twoCellAnchor>
  <xdr:twoCellAnchor>
    <xdr:from>
      <xdr:col>0</xdr:col>
      <xdr:colOff>0</xdr:colOff>
      <xdr:row>76</xdr:row>
      <xdr:rowOff>76199</xdr:rowOff>
    </xdr:from>
    <xdr:to>
      <xdr:col>1</xdr:col>
      <xdr:colOff>51975</xdr:colOff>
      <xdr:row>79</xdr:row>
      <xdr:rowOff>42449</xdr:rowOff>
    </xdr:to>
    <xdr:sp macro="" textlink="">
      <xdr:nvSpPr>
        <xdr:cNvPr id="33" name="フローチャート : 結合子 10">
          <a:extLst>
            <a:ext uri="{FF2B5EF4-FFF2-40B4-BE49-F238E27FC236}">
              <a16:creationId xmlns:a16="http://schemas.microsoft.com/office/drawing/2014/main" id="{B934CBFF-1D94-492A-835E-01B013F05A9E}"/>
            </a:ext>
          </a:extLst>
        </xdr:cNvPr>
        <xdr:cNvSpPr/>
      </xdr:nvSpPr>
      <xdr:spPr>
        <a:xfrm>
          <a:off x="0" y="6680199"/>
          <a:ext cx="236125"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0</xdr:col>
      <xdr:colOff>31749</xdr:colOff>
      <xdr:row>80</xdr:row>
      <xdr:rowOff>25401</xdr:rowOff>
    </xdr:from>
    <xdr:to>
      <xdr:col>3</xdr:col>
      <xdr:colOff>54171</xdr:colOff>
      <xdr:row>82</xdr:row>
      <xdr:rowOff>52917</xdr:rowOff>
    </xdr:to>
    <xdr:sp macro="" textlink="">
      <xdr:nvSpPr>
        <xdr:cNvPr id="34" name="フローチャート : 結合子 26">
          <a:extLst>
            <a:ext uri="{FF2B5EF4-FFF2-40B4-BE49-F238E27FC236}">
              <a16:creationId xmlns:a16="http://schemas.microsoft.com/office/drawing/2014/main" id="{741723FF-A587-4E9B-9A99-59DC73448AC6}"/>
            </a:ext>
          </a:extLst>
        </xdr:cNvPr>
        <xdr:cNvSpPr/>
      </xdr:nvSpPr>
      <xdr:spPr>
        <a:xfrm>
          <a:off x="31749" y="7010401"/>
          <a:ext cx="384372" cy="218016"/>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8-1</a:t>
          </a:r>
        </a:p>
      </xdr:txBody>
    </xdr:sp>
    <xdr:clientData/>
  </xdr:twoCellAnchor>
  <xdr:twoCellAnchor>
    <xdr:from>
      <xdr:col>117</xdr:col>
      <xdr:colOff>178706</xdr:colOff>
      <xdr:row>120</xdr:row>
      <xdr:rowOff>122500</xdr:rowOff>
    </xdr:from>
    <xdr:to>
      <xdr:col>179</xdr:col>
      <xdr:colOff>7647</xdr:colOff>
      <xdr:row>125</xdr:row>
      <xdr:rowOff>8199</xdr:rowOff>
    </xdr:to>
    <xdr:sp macro="" textlink="">
      <xdr:nvSpPr>
        <xdr:cNvPr id="35" name="正方形/長方形 34">
          <a:extLst>
            <a:ext uri="{FF2B5EF4-FFF2-40B4-BE49-F238E27FC236}">
              <a16:creationId xmlns:a16="http://schemas.microsoft.com/office/drawing/2014/main" id="{B6756A63-14A9-4684-9A24-430C8742D3EB}"/>
            </a:ext>
          </a:extLst>
        </xdr:cNvPr>
        <xdr:cNvSpPr/>
      </xdr:nvSpPr>
      <xdr:spPr>
        <a:xfrm>
          <a:off x="10313306" y="12619300"/>
          <a:ext cx="5620141" cy="838199"/>
        </a:xfrm>
        <a:prstGeom prst="rect">
          <a:avLst/>
        </a:prstGeom>
        <a:solidFill>
          <a:schemeClr val="accent3">
            <a:lumMod val="20000"/>
            <a:lumOff val="80000"/>
          </a:schemeClr>
        </a:solidFill>
        <a:ln w="444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Z-FILTER</a:t>
          </a:r>
          <a:r>
            <a:rPr lang="ja-JP" altLang="en-US" sz="900" b="0" i="0">
              <a:solidFill>
                <a:schemeClr val="tx1"/>
              </a:solidFill>
              <a:effectLst/>
              <a:latin typeface="+mn-lt"/>
              <a:ea typeface="+mn-ea"/>
              <a:cs typeface="+mn-cs"/>
            </a:rPr>
            <a:t>」において、同一ユーザーが異なる</a:t>
          </a:r>
          <a:r>
            <a:rPr lang="en-US" altLang="ja-JP" sz="900" b="0" i="0">
              <a:solidFill>
                <a:schemeClr val="tx1"/>
              </a:solidFill>
              <a:effectLst/>
              <a:latin typeface="+mn-lt"/>
              <a:ea typeface="+mn-ea"/>
              <a:cs typeface="+mn-cs"/>
            </a:rPr>
            <a:t>OS</a:t>
          </a:r>
          <a:r>
            <a:rPr lang="ja-JP" altLang="en-US" sz="900" b="0" i="0">
              <a:solidFill>
                <a:schemeClr val="tx1"/>
              </a:solidFill>
              <a:effectLst/>
              <a:latin typeface="+mn-lt"/>
              <a:ea typeface="+mn-ea"/>
              <a:cs typeface="+mn-cs"/>
            </a:rPr>
            <a:t>の端末を複数利用する際、 </a:t>
          </a:r>
          <a:r>
            <a:rPr lang="en-US" altLang="ja-JP" sz="900" b="0" i="0">
              <a:solidFill>
                <a:schemeClr val="tx1"/>
              </a:solidFill>
              <a:effectLst/>
              <a:latin typeface="+mn-lt"/>
              <a:ea typeface="+mn-ea"/>
              <a:cs typeface="+mn-cs"/>
            </a:rPr>
            <a:t>MDM</a:t>
          </a:r>
          <a:r>
            <a:rPr lang="ja-JP" altLang="en-US" sz="900" b="0" i="0">
              <a:solidFill>
                <a:schemeClr val="tx1"/>
              </a:solidFill>
              <a:effectLst/>
              <a:latin typeface="+mn-lt"/>
              <a:ea typeface="+mn-ea"/>
              <a:cs typeface="+mn-cs"/>
            </a:rPr>
            <a:t>の仕様やその他の事情により同一のユーザー名でユーザー登録をすることができない場合は、 別ユーザーとしてカウントされ、契約ライセンス数を超過する可能性がございます。 上記のような運用をご検討されているお客様は、弊社営業担当にご相談いただくとともに、 「</a:t>
          </a:r>
          <a:r>
            <a:rPr lang="en-US" altLang="ja-JP" sz="900" b="0" i="0">
              <a:solidFill>
                <a:schemeClr val="tx1"/>
              </a:solidFill>
              <a:effectLst/>
              <a:latin typeface="+mn-lt"/>
              <a:ea typeface="+mn-ea"/>
              <a:cs typeface="+mn-cs"/>
            </a:rPr>
            <a:t>Z-FILTER</a:t>
          </a:r>
          <a:r>
            <a:rPr lang="ja-JP" altLang="en-US" sz="900" b="0" i="0">
              <a:solidFill>
                <a:schemeClr val="tx1"/>
              </a:solidFill>
              <a:effectLst/>
              <a:latin typeface="+mn-lt"/>
              <a:ea typeface="+mn-ea"/>
              <a:cs typeface="+mn-cs"/>
            </a:rPr>
            <a:t>」購入申請欄内の「利用</a:t>
          </a:r>
          <a:r>
            <a:rPr lang="en-US" altLang="ja-JP" sz="900" b="0" i="0">
              <a:solidFill>
                <a:schemeClr val="tx1"/>
              </a:solidFill>
              <a:effectLst/>
              <a:latin typeface="+mn-lt"/>
              <a:ea typeface="+mn-ea"/>
              <a:cs typeface="+mn-cs"/>
            </a:rPr>
            <a:t>OS</a:t>
          </a:r>
          <a:r>
            <a:rPr lang="ja-JP" altLang="en-US" sz="900" b="0" i="0">
              <a:solidFill>
                <a:schemeClr val="tx1"/>
              </a:solidFill>
              <a:effectLst/>
              <a:latin typeface="+mn-lt"/>
              <a:ea typeface="+mn-ea"/>
              <a:cs typeface="+mn-cs"/>
            </a:rPr>
            <a:t>内訳」に必要事項のご入力をお願いいたします。</a:t>
          </a:r>
          <a:endParaRPr lang="en-US" altLang="ja-JP" sz="900" b="0" i="0">
            <a:solidFill>
              <a:schemeClr val="tx1"/>
            </a:solidFill>
            <a:effectLst/>
            <a:latin typeface="+mn-lt"/>
            <a:ea typeface="+mn-ea"/>
            <a:cs typeface="+mn-cs"/>
          </a:endParaRPr>
        </a:p>
      </xdr:txBody>
    </xdr:sp>
    <xdr:clientData/>
  </xdr:twoCellAnchor>
  <xdr:twoCellAnchor>
    <xdr:from>
      <xdr:col>117</xdr:col>
      <xdr:colOff>73313</xdr:colOff>
      <xdr:row>120</xdr:row>
      <xdr:rowOff>26564</xdr:rowOff>
    </xdr:from>
    <xdr:to>
      <xdr:col>117</xdr:col>
      <xdr:colOff>485775</xdr:colOff>
      <xdr:row>120</xdr:row>
      <xdr:rowOff>187569</xdr:rowOff>
    </xdr:to>
    <xdr:sp macro="" textlink="">
      <xdr:nvSpPr>
        <xdr:cNvPr id="36" name="フローチャート : 結合子 26">
          <a:extLst>
            <a:ext uri="{FF2B5EF4-FFF2-40B4-BE49-F238E27FC236}">
              <a16:creationId xmlns:a16="http://schemas.microsoft.com/office/drawing/2014/main" id="{C9921AC4-5311-496B-A540-D3A391871DCE}"/>
            </a:ext>
          </a:extLst>
        </xdr:cNvPr>
        <xdr:cNvSpPr/>
      </xdr:nvSpPr>
      <xdr:spPr>
        <a:xfrm>
          <a:off x="10207913" y="12523364"/>
          <a:ext cx="412462" cy="161005"/>
        </a:xfrm>
        <a:prstGeom prst="roundRect">
          <a:avLst/>
        </a:prstGeom>
        <a:solidFill>
          <a:schemeClr val="accent3">
            <a:lumMod val="20000"/>
            <a:lumOff val="8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800" b="1">
              <a:solidFill>
                <a:sysClr val="windowText" lastClr="000000"/>
              </a:solidFill>
              <a:latin typeface="+mn-ea"/>
              <a:ea typeface="+mn-ea"/>
            </a:rPr>
            <a:t>参考</a:t>
          </a:r>
          <a:endParaRPr kumimoji="1" lang="en-US" altLang="ja-JP" sz="800" b="1">
            <a:solidFill>
              <a:sysClr val="windowText" lastClr="000000"/>
            </a:solidFill>
            <a:latin typeface="+mn-ea"/>
            <a:ea typeface="+mn-ea"/>
          </a:endParaRPr>
        </a:p>
      </xdr:txBody>
    </xdr:sp>
    <xdr:clientData/>
  </xdr:twoCellAnchor>
  <xdr:twoCellAnchor>
    <xdr:from>
      <xdr:col>117</xdr:col>
      <xdr:colOff>178707</xdr:colOff>
      <xdr:row>83</xdr:row>
      <xdr:rowOff>84570</xdr:rowOff>
    </xdr:from>
    <xdr:to>
      <xdr:col>160</xdr:col>
      <xdr:colOff>55907</xdr:colOff>
      <xdr:row>86</xdr:row>
      <xdr:rowOff>66385</xdr:rowOff>
    </xdr:to>
    <xdr:sp macro="" textlink="">
      <xdr:nvSpPr>
        <xdr:cNvPr id="37" name="正方形/長方形 36">
          <a:extLst>
            <a:ext uri="{FF2B5EF4-FFF2-40B4-BE49-F238E27FC236}">
              <a16:creationId xmlns:a16="http://schemas.microsoft.com/office/drawing/2014/main" id="{4EB93DD0-8C23-431F-BF57-64E01B40B0DE}"/>
            </a:ext>
          </a:extLst>
        </xdr:cNvPr>
        <xdr:cNvSpPr/>
      </xdr:nvSpPr>
      <xdr:spPr>
        <a:xfrm>
          <a:off x="10413752" y="7843115"/>
          <a:ext cx="4076860" cy="466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1">
              <a:solidFill>
                <a:srgbClr val="FF0000"/>
              </a:solidFill>
              <a:effectLst/>
              <a:latin typeface="+mn-lt"/>
              <a:ea typeface="+mn-ea"/>
              <a:cs typeface="+mn-cs"/>
            </a:rPr>
            <a:t>続いて購入する製品の申請欄に進みます。</a:t>
          </a:r>
          <a:endParaRPr lang="en-US" altLang="ja-JP" sz="900" b="1">
            <a:solidFill>
              <a:srgbClr val="FF0000"/>
            </a:solidFill>
            <a:effectLst/>
            <a:latin typeface="+mn-lt"/>
            <a:ea typeface="+mn-ea"/>
            <a:cs typeface="+mn-cs"/>
          </a:endParaRPr>
        </a:p>
        <a:p>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以下はご購入内容により、入力箇所が異なります。</a:t>
          </a:r>
        </a:p>
      </xdr:txBody>
    </xdr:sp>
    <xdr:clientData/>
  </xdr:twoCellAnchor>
  <xdr:twoCellAnchor>
    <xdr:from>
      <xdr:col>135</xdr:col>
      <xdr:colOff>19047</xdr:colOff>
      <xdr:row>69</xdr:row>
      <xdr:rowOff>75168</xdr:rowOff>
    </xdr:from>
    <xdr:to>
      <xdr:col>137</xdr:col>
      <xdr:colOff>12243</xdr:colOff>
      <xdr:row>83</xdr:row>
      <xdr:rowOff>87745</xdr:rowOff>
    </xdr:to>
    <xdr:cxnSp macro="">
      <xdr:nvCxnSpPr>
        <xdr:cNvPr id="38" name="カギ線コネクタ 4">
          <a:extLst>
            <a:ext uri="{FF2B5EF4-FFF2-40B4-BE49-F238E27FC236}">
              <a16:creationId xmlns:a16="http://schemas.microsoft.com/office/drawing/2014/main" id="{43E45C04-DA4C-4AC5-B34B-1367DAB43250}"/>
            </a:ext>
          </a:extLst>
        </xdr:cNvPr>
        <xdr:cNvCxnSpPr>
          <a:stCxn id="30" idx="3"/>
          <a:endCxn id="37" idx="0"/>
        </xdr:cNvCxnSpPr>
      </xdr:nvCxnSpPr>
      <xdr:spPr>
        <a:xfrm>
          <a:off x="12288979" y="6361668"/>
          <a:ext cx="166378" cy="1484622"/>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12244</xdr:colOff>
      <xdr:row>69</xdr:row>
      <xdr:rowOff>76571</xdr:rowOff>
    </xdr:from>
    <xdr:to>
      <xdr:col>138</xdr:col>
      <xdr:colOff>66676</xdr:colOff>
      <xdr:row>83</xdr:row>
      <xdr:rowOff>87744</xdr:rowOff>
    </xdr:to>
    <xdr:cxnSp macro="">
      <xdr:nvCxnSpPr>
        <xdr:cNvPr id="39" name="カギ線コネクタ 63">
          <a:extLst>
            <a:ext uri="{FF2B5EF4-FFF2-40B4-BE49-F238E27FC236}">
              <a16:creationId xmlns:a16="http://schemas.microsoft.com/office/drawing/2014/main" id="{80547230-B24D-4F13-BA32-AD9F837EDF58}"/>
            </a:ext>
          </a:extLst>
        </xdr:cNvPr>
        <xdr:cNvCxnSpPr>
          <a:stCxn id="29" idx="1"/>
          <a:endCxn id="37" idx="0"/>
        </xdr:cNvCxnSpPr>
      </xdr:nvCxnSpPr>
      <xdr:spPr>
        <a:xfrm rot="10800000" flipV="1">
          <a:off x="12455358" y="6363071"/>
          <a:ext cx="141023" cy="1483218"/>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9525</xdr:colOff>
      <xdr:row>59</xdr:row>
      <xdr:rowOff>19050</xdr:rowOff>
    </xdr:from>
    <xdr:to>
      <xdr:col>121</xdr:col>
      <xdr:colOff>9525</xdr:colOff>
      <xdr:row>62</xdr:row>
      <xdr:rowOff>21300</xdr:rowOff>
    </xdr:to>
    <xdr:cxnSp macro="">
      <xdr:nvCxnSpPr>
        <xdr:cNvPr id="40" name="直線矢印コネクタ 39">
          <a:extLst>
            <a:ext uri="{FF2B5EF4-FFF2-40B4-BE49-F238E27FC236}">
              <a16:creationId xmlns:a16="http://schemas.microsoft.com/office/drawing/2014/main" id="{DCE4E854-2FC7-43CF-87B9-33A97C4D5891}"/>
            </a:ext>
          </a:extLst>
        </xdr:cNvPr>
        <xdr:cNvCxnSpPr/>
      </xdr:nvCxnSpPr>
      <xdr:spPr>
        <a:xfrm>
          <a:off x="11344275" y="4876800"/>
          <a:ext cx="0" cy="288000"/>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xdr:col>
      <xdr:colOff>32657</xdr:colOff>
      <xdr:row>59</xdr:row>
      <xdr:rowOff>5444</xdr:rowOff>
    </xdr:from>
    <xdr:to>
      <xdr:col>149</xdr:col>
      <xdr:colOff>32657</xdr:colOff>
      <xdr:row>62</xdr:row>
      <xdr:rowOff>7694</xdr:rowOff>
    </xdr:to>
    <xdr:cxnSp macro="">
      <xdr:nvCxnSpPr>
        <xdr:cNvPr id="42" name="直線矢印コネクタ 41">
          <a:extLst>
            <a:ext uri="{FF2B5EF4-FFF2-40B4-BE49-F238E27FC236}">
              <a16:creationId xmlns:a16="http://schemas.microsoft.com/office/drawing/2014/main" id="{DE7E646C-2C04-47CE-9192-3A05B2943EF6}"/>
            </a:ext>
          </a:extLst>
        </xdr:cNvPr>
        <xdr:cNvCxnSpPr/>
      </xdr:nvCxnSpPr>
      <xdr:spPr>
        <a:xfrm>
          <a:off x="13856607" y="4863194"/>
          <a:ext cx="0" cy="288000"/>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38099</xdr:colOff>
      <xdr:row>128</xdr:row>
      <xdr:rowOff>48683</xdr:rowOff>
    </xdr:from>
    <xdr:to>
      <xdr:col>116</xdr:col>
      <xdr:colOff>74100</xdr:colOff>
      <xdr:row>129</xdr:row>
      <xdr:rowOff>0</xdr:rowOff>
    </xdr:to>
    <xdr:sp macro="" textlink="">
      <xdr:nvSpPr>
        <xdr:cNvPr id="45" name="フローチャート : 結合子 10">
          <a:extLst>
            <a:ext uri="{FF2B5EF4-FFF2-40B4-BE49-F238E27FC236}">
              <a16:creationId xmlns:a16="http://schemas.microsoft.com/office/drawing/2014/main" id="{5D0A507A-9266-4559-9F9B-2CAECA845F03}"/>
            </a:ext>
          </a:extLst>
        </xdr:cNvPr>
        <xdr:cNvSpPr/>
      </xdr:nvSpPr>
      <xdr:spPr>
        <a:xfrm>
          <a:off x="10096499" y="11383433"/>
          <a:ext cx="391601" cy="188384"/>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9-1</a:t>
          </a:r>
        </a:p>
      </xdr:txBody>
    </xdr:sp>
    <xdr:clientData/>
  </xdr:twoCellAnchor>
  <xdr:twoCellAnchor>
    <xdr:from>
      <xdr:col>0</xdr:col>
      <xdr:colOff>28574</xdr:colOff>
      <xdr:row>83</xdr:row>
      <xdr:rowOff>60326</xdr:rowOff>
    </xdr:from>
    <xdr:to>
      <xdr:col>3</xdr:col>
      <xdr:colOff>54171</xdr:colOff>
      <xdr:row>84</xdr:row>
      <xdr:rowOff>176742</xdr:rowOff>
    </xdr:to>
    <xdr:sp macro="" textlink="">
      <xdr:nvSpPr>
        <xdr:cNvPr id="47" name="フローチャート : 結合子 26">
          <a:extLst>
            <a:ext uri="{FF2B5EF4-FFF2-40B4-BE49-F238E27FC236}">
              <a16:creationId xmlns:a16="http://schemas.microsoft.com/office/drawing/2014/main" id="{D3530426-AB15-4FA8-8148-A332DC68F0B0}"/>
            </a:ext>
          </a:extLst>
        </xdr:cNvPr>
        <xdr:cNvSpPr/>
      </xdr:nvSpPr>
      <xdr:spPr>
        <a:xfrm>
          <a:off x="28574" y="7331076"/>
          <a:ext cx="387547" cy="211666"/>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8-2</a:t>
          </a:r>
        </a:p>
      </xdr:txBody>
    </xdr:sp>
    <xdr:clientData/>
  </xdr:twoCellAnchor>
  <xdr:twoCellAnchor>
    <xdr:from>
      <xdr:col>117</xdr:col>
      <xdr:colOff>76200</xdr:colOff>
      <xdr:row>87</xdr:row>
      <xdr:rowOff>154</xdr:rowOff>
    </xdr:from>
    <xdr:to>
      <xdr:col>117</xdr:col>
      <xdr:colOff>331375</xdr:colOff>
      <xdr:row>89</xdr:row>
      <xdr:rowOff>93849</xdr:rowOff>
    </xdr:to>
    <xdr:sp macro="" textlink="">
      <xdr:nvSpPr>
        <xdr:cNvPr id="51" name="フローチャート : 結合子 26">
          <a:extLst>
            <a:ext uri="{FF2B5EF4-FFF2-40B4-BE49-F238E27FC236}">
              <a16:creationId xmlns:a16="http://schemas.microsoft.com/office/drawing/2014/main" id="{B0C93B74-82FC-B6B4-52CF-5AEB70E9FA2C}"/>
            </a:ext>
          </a:extLst>
        </xdr:cNvPr>
        <xdr:cNvSpPr/>
      </xdr:nvSpPr>
      <xdr:spPr>
        <a:xfrm>
          <a:off x="10311245" y="8338859"/>
          <a:ext cx="255175" cy="249558"/>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113</xdr:col>
      <xdr:colOff>88899</xdr:colOff>
      <xdr:row>87</xdr:row>
      <xdr:rowOff>0</xdr:rowOff>
    </xdr:from>
    <xdr:to>
      <xdr:col>116</xdr:col>
      <xdr:colOff>61499</xdr:colOff>
      <xdr:row>89</xdr:row>
      <xdr:rowOff>51975</xdr:rowOff>
    </xdr:to>
    <xdr:sp macro="" textlink="">
      <xdr:nvSpPr>
        <xdr:cNvPr id="52" name="フローチャート : 結合子 10">
          <a:extLst>
            <a:ext uri="{FF2B5EF4-FFF2-40B4-BE49-F238E27FC236}">
              <a16:creationId xmlns:a16="http://schemas.microsoft.com/office/drawing/2014/main" id="{E944C0D4-CE4E-0FC0-AEA1-8FD26C363EEE}"/>
            </a:ext>
          </a:extLst>
        </xdr:cNvPr>
        <xdr:cNvSpPr/>
      </xdr:nvSpPr>
      <xdr:spPr>
        <a:xfrm>
          <a:off x="10236199" y="8664575"/>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27</xdr:col>
      <xdr:colOff>864</xdr:colOff>
      <xdr:row>105</xdr:row>
      <xdr:rowOff>34059</xdr:rowOff>
    </xdr:from>
    <xdr:to>
      <xdr:col>31</xdr:col>
      <xdr:colOff>66963</xdr:colOff>
      <xdr:row>107</xdr:row>
      <xdr:rowOff>5957</xdr:rowOff>
    </xdr:to>
    <xdr:sp macro="" textlink="">
      <xdr:nvSpPr>
        <xdr:cNvPr id="44" name="フローチャート : 結合子 26">
          <a:extLst>
            <a:ext uri="{FF2B5EF4-FFF2-40B4-BE49-F238E27FC236}">
              <a16:creationId xmlns:a16="http://schemas.microsoft.com/office/drawing/2014/main" id="{30AFC462-7E47-33DE-4762-A3DA4A18151F}"/>
            </a:ext>
          </a:extLst>
        </xdr:cNvPr>
        <xdr:cNvSpPr/>
      </xdr:nvSpPr>
      <xdr:spPr>
        <a:xfrm>
          <a:off x="2434069" y="10918536"/>
          <a:ext cx="412462" cy="162398"/>
        </a:xfrm>
        <a:prstGeom prst="roundRect">
          <a:avLst/>
        </a:prstGeom>
        <a:solidFill>
          <a:schemeClr val="accent3">
            <a:lumMod val="20000"/>
            <a:lumOff val="8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800" b="1">
              <a:solidFill>
                <a:sysClr val="windowText" lastClr="000000"/>
              </a:solidFill>
              <a:latin typeface="+mn-ea"/>
              <a:ea typeface="+mn-ea"/>
            </a:rPr>
            <a:t>参考</a:t>
          </a:r>
          <a:endParaRPr kumimoji="1" lang="en-US" altLang="ja-JP" sz="800" b="1">
            <a:solidFill>
              <a:sysClr val="windowText" lastClr="000000"/>
            </a:solidFill>
            <a:latin typeface="+mn-ea"/>
            <a:ea typeface="+mn-ea"/>
          </a:endParaRPr>
        </a:p>
      </xdr:txBody>
    </xdr:sp>
    <xdr:clientData/>
  </xdr:twoCellAnchor>
  <xdr:twoCellAnchor>
    <xdr:from>
      <xdr:col>117</xdr:col>
      <xdr:colOff>209550</xdr:colOff>
      <xdr:row>97</xdr:row>
      <xdr:rowOff>27411</xdr:rowOff>
    </xdr:from>
    <xdr:to>
      <xdr:col>181</xdr:col>
      <xdr:colOff>38100</xdr:colOff>
      <xdr:row>113</xdr:row>
      <xdr:rowOff>6350</xdr:rowOff>
    </xdr:to>
    <xdr:sp macro="" textlink="">
      <xdr:nvSpPr>
        <xdr:cNvPr id="41" name="正方形/長方形 40">
          <a:extLst>
            <a:ext uri="{FF2B5EF4-FFF2-40B4-BE49-F238E27FC236}">
              <a16:creationId xmlns:a16="http://schemas.microsoft.com/office/drawing/2014/main" id="{2CE1109C-6C2C-4B18-83DE-FFA97CA0E011}"/>
            </a:ext>
          </a:extLst>
        </xdr:cNvPr>
        <xdr:cNvSpPr/>
      </xdr:nvSpPr>
      <xdr:spPr>
        <a:xfrm>
          <a:off x="10344150" y="9561936"/>
          <a:ext cx="5791200" cy="2179214"/>
        </a:xfrm>
        <a:prstGeom prst="rect">
          <a:avLst/>
        </a:prstGeom>
        <a:solidFill>
          <a:schemeClr val="accent3">
            <a:lumMod val="20000"/>
            <a:lumOff val="80000"/>
          </a:schemeClr>
        </a:solidFill>
        <a:ln w="444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0">
              <a:solidFill>
                <a:sysClr val="windowText" lastClr="000000"/>
              </a:solidFill>
              <a:effectLst/>
              <a:latin typeface="+mn-lt"/>
              <a:ea typeface="+mn-ea"/>
              <a:cs typeface="+mn-cs"/>
            </a:rPr>
            <a:t>・ログダウンロード期限延長をお申込みいただいた場合、</a:t>
          </a:r>
        </a:p>
        <a:p>
          <a:r>
            <a:rPr lang="ja-JP" altLang="en-US" sz="900" b="0">
              <a:solidFill>
                <a:sysClr val="windowText" lastClr="000000"/>
              </a:solidFill>
              <a:effectLst/>
              <a:latin typeface="+mn-lt"/>
              <a:ea typeface="+mn-ea"/>
              <a:cs typeface="+mn-cs"/>
            </a:rPr>
            <a:t>　ご契約中の「</a:t>
          </a:r>
          <a:r>
            <a:rPr lang="en-US" altLang="ja-JP" sz="900" b="0">
              <a:solidFill>
                <a:sysClr val="windowText" lastClr="000000"/>
              </a:solidFill>
              <a:effectLst/>
              <a:latin typeface="+mn-lt"/>
              <a:ea typeface="+mn-ea"/>
              <a:cs typeface="+mn-cs"/>
            </a:rPr>
            <a:t>i-FILTER@Cloud</a:t>
          </a:r>
          <a:r>
            <a:rPr lang="ja-JP" altLang="en-US" sz="900" b="0">
              <a:solidFill>
                <a:sysClr val="windowText" lastClr="000000"/>
              </a:solidFill>
              <a:effectLst/>
              <a:latin typeface="+mn-lt"/>
              <a:ea typeface="+mn-ea"/>
              <a:cs typeface="+mn-cs"/>
            </a:rPr>
            <a:t>」利用期間終了後、トークンを利用したログダウンロードは</a:t>
          </a:r>
          <a:r>
            <a:rPr lang="en-US" altLang="ja-JP" sz="900" b="0">
              <a:solidFill>
                <a:sysClr val="windowText" lastClr="000000"/>
              </a:solidFill>
              <a:effectLst/>
              <a:latin typeface="+mn-lt"/>
              <a:ea typeface="+mn-ea"/>
              <a:cs typeface="+mn-cs"/>
            </a:rPr>
            <a:t>1</a:t>
          </a:r>
          <a:r>
            <a:rPr lang="ja-JP" altLang="en-US" sz="900" b="0">
              <a:solidFill>
                <a:sysClr val="windowText" lastClr="000000"/>
              </a:solidFill>
              <a:effectLst/>
              <a:latin typeface="+mn-lt"/>
              <a:ea typeface="+mn-ea"/>
              <a:cs typeface="+mn-cs"/>
            </a:rPr>
            <a:t>年間利用可能 となります。</a:t>
          </a:r>
        </a:p>
        <a:p>
          <a:r>
            <a:rPr lang="ja-JP" altLang="en-US" sz="900" b="0">
              <a:solidFill>
                <a:sysClr val="windowText" lastClr="000000"/>
              </a:solidFill>
              <a:effectLst/>
              <a:latin typeface="+mn-lt"/>
              <a:ea typeface="+mn-ea"/>
              <a:cs typeface="+mn-cs"/>
            </a:rPr>
            <a:t>・ダウンロード可能なログは、ご契約中の「</a:t>
          </a:r>
          <a:r>
            <a:rPr lang="en-US" altLang="ja-JP" sz="900" b="0">
              <a:solidFill>
                <a:sysClr val="windowText" lastClr="000000"/>
              </a:solidFill>
              <a:effectLst/>
              <a:latin typeface="+mn-lt"/>
              <a:ea typeface="+mn-ea"/>
              <a:cs typeface="+mn-cs"/>
            </a:rPr>
            <a:t>i-FILTER@Cloud</a:t>
          </a:r>
          <a:r>
            <a:rPr lang="ja-JP" altLang="en-US" sz="900" b="0">
              <a:solidFill>
                <a:sysClr val="windowText" lastClr="000000"/>
              </a:solidFill>
              <a:effectLst/>
              <a:latin typeface="+mn-lt"/>
              <a:ea typeface="+mn-ea"/>
              <a:cs typeface="+mn-cs"/>
            </a:rPr>
            <a:t>」のログ保存期間に準じます。</a:t>
          </a:r>
        </a:p>
        <a:p>
          <a:r>
            <a:rPr lang="ja-JP" altLang="en-US" sz="900" b="0">
              <a:solidFill>
                <a:sysClr val="windowText" lastClr="000000"/>
              </a:solidFill>
              <a:effectLst/>
              <a:latin typeface="+mn-lt"/>
              <a:ea typeface="+mn-ea"/>
              <a:cs typeface="+mn-cs"/>
            </a:rPr>
            <a:t>　ログダウンロード日を起算日として、ご契約中のログ保存期間を超過したログは削除されます。</a:t>
          </a:r>
        </a:p>
        <a:p>
          <a:endParaRPr lang="ja-JP" altLang="en-US" sz="900" b="0">
            <a:solidFill>
              <a:sysClr val="windowText" lastClr="000000"/>
            </a:solidFill>
            <a:effectLst/>
            <a:latin typeface="+mn-lt"/>
            <a:ea typeface="+mn-ea"/>
            <a:cs typeface="+mn-cs"/>
          </a:endParaRPr>
        </a:p>
        <a:p>
          <a:r>
            <a:rPr lang="ja-JP" altLang="en-US" sz="900" b="0">
              <a:solidFill>
                <a:sysClr val="windowText" lastClr="000000"/>
              </a:solidFill>
              <a:effectLst/>
              <a:latin typeface="+mn-lt"/>
              <a:ea typeface="+mn-ea"/>
              <a:cs typeface="+mn-cs"/>
            </a:rPr>
            <a:t>・ご契約中の「</a:t>
          </a:r>
          <a:r>
            <a:rPr lang="en-US" altLang="ja-JP" sz="900" b="0">
              <a:solidFill>
                <a:sysClr val="windowText" lastClr="000000"/>
              </a:solidFill>
              <a:effectLst/>
              <a:latin typeface="+mn-lt"/>
              <a:ea typeface="+mn-ea"/>
              <a:cs typeface="+mn-cs"/>
            </a:rPr>
            <a:t>i-FILTER@Cloud</a:t>
          </a:r>
          <a:r>
            <a:rPr lang="ja-JP" altLang="en-US" sz="900" b="0">
              <a:solidFill>
                <a:sysClr val="windowText" lastClr="000000"/>
              </a:solidFill>
              <a:effectLst/>
              <a:latin typeface="+mn-lt"/>
              <a:ea typeface="+mn-ea"/>
              <a:cs typeface="+mn-cs"/>
            </a:rPr>
            <a:t>」の契約終了日以降は、「</a:t>
          </a:r>
          <a:r>
            <a:rPr lang="en-US" altLang="ja-JP" sz="900" b="0">
              <a:solidFill>
                <a:sysClr val="windowText" lastClr="000000"/>
              </a:solidFill>
              <a:effectLst/>
              <a:latin typeface="+mn-lt"/>
              <a:ea typeface="+mn-ea"/>
              <a:cs typeface="+mn-cs"/>
            </a:rPr>
            <a:t>i-FILTER@Cloud</a:t>
          </a:r>
          <a:r>
            <a:rPr lang="ja-JP" altLang="en-US" sz="900" b="0">
              <a:solidFill>
                <a:sysClr val="windowText" lastClr="000000"/>
              </a:solidFill>
              <a:effectLst/>
              <a:latin typeface="+mn-lt"/>
              <a:ea typeface="+mn-ea"/>
              <a:cs typeface="+mn-cs"/>
            </a:rPr>
            <a:t>」環境へログインすることはできません。</a:t>
          </a:r>
        </a:p>
        <a:p>
          <a:r>
            <a:rPr lang="ja-JP" altLang="en-US" sz="900" b="0">
              <a:solidFill>
                <a:sysClr val="windowText" lastClr="000000"/>
              </a:solidFill>
              <a:effectLst/>
              <a:latin typeface="+mn-lt"/>
              <a:ea typeface="+mn-ea"/>
              <a:cs typeface="+mn-cs"/>
            </a:rPr>
            <a:t>・ログダウンロードに必要なトークンは、ご契約中の「</a:t>
          </a:r>
          <a:r>
            <a:rPr lang="en-US" altLang="ja-JP" sz="900" b="0">
              <a:solidFill>
                <a:sysClr val="windowText" lastClr="000000"/>
              </a:solidFill>
              <a:effectLst/>
              <a:latin typeface="+mn-lt"/>
              <a:ea typeface="+mn-ea"/>
              <a:cs typeface="+mn-cs"/>
            </a:rPr>
            <a:t>i-FILTER@Cloud</a:t>
          </a:r>
          <a:r>
            <a:rPr lang="ja-JP" altLang="en-US" sz="900" b="0">
              <a:solidFill>
                <a:sysClr val="windowText" lastClr="000000"/>
              </a:solidFill>
              <a:effectLst/>
              <a:latin typeface="+mn-lt"/>
              <a:ea typeface="+mn-ea"/>
              <a:cs typeface="+mn-cs"/>
            </a:rPr>
            <a:t>」の統合管理画面が利用可能な期間中に必ず取得するようお願いいたします。なお、サポート情報サイトへのログインは</a:t>
          </a:r>
          <a:r>
            <a:rPr lang="en-US" altLang="ja-JP" sz="900" b="0">
              <a:solidFill>
                <a:sysClr val="windowText" lastClr="000000"/>
              </a:solidFill>
              <a:effectLst/>
              <a:latin typeface="+mn-lt"/>
              <a:ea typeface="+mn-ea"/>
              <a:cs typeface="+mn-cs"/>
            </a:rPr>
            <a:t>Z-FILTER</a:t>
          </a:r>
          <a:r>
            <a:rPr lang="ja-JP" altLang="en-US" sz="900" b="0">
              <a:solidFill>
                <a:sysClr val="windowText" lastClr="000000"/>
              </a:solidFill>
              <a:effectLst/>
              <a:latin typeface="+mn-lt"/>
              <a:ea typeface="+mn-ea"/>
              <a:cs typeface="+mn-cs"/>
            </a:rPr>
            <a:t>のシリアルを使用してください。</a:t>
          </a:r>
        </a:p>
        <a:p>
          <a:r>
            <a:rPr lang="ja-JP" altLang="en-US" sz="900" b="0">
              <a:solidFill>
                <a:sysClr val="windowText" lastClr="000000"/>
              </a:solidFill>
              <a:effectLst/>
              <a:latin typeface="+mn-lt"/>
              <a:ea typeface="+mn-ea"/>
              <a:cs typeface="+mn-cs"/>
            </a:rPr>
            <a:t>・トークンの発行に関しては、サポート情報サイトの「</a:t>
          </a:r>
          <a:r>
            <a:rPr lang="en-US" altLang="ja-JP" sz="900" b="0">
              <a:solidFill>
                <a:sysClr val="windowText" lastClr="000000"/>
              </a:solidFill>
              <a:effectLst/>
              <a:latin typeface="+mn-lt"/>
              <a:ea typeface="+mn-ea"/>
              <a:cs typeface="+mn-cs"/>
            </a:rPr>
            <a:t>DigitalArts@Cloud</a:t>
          </a:r>
          <a:r>
            <a:rPr lang="ja-JP" altLang="en-US" sz="900" b="0">
              <a:solidFill>
                <a:sysClr val="windowText" lastClr="000000"/>
              </a:solidFill>
              <a:effectLst/>
              <a:latin typeface="+mn-lt"/>
              <a:ea typeface="+mn-ea"/>
              <a:cs typeface="+mn-cs"/>
            </a:rPr>
            <a:t>」ダウンロードツールマニュアル を参照ください。</a:t>
          </a:r>
        </a:p>
      </xdr:txBody>
    </xdr:sp>
    <xdr:clientData/>
  </xdr:twoCellAnchor>
  <xdr:twoCellAnchor>
    <xdr:from>
      <xdr:col>117</xdr:col>
      <xdr:colOff>95250</xdr:colOff>
      <xdr:row>96</xdr:row>
      <xdr:rowOff>33760</xdr:rowOff>
    </xdr:from>
    <xdr:to>
      <xdr:col>117</xdr:col>
      <xdr:colOff>347250</xdr:colOff>
      <xdr:row>98</xdr:row>
      <xdr:rowOff>82581</xdr:rowOff>
    </xdr:to>
    <xdr:sp macro="" textlink="">
      <xdr:nvSpPr>
        <xdr:cNvPr id="17" name="フローチャート : 結合子 26">
          <a:extLst>
            <a:ext uri="{FF2B5EF4-FFF2-40B4-BE49-F238E27FC236}">
              <a16:creationId xmlns:a16="http://schemas.microsoft.com/office/drawing/2014/main" id="{53780D3A-D09A-49F1-994E-660865BF67C7}"/>
            </a:ext>
          </a:extLst>
        </xdr:cNvPr>
        <xdr:cNvSpPr/>
      </xdr:nvSpPr>
      <xdr:spPr>
        <a:xfrm>
          <a:off x="10598150" y="9463510"/>
          <a:ext cx="252000" cy="239321"/>
        </a:xfrm>
        <a:prstGeom prst="flowChartConnector">
          <a:avLst/>
        </a:prstGeom>
        <a:solidFill>
          <a:schemeClr val="accent3">
            <a:lumMod val="20000"/>
            <a:lumOff val="8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102</xdr:col>
      <xdr:colOff>57150</xdr:colOff>
      <xdr:row>93</xdr:row>
      <xdr:rowOff>68097</xdr:rowOff>
    </xdr:from>
    <xdr:to>
      <xdr:col>104</xdr:col>
      <xdr:colOff>63500</xdr:colOff>
      <xdr:row>95</xdr:row>
      <xdr:rowOff>59030</xdr:rowOff>
    </xdr:to>
    <xdr:sp macro="" textlink="">
      <xdr:nvSpPr>
        <xdr:cNvPr id="18" name="フローチャート : 結合子 26">
          <a:extLst>
            <a:ext uri="{FF2B5EF4-FFF2-40B4-BE49-F238E27FC236}">
              <a16:creationId xmlns:a16="http://schemas.microsoft.com/office/drawing/2014/main" id="{73C42F9C-E2E8-1954-8190-FCB626675FEF}"/>
            </a:ext>
          </a:extLst>
        </xdr:cNvPr>
        <xdr:cNvSpPr/>
      </xdr:nvSpPr>
      <xdr:spPr>
        <a:xfrm>
          <a:off x="9226550" y="9212097"/>
          <a:ext cx="184150" cy="181433"/>
        </a:xfrm>
        <a:prstGeom prst="flowChartConnector">
          <a:avLst/>
        </a:prstGeom>
        <a:solidFill>
          <a:schemeClr val="accent3">
            <a:lumMod val="20000"/>
            <a:lumOff val="8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baseline="0">
              <a:solidFill>
                <a:sysClr val="windowText" lastClr="000000"/>
              </a:solidFill>
              <a:latin typeface="+mn-ea"/>
              <a:ea typeface="+mn-ea"/>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6</xdr:row>
      <xdr:rowOff>0</xdr:rowOff>
    </xdr:from>
    <xdr:to>
      <xdr:col>88</xdr:col>
      <xdr:colOff>62468</xdr:colOff>
      <xdr:row>7</xdr:row>
      <xdr:rowOff>38757</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bwMode="auto">
        <a:xfrm>
          <a:off x="95250" y="571500"/>
          <a:ext cx="8349218" cy="134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9525</xdr:colOff>
      <xdr:row>18</xdr:row>
      <xdr:rowOff>0</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bwMode="auto">
        <a:xfrm>
          <a:off x="95250" y="762000"/>
          <a:ext cx="10201275" cy="1266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78</xdr:col>
      <xdr:colOff>0</xdr:colOff>
      <xdr:row>14</xdr:row>
      <xdr:rowOff>9525</xdr:rowOff>
    </xdr:from>
    <xdr:to>
      <xdr:col>109</xdr:col>
      <xdr:colOff>24493</xdr:colOff>
      <xdr:row>17</xdr:row>
      <xdr:rowOff>33107</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bwMode="auto">
        <a:xfrm>
          <a:off x="7429500" y="1343025"/>
          <a:ext cx="2977243" cy="309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56</xdr:col>
      <xdr:colOff>47627</xdr:colOff>
      <xdr:row>22</xdr:row>
      <xdr:rowOff>28575</xdr:rowOff>
    </xdr:from>
    <xdr:to>
      <xdr:col>59</xdr:col>
      <xdr:colOff>13877</xdr:colOff>
      <xdr:row>24</xdr:row>
      <xdr:rowOff>90075</xdr:rowOff>
    </xdr:to>
    <xdr:sp macro="" textlink="">
      <xdr:nvSpPr>
        <xdr:cNvPr id="16" name="フローチャート : 結合子 5">
          <a:extLst>
            <a:ext uri="{FF2B5EF4-FFF2-40B4-BE49-F238E27FC236}">
              <a16:creationId xmlns:a16="http://schemas.microsoft.com/office/drawing/2014/main" id="{00000000-0008-0000-0200-000010000000}"/>
            </a:ext>
          </a:extLst>
        </xdr:cNvPr>
        <xdr:cNvSpPr/>
      </xdr:nvSpPr>
      <xdr:spPr>
        <a:xfrm>
          <a:off x="5381627" y="21240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47626</xdr:colOff>
      <xdr:row>26</xdr:row>
      <xdr:rowOff>66673</xdr:rowOff>
    </xdr:from>
    <xdr:to>
      <xdr:col>59</xdr:col>
      <xdr:colOff>13876</xdr:colOff>
      <xdr:row>29</xdr:row>
      <xdr:rowOff>32923</xdr:rowOff>
    </xdr:to>
    <xdr:sp macro="" textlink="">
      <xdr:nvSpPr>
        <xdr:cNvPr id="17" name="フローチャート : 結合子 10">
          <a:extLst>
            <a:ext uri="{FF2B5EF4-FFF2-40B4-BE49-F238E27FC236}">
              <a16:creationId xmlns:a16="http://schemas.microsoft.com/office/drawing/2014/main" id="{00000000-0008-0000-0200-000011000000}"/>
            </a:ext>
          </a:extLst>
        </xdr:cNvPr>
        <xdr:cNvSpPr/>
      </xdr:nvSpPr>
      <xdr:spPr>
        <a:xfrm>
          <a:off x="5486401" y="254317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9526</xdr:colOff>
      <xdr:row>44</xdr:row>
      <xdr:rowOff>28573</xdr:rowOff>
    </xdr:from>
    <xdr:to>
      <xdr:col>59</xdr:col>
      <xdr:colOff>71026</xdr:colOff>
      <xdr:row>46</xdr:row>
      <xdr:rowOff>90073</xdr:rowOff>
    </xdr:to>
    <xdr:sp macro="" textlink="">
      <xdr:nvSpPr>
        <xdr:cNvPr id="18" name="フローチャート : 結合子 10">
          <a:extLst>
            <a:ext uri="{FF2B5EF4-FFF2-40B4-BE49-F238E27FC236}">
              <a16:creationId xmlns:a16="http://schemas.microsoft.com/office/drawing/2014/main" id="{00000000-0008-0000-0200-000012000000}"/>
            </a:ext>
          </a:extLst>
        </xdr:cNvPr>
        <xdr:cNvSpPr/>
      </xdr:nvSpPr>
      <xdr:spPr>
        <a:xfrm>
          <a:off x="5543551" y="421957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56</xdr:col>
      <xdr:colOff>57151</xdr:colOff>
      <xdr:row>40</xdr:row>
      <xdr:rowOff>9523</xdr:rowOff>
    </xdr:from>
    <xdr:to>
      <xdr:col>59</xdr:col>
      <xdr:colOff>23401</xdr:colOff>
      <xdr:row>42</xdr:row>
      <xdr:rowOff>71023</xdr:rowOff>
    </xdr:to>
    <xdr:sp macro="" textlink="">
      <xdr:nvSpPr>
        <xdr:cNvPr id="19" name="フローチャート : 結合子 10">
          <a:extLst>
            <a:ext uri="{FF2B5EF4-FFF2-40B4-BE49-F238E27FC236}">
              <a16:creationId xmlns:a16="http://schemas.microsoft.com/office/drawing/2014/main" id="{00000000-0008-0000-0200-000013000000}"/>
            </a:ext>
          </a:extLst>
        </xdr:cNvPr>
        <xdr:cNvSpPr/>
      </xdr:nvSpPr>
      <xdr:spPr>
        <a:xfrm>
          <a:off x="5391151" y="381952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38100</xdr:colOff>
      <xdr:row>58</xdr:row>
      <xdr:rowOff>38099</xdr:rowOff>
    </xdr:from>
    <xdr:to>
      <xdr:col>59</xdr:col>
      <xdr:colOff>4350</xdr:colOff>
      <xdr:row>61</xdr:row>
      <xdr:rowOff>4349</xdr:rowOff>
    </xdr:to>
    <xdr:sp macro="" textlink="">
      <xdr:nvSpPr>
        <xdr:cNvPr id="20" name="フローチャート : 結合子 10">
          <a:extLst>
            <a:ext uri="{FF2B5EF4-FFF2-40B4-BE49-F238E27FC236}">
              <a16:creationId xmlns:a16="http://schemas.microsoft.com/office/drawing/2014/main" id="{00000000-0008-0000-0200-000014000000}"/>
            </a:ext>
          </a:extLst>
        </xdr:cNvPr>
        <xdr:cNvSpPr/>
      </xdr:nvSpPr>
      <xdr:spPr>
        <a:xfrm>
          <a:off x="5372100" y="556259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113</xdr:col>
      <xdr:colOff>95249</xdr:colOff>
      <xdr:row>45</xdr:row>
      <xdr:rowOff>66675</xdr:rowOff>
    </xdr:from>
    <xdr:to>
      <xdr:col>116</xdr:col>
      <xdr:colOff>61499</xdr:colOff>
      <xdr:row>48</xdr:row>
      <xdr:rowOff>32925</xdr:rowOff>
    </xdr:to>
    <xdr:sp macro="" textlink="">
      <xdr:nvSpPr>
        <xdr:cNvPr id="22" name="フローチャート : 結合子 10">
          <a:extLst>
            <a:ext uri="{FF2B5EF4-FFF2-40B4-BE49-F238E27FC236}">
              <a16:creationId xmlns:a16="http://schemas.microsoft.com/office/drawing/2014/main" id="{00000000-0008-0000-0200-000016000000}"/>
            </a:ext>
          </a:extLst>
        </xdr:cNvPr>
        <xdr:cNvSpPr/>
      </xdr:nvSpPr>
      <xdr:spPr>
        <a:xfrm>
          <a:off x="10963274" y="43529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9525</xdr:colOff>
      <xdr:row>16</xdr:row>
      <xdr:rowOff>57150</xdr:rowOff>
    </xdr:from>
    <xdr:to>
      <xdr:col>115</xdr:col>
      <xdr:colOff>71025</xdr:colOff>
      <xdr:row>19</xdr:row>
      <xdr:rowOff>23400</xdr:rowOff>
    </xdr:to>
    <xdr:sp macro="" textlink="">
      <xdr:nvSpPr>
        <xdr:cNvPr id="23" name="フローチャート : 結合子 10">
          <a:extLst>
            <a:ext uri="{FF2B5EF4-FFF2-40B4-BE49-F238E27FC236}">
              <a16:creationId xmlns:a16="http://schemas.microsoft.com/office/drawing/2014/main" id="{00000000-0008-0000-0200-000017000000}"/>
            </a:ext>
          </a:extLst>
        </xdr:cNvPr>
        <xdr:cNvSpPr/>
      </xdr:nvSpPr>
      <xdr:spPr>
        <a:xfrm>
          <a:off x="10772775" y="15811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117</xdr:col>
      <xdr:colOff>175532</xdr:colOff>
      <xdr:row>36</xdr:row>
      <xdr:rowOff>66676</xdr:rowOff>
    </xdr:from>
    <xdr:to>
      <xdr:col>160</xdr:col>
      <xdr:colOff>55907</xdr:colOff>
      <xdr:row>46</xdr:row>
      <xdr:rowOff>28576</xdr:rowOff>
    </xdr:to>
    <xdr:sp macro="" textlink="">
      <xdr:nvSpPr>
        <xdr:cNvPr id="24" name="正方形/長方形 23">
          <a:extLst>
            <a:ext uri="{FF2B5EF4-FFF2-40B4-BE49-F238E27FC236}">
              <a16:creationId xmlns:a16="http://schemas.microsoft.com/office/drawing/2014/main" id="{00000000-0008-0000-0200-000018000000}"/>
            </a:ext>
          </a:extLst>
        </xdr:cNvPr>
        <xdr:cNvSpPr/>
      </xdr:nvSpPr>
      <xdr:spPr>
        <a:xfrm>
          <a:off x="11424557" y="3495676"/>
          <a:ext cx="4500000" cy="91440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endParaRPr lang="en-US" altLang="ja-JP" sz="900" b="1">
            <a:solidFill>
              <a:srgbClr val="FF0000"/>
            </a:solidFill>
            <a:effectLst/>
          </a:endParaRPr>
        </a:p>
      </xdr:txBody>
    </xdr:sp>
    <xdr:clientData/>
  </xdr:twoCellAnchor>
  <xdr:twoCellAnchor>
    <xdr:from>
      <xdr:col>117</xdr:col>
      <xdr:colOff>114300</xdr:colOff>
      <xdr:row>35</xdr:row>
      <xdr:rowOff>0</xdr:rowOff>
    </xdr:from>
    <xdr:to>
      <xdr:col>117</xdr:col>
      <xdr:colOff>366300</xdr:colOff>
      <xdr:row>37</xdr:row>
      <xdr:rowOff>61500</xdr:rowOff>
    </xdr:to>
    <xdr:sp macro="" textlink="">
      <xdr:nvSpPr>
        <xdr:cNvPr id="25" name="フローチャート : 結合子 26">
          <a:extLst>
            <a:ext uri="{FF2B5EF4-FFF2-40B4-BE49-F238E27FC236}">
              <a16:creationId xmlns:a16="http://schemas.microsoft.com/office/drawing/2014/main" id="{00000000-0008-0000-0200-000019000000}"/>
            </a:ext>
          </a:extLst>
        </xdr:cNvPr>
        <xdr:cNvSpPr/>
      </xdr:nvSpPr>
      <xdr:spPr>
        <a:xfrm>
          <a:off x="11363325" y="3333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117</xdr:col>
      <xdr:colOff>175532</xdr:colOff>
      <xdr:row>48</xdr:row>
      <xdr:rowOff>43544</xdr:rowOff>
    </xdr:from>
    <xdr:to>
      <xdr:col>160</xdr:col>
      <xdr:colOff>55907</xdr:colOff>
      <xdr:row>51</xdr:row>
      <xdr:rowOff>19050</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11424557" y="4615544"/>
          <a:ext cx="4500000" cy="2612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DigitalArts@Cloud</a:t>
          </a:r>
          <a:r>
            <a:rPr lang="ja-JP" altLang="en-US" sz="900">
              <a:solidFill>
                <a:sysClr val="windowText" lastClr="000000"/>
              </a:solidFill>
              <a:effectLst/>
              <a:latin typeface="+mn-lt"/>
              <a:ea typeface="+mn-ea"/>
              <a:cs typeface="+mn-cs"/>
            </a:rPr>
            <a:t> の既存のご契約（試用版は対象外）の有無をご選択ください。</a:t>
          </a:r>
          <a:endParaRPr lang="ja-JP" altLang="ja-JP" sz="900">
            <a:solidFill>
              <a:sysClr val="windowText" lastClr="000000"/>
            </a:solidFill>
            <a:effectLst/>
          </a:endParaRPr>
        </a:p>
      </xdr:txBody>
    </xdr:sp>
    <xdr:clientData/>
  </xdr:twoCellAnchor>
  <xdr:twoCellAnchor>
    <xdr:from>
      <xdr:col>117</xdr:col>
      <xdr:colOff>76200</xdr:colOff>
      <xdr:row>46</xdr:row>
      <xdr:rowOff>85725</xdr:rowOff>
    </xdr:from>
    <xdr:to>
      <xdr:col>117</xdr:col>
      <xdr:colOff>328200</xdr:colOff>
      <xdr:row>49</xdr:row>
      <xdr:rowOff>51975</xdr:rowOff>
    </xdr:to>
    <xdr:sp macro="" textlink="">
      <xdr:nvSpPr>
        <xdr:cNvPr id="27" name="フローチャート : 結合子 26">
          <a:extLst>
            <a:ext uri="{FF2B5EF4-FFF2-40B4-BE49-F238E27FC236}">
              <a16:creationId xmlns:a16="http://schemas.microsoft.com/office/drawing/2014/main" id="{00000000-0008-0000-0200-00001B000000}"/>
            </a:ext>
          </a:extLst>
        </xdr:cNvPr>
        <xdr:cNvSpPr/>
      </xdr:nvSpPr>
      <xdr:spPr>
        <a:xfrm>
          <a:off x="11325225" y="44672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117</xdr:col>
      <xdr:colOff>175532</xdr:colOff>
      <xdr:row>76</xdr:row>
      <xdr:rowOff>85726</xdr:rowOff>
    </xdr:from>
    <xdr:to>
      <xdr:col>160</xdr:col>
      <xdr:colOff>55907</xdr:colOff>
      <xdr:row>80</xdr:row>
      <xdr:rowOff>52918</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0187365" y="7451726"/>
          <a:ext cx="3997292" cy="665692"/>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i-FILTER@Cloud</a:t>
          </a:r>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m-FILTER@Cloud</a:t>
          </a:r>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FinalCode@Cloud</a:t>
          </a:r>
          <a:r>
            <a:rPr lang="ja-JP" altLang="en-US" sz="900">
              <a:solidFill>
                <a:sysClr val="windowText" lastClr="000000"/>
              </a:solidFill>
              <a:effectLst/>
              <a:latin typeface="+mn-lt"/>
              <a:ea typeface="+mn-ea"/>
              <a:cs typeface="+mn-cs"/>
            </a:rPr>
            <a:t>）</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「製品区分」、「申請区分」の順でご選択の上、引き続き、必要な申請内容（</a:t>
          </a:r>
          <a:r>
            <a:rPr lang="ja-JP" altLang="en-US" sz="900" b="1">
              <a:solidFill>
                <a:srgbClr val="FF0000"/>
              </a:solidFill>
              <a:effectLst/>
              <a:latin typeface="+mn-lt"/>
              <a:ea typeface="+mn-ea"/>
              <a:cs typeface="+mn-cs"/>
            </a:rPr>
            <a:t>赤くなるセルの箇所</a:t>
          </a:r>
          <a:r>
            <a:rPr lang="ja-JP" altLang="en-US" sz="900">
              <a:solidFill>
                <a:sysClr val="windowText" lastClr="000000"/>
              </a:solidFill>
              <a:effectLst/>
              <a:latin typeface="+mn-lt"/>
              <a:ea typeface="+mn-ea"/>
              <a:cs typeface="+mn-cs"/>
            </a:rPr>
            <a:t>）を入力してください。</a:t>
          </a:r>
          <a:endParaRPr lang="en-US" altLang="ja-JP" sz="900">
            <a:solidFill>
              <a:sysClr val="windowText" lastClr="000000"/>
            </a:solidFill>
            <a:effectLst/>
            <a:latin typeface="+mn-lt"/>
            <a:ea typeface="+mn-ea"/>
            <a:cs typeface="+mn-cs"/>
          </a:endParaRPr>
        </a:p>
      </xdr:txBody>
    </xdr:sp>
    <xdr:clientData/>
  </xdr:twoCellAnchor>
  <xdr:twoCellAnchor>
    <xdr:from>
      <xdr:col>117</xdr:col>
      <xdr:colOff>114299</xdr:colOff>
      <xdr:row>75</xdr:row>
      <xdr:rowOff>38100</xdr:rowOff>
    </xdr:from>
    <xdr:to>
      <xdr:col>117</xdr:col>
      <xdr:colOff>523875</xdr:colOff>
      <xdr:row>76</xdr:row>
      <xdr:rowOff>186036</xdr:rowOff>
    </xdr:to>
    <xdr:sp macro="" textlink="">
      <xdr:nvSpPr>
        <xdr:cNvPr id="29" name="フローチャート : 結合子 10">
          <a:extLst>
            <a:ext uri="{FF2B5EF4-FFF2-40B4-BE49-F238E27FC236}">
              <a16:creationId xmlns:a16="http://schemas.microsoft.com/office/drawing/2014/main" id="{00000000-0008-0000-0200-00001D000000}"/>
            </a:ext>
          </a:extLst>
        </xdr:cNvPr>
        <xdr:cNvSpPr/>
      </xdr:nvSpPr>
      <xdr:spPr>
        <a:xfrm>
          <a:off x="10661252" y="7236420"/>
          <a:ext cx="409576" cy="242194"/>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9-1</a:t>
          </a:r>
        </a:p>
      </xdr:txBody>
    </xdr:sp>
    <xdr:clientData/>
  </xdr:twoCellAnchor>
  <xdr:twoCellAnchor>
    <xdr:from>
      <xdr:col>117</xdr:col>
      <xdr:colOff>185057</xdr:colOff>
      <xdr:row>81</xdr:row>
      <xdr:rowOff>30691</xdr:rowOff>
    </xdr:from>
    <xdr:to>
      <xdr:col>179</xdr:col>
      <xdr:colOff>19050</xdr:colOff>
      <xdr:row>97</xdr:row>
      <xdr:rowOff>84666</xdr:rowOff>
    </xdr:to>
    <xdr:sp macro="" textlink="">
      <xdr:nvSpPr>
        <xdr:cNvPr id="32" name="正方形/長方形 31">
          <a:extLst>
            <a:ext uri="{FF2B5EF4-FFF2-40B4-BE49-F238E27FC236}">
              <a16:creationId xmlns:a16="http://schemas.microsoft.com/office/drawing/2014/main" id="{00000000-0008-0000-0200-000020000000}"/>
            </a:ext>
          </a:extLst>
        </xdr:cNvPr>
        <xdr:cNvSpPr/>
      </xdr:nvSpPr>
      <xdr:spPr>
        <a:xfrm>
          <a:off x="10196890" y="8306858"/>
          <a:ext cx="5559577" cy="1768475"/>
        </a:xfrm>
        <a:prstGeom prst="rect">
          <a:avLst/>
        </a:prstGeom>
        <a:solidFill>
          <a:schemeClr val="accent4">
            <a:lumMod val="20000"/>
            <a:lumOff val="80000"/>
          </a:schemeClr>
        </a:solidFill>
        <a:ln w="444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ja-JP" sz="900">
              <a:solidFill>
                <a:schemeClr val="tx1"/>
              </a:solidFill>
              <a:effectLst/>
              <a:latin typeface="+mn-lt"/>
              <a:ea typeface="+mn-ea"/>
              <a:cs typeface="+mn-cs"/>
            </a:rPr>
            <a:t>本申請書のご提出が、</a:t>
          </a:r>
          <a:r>
            <a:rPr lang="en-US" altLang="ja-JP" sz="900">
              <a:solidFill>
                <a:schemeClr val="tx1"/>
              </a:solidFill>
              <a:effectLst/>
              <a:latin typeface="+mn-lt"/>
              <a:ea typeface="+mn-ea"/>
              <a:cs typeface="+mn-cs"/>
            </a:rPr>
            <a:t>D</a:t>
          </a:r>
          <a:r>
            <a:rPr lang="ja-JP" altLang="ja-JP" sz="900">
              <a:solidFill>
                <a:schemeClr val="tx1"/>
              </a:solidFill>
              <a:effectLst/>
              <a:latin typeface="+mn-lt"/>
              <a:ea typeface="+mn-ea"/>
              <a:cs typeface="+mn-cs"/>
            </a:rPr>
            <a:t>アラート対象製品（</a:t>
          </a:r>
          <a:r>
            <a:rPr lang="en-US" altLang="ja-JP" sz="900">
              <a:solidFill>
                <a:schemeClr val="tx1"/>
              </a:solidFill>
              <a:effectLst/>
              <a:latin typeface="+mn-lt"/>
              <a:ea typeface="+mn-ea"/>
              <a:cs typeface="+mn-cs"/>
            </a:rPr>
            <a:t>i-FILTER@Cloud</a:t>
          </a:r>
          <a:r>
            <a:rPr lang="ja-JP" altLang="ja-JP" sz="900">
              <a:solidFill>
                <a:schemeClr val="tx1"/>
              </a:solidFill>
              <a:effectLst/>
              <a:latin typeface="+mn-lt"/>
              <a:ea typeface="+mn-ea"/>
              <a:cs typeface="+mn-cs"/>
            </a:rPr>
            <a:t> または </a:t>
          </a:r>
          <a:r>
            <a:rPr lang="en-US" altLang="ja-JP" sz="900">
              <a:solidFill>
                <a:schemeClr val="tx1"/>
              </a:solidFill>
              <a:effectLst/>
              <a:latin typeface="+mn-lt"/>
              <a:ea typeface="+mn-ea"/>
              <a:cs typeface="+mn-cs"/>
            </a:rPr>
            <a:t>m-FILTER@Cloud</a:t>
          </a:r>
          <a:r>
            <a:rPr lang="ja-JP" altLang="ja-JP" sz="900">
              <a:solidFill>
                <a:schemeClr val="tx1"/>
              </a:solidFill>
              <a:effectLst/>
              <a:latin typeface="+mn-lt"/>
              <a:ea typeface="+mn-ea"/>
              <a:cs typeface="+mn-cs"/>
            </a:rPr>
            <a:t>）に</a:t>
          </a:r>
          <a:endParaRPr lang="ja-JP" altLang="ja-JP" sz="900">
            <a:solidFill>
              <a:schemeClr val="tx1"/>
            </a:solidFill>
            <a:effectLst/>
          </a:endParaRPr>
        </a:p>
        <a:p>
          <a:r>
            <a:rPr lang="ja-JP" altLang="ja-JP" sz="900">
              <a:solidFill>
                <a:schemeClr val="tx1"/>
              </a:solidFill>
              <a:effectLst/>
              <a:latin typeface="+mn-lt"/>
              <a:ea typeface="+mn-ea"/>
              <a:cs typeface="+mn-cs"/>
            </a:rPr>
            <a:t>関する申請の場合は、</a:t>
          </a:r>
          <a:r>
            <a:rPr lang="en-US" altLang="ja-JP" sz="900">
              <a:solidFill>
                <a:schemeClr val="tx1"/>
              </a:solidFill>
              <a:effectLst/>
              <a:latin typeface="+mn-lt"/>
              <a:ea typeface="+mn-ea"/>
              <a:cs typeface="+mn-cs"/>
            </a:rPr>
            <a:t>D</a:t>
          </a:r>
          <a:r>
            <a:rPr lang="ja-JP" altLang="ja-JP" sz="900">
              <a:solidFill>
                <a:schemeClr val="tx1"/>
              </a:solidFill>
              <a:effectLst/>
              <a:latin typeface="+mn-lt"/>
              <a:ea typeface="+mn-ea"/>
              <a:cs typeface="+mn-cs"/>
            </a:rPr>
            <a:t>アラートの通知先申請についてご確認ください。</a:t>
          </a:r>
          <a:endParaRPr lang="en-US" altLang="ja-JP" sz="900">
            <a:solidFill>
              <a:schemeClr val="tx1"/>
            </a:solidFill>
            <a:effectLst/>
            <a:latin typeface="+mn-lt"/>
            <a:ea typeface="+mn-ea"/>
            <a:cs typeface="+mn-cs"/>
          </a:endParaRPr>
        </a:p>
        <a:p>
          <a:endParaRPr lang="ja-JP" altLang="ja-JP" sz="900">
            <a:solidFill>
              <a:schemeClr val="tx1"/>
            </a:solidFill>
            <a:effectLst/>
          </a:endParaRPr>
        </a:p>
        <a:p>
          <a:r>
            <a:rPr lang="en-US" altLang="ja-JP" sz="900" b="1">
              <a:solidFill>
                <a:schemeClr val="tx1"/>
              </a:solidFill>
              <a:effectLst/>
              <a:latin typeface="+mn-lt"/>
              <a:ea typeface="+mn-ea"/>
              <a:cs typeface="+mn-cs"/>
            </a:rPr>
            <a:t>【D</a:t>
          </a:r>
          <a:r>
            <a:rPr lang="ja-JP" altLang="ja-JP" sz="900" b="1">
              <a:solidFill>
                <a:schemeClr val="tx1"/>
              </a:solidFill>
              <a:effectLst/>
              <a:latin typeface="+mn-lt"/>
              <a:ea typeface="+mn-ea"/>
              <a:cs typeface="+mn-cs"/>
            </a:rPr>
            <a:t>アラート通知を希望する場合</a:t>
          </a:r>
          <a:r>
            <a:rPr lang="en-US" altLang="ja-JP" sz="900" b="1">
              <a:solidFill>
                <a:schemeClr val="tx1"/>
              </a:solidFill>
              <a:effectLst/>
              <a:latin typeface="+mn-lt"/>
              <a:ea typeface="+mn-ea"/>
              <a:cs typeface="+mn-cs"/>
            </a:rPr>
            <a:t>】</a:t>
          </a:r>
          <a:endParaRPr lang="ja-JP" altLang="ja-JP" sz="900">
            <a:solidFill>
              <a:schemeClr val="tx1"/>
            </a:solidFill>
            <a:effectLst/>
          </a:endParaRPr>
        </a:p>
        <a:p>
          <a:r>
            <a:rPr lang="ja-JP" altLang="ja-JP" sz="900" b="0">
              <a:solidFill>
                <a:srgbClr val="FF0000"/>
              </a:solidFill>
              <a:effectLst/>
              <a:latin typeface="+mn-lt"/>
              <a:ea typeface="+mn-ea"/>
              <a:cs typeface="+mn-cs"/>
            </a:rPr>
            <a:t>・</a:t>
          </a:r>
          <a:r>
            <a:rPr lang="ja-JP" altLang="ja-JP" sz="900" b="1">
              <a:solidFill>
                <a:srgbClr val="FF0000"/>
              </a:solidFill>
              <a:effectLst/>
              <a:latin typeface="+mn-lt"/>
              <a:ea typeface="+mn-ea"/>
              <a:cs typeface="+mn-cs"/>
            </a:rPr>
            <a:t>「はい</a:t>
          </a:r>
          <a:r>
            <a:rPr lang="en-US" altLang="ja-JP" sz="900" b="1">
              <a:solidFill>
                <a:srgbClr val="FF0000"/>
              </a:solidFill>
              <a:effectLst/>
              <a:latin typeface="+mn-lt"/>
              <a:ea typeface="+mn-ea"/>
              <a:cs typeface="+mn-cs"/>
            </a:rPr>
            <a:t>/</a:t>
          </a:r>
          <a:r>
            <a:rPr lang="ja-JP" altLang="ja-JP" sz="900" b="1">
              <a:solidFill>
                <a:srgbClr val="FF0000"/>
              </a:solidFill>
              <a:effectLst/>
              <a:latin typeface="+mn-lt"/>
              <a:ea typeface="+mn-ea"/>
              <a:cs typeface="+mn-cs"/>
            </a:rPr>
            <a:t>お客様アドレス」</a:t>
          </a:r>
          <a:r>
            <a:rPr lang="ja-JP" altLang="ja-JP" sz="900" b="0">
              <a:solidFill>
                <a:schemeClr val="tx1"/>
              </a:solidFill>
              <a:effectLst/>
              <a:latin typeface="+mn-lt"/>
              <a:ea typeface="+mn-ea"/>
              <a:cs typeface="+mn-cs"/>
            </a:rPr>
            <a:t>を選択した場合</a:t>
          </a:r>
          <a:endParaRPr lang="ja-JP" altLang="ja-JP" sz="900">
            <a:solidFill>
              <a:schemeClr val="tx1"/>
            </a:solidFill>
            <a:effectLst/>
          </a:endParaRPr>
        </a:p>
        <a:p>
          <a:r>
            <a:rPr lang="ja-JP" altLang="ja-JP" sz="900" b="0">
              <a:solidFill>
                <a:schemeClr val="tx1"/>
              </a:solidFill>
              <a:effectLst/>
              <a:latin typeface="+mn-lt"/>
              <a:ea typeface="+mn-ea"/>
              <a:cs typeface="+mn-cs"/>
            </a:rPr>
            <a:t>入力されたお客様の担当者アドレス宛に送付されます。</a:t>
          </a:r>
          <a:endParaRPr lang="ja-JP" altLang="ja-JP" sz="900">
            <a:solidFill>
              <a:schemeClr val="tx1"/>
            </a:solidFill>
            <a:effectLst/>
          </a:endParaRPr>
        </a:p>
        <a:p>
          <a:r>
            <a:rPr lang="ja-JP" altLang="ja-JP" sz="900" b="0">
              <a:solidFill>
                <a:srgbClr val="FF0000"/>
              </a:solidFill>
              <a:effectLst/>
              <a:latin typeface="+mn-lt"/>
              <a:ea typeface="+mn-ea"/>
              <a:cs typeface="+mn-cs"/>
            </a:rPr>
            <a:t>・</a:t>
          </a:r>
          <a:r>
            <a:rPr lang="ja-JP" altLang="ja-JP" sz="900" b="1">
              <a:solidFill>
                <a:srgbClr val="FF0000"/>
              </a:solidFill>
              <a:effectLst/>
              <a:latin typeface="+mn-lt"/>
              <a:ea typeface="+mn-ea"/>
              <a:cs typeface="+mn-cs"/>
            </a:rPr>
            <a:t>「はい</a:t>
          </a:r>
          <a:r>
            <a:rPr lang="en-US" altLang="ja-JP" sz="900" b="1">
              <a:solidFill>
                <a:srgbClr val="FF0000"/>
              </a:solidFill>
              <a:effectLst/>
              <a:latin typeface="+mn-lt"/>
              <a:ea typeface="+mn-ea"/>
              <a:cs typeface="+mn-cs"/>
            </a:rPr>
            <a:t>/</a:t>
          </a:r>
          <a:r>
            <a:rPr lang="ja-JP" altLang="ja-JP" sz="900" b="1">
              <a:solidFill>
                <a:srgbClr val="FF0000"/>
              </a:solidFill>
              <a:effectLst/>
              <a:latin typeface="+mn-lt"/>
              <a:ea typeface="+mn-ea"/>
              <a:cs typeface="+mn-cs"/>
            </a:rPr>
            <a:t>通知先記入」</a:t>
          </a:r>
          <a:r>
            <a:rPr lang="ja-JP" altLang="ja-JP" sz="900" b="0">
              <a:solidFill>
                <a:schemeClr val="tx1"/>
              </a:solidFill>
              <a:effectLst/>
              <a:latin typeface="+mn-lt"/>
              <a:ea typeface="+mn-ea"/>
              <a:cs typeface="+mn-cs"/>
            </a:rPr>
            <a:t>を選択した場合</a:t>
          </a:r>
          <a:endParaRPr lang="ja-JP" altLang="ja-JP" sz="900">
            <a:solidFill>
              <a:schemeClr val="tx1"/>
            </a:solidFill>
            <a:effectLst/>
          </a:endParaRPr>
        </a:p>
        <a:p>
          <a:r>
            <a:rPr lang="ja-JP" altLang="ja-JP" sz="900" b="0">
              <a:solidFill>
                <a:schemeClr val="tx1"/>
              </a:solidFill>
              <a:effectLst/>
              <a:latin typeface="+mn-lt"/>
              <a:ea typeface="+mn-ea"/>
              <a:cs typeface="+mn-cs"/>
            </a:rPr>
            <a:t>「</a:t>
          </a:r>
          <a:r>
            <a:rPr lang="en-US" altLang="ja-JP" sz="900" b="0">
              <a:solidFill>
                <a:schemeClr val="tx1"/>
              </a:solidFill>
              <a:effectLst/>
              <a:latin typeface="+mn-lt"/>
              <a:ea typeface="+mn-ea"/>
              <a:cs typeface="+mn-cs"/>
            </a:rPr>
            <a:t>D</a:t>
          </a:r>
          <a:r>
            <a:rPr lang="ja-JP" altLang="ja-JP" sz="900" b="0">
              <a:solidFill>
                <a:schemeClr val="tx1"/>
              </a:solidFill>
              <a:effectLst/>
              <a:latin typeface="+mn-lt"/>
              <a:ea typeface="+mn-ea"/>
              <a:cs typeface="+mn-cs"/>
            </a:rPr>
            <a:t>アラート通知先」に登録されたアドレス宛に通知されます。</a:t>
          </a:r>
          <a:endParaRPr lang="en-US" altLang="ja-JP" sz="900" b="0">
            <a:solidFill>
              <a:schemeClr val="tx1"/>
            </a:solidFill>
            <a:effectLst/>
            <a:latin typeface="+mn-lt"/>
            <a:ea typeface="+mn-ea"/>
            <a:cs typeface="+mn-cs"/>
          </a:endParaRPr>
        </a:p>
        <a:p>
          <a:endParaRPr lang="ja-JP" altLang="ja-JP" sz="900">
            <a:solidFill>
              <a:schemeClr val="tx1"/>
            </a:solidFill>
            <a:effectLst/>
          </a:endParaRPr>
        </a:p>
        <a:p>
          <a:r>
            <a:rPr lang="en-US" altLang="ja-JP" sz="900" b="1">
              <a:solidFill>
                <a:schemeClr val="tx1"/>
              </a:solidFill>
              <a:effectLst/>
              <a:latin typeface="+mn-lt"/>
              <a:ea typeface="+mn-ea"/>
              <a:cs typeface="+mn-cs"/>
            </a:rPr>
            <a:t>【D</a:t>
          </a:r>
          <a:r>
            <a:rPr lang="ja-JP" altLang="ja-JP" sz="900" b="1">
              <a:solidFill>
                <a:schemeClr val="tx1"/>
              </a:solidFill>
              <a:effectLst/>
              <a:latin typeface="+mn-lt"/>
              <a:ea typeface="+mn-ea"/>
              <a:cs typeface="+mn-cs"/>
            </a:rPr>
            <a:t>アラート通知が不要な場合</a:t>
          </a:r>
          <a:r>
            <a:rPr lang="en-US" altLang="ja-JP" sz="900" b="1">
              <a:solidFill>
                <a:schemeClr val="tx1"/>
              </a:solidFill>
              <a:effectLst/>
              <a:latin typeface="+mn-lt"/>
              <a:ea typeface="+mn-ea"/>
              <a:cs typeface="+mn-cs"/>
            </a:rPr>
            <a:t>】</a:t>
          </a:r>
          <a:endParaRPr lang="ja-JP" altLang="ja-JP" sz="900">
            <a:solidFill>
              <a:schemeClr val="tx1"/>
            </a:solidFill>
            <a:effectLst/>
          </a:endParaRPr>
        </a:p>
        <a:p>
          <a:r>
            <a:rPr lang="ja-JP" altLang="ja-JP" sz="900" b="0">
              <a:solidFill>
                <a:schemeClr val="tx1"/>
              </a:solidFill>
              <a:effectLst/>
              <a:latin typeface="+mn-lt"/>
              <a:ea typeface="+mn-ea"/>
              <a:cs typeface="+mn-cs"/>
            </a:rPr>
            <a:t>・「いいえ」を選択してください。</a:t>
          </a:r>
          <a:endParaRPr lang="ja-JP" altLang="ja-JP" sz="900">
            <a:solidFill>
              <a:schemeClr val="tx1"/>
            </a:solidFill>
            <a:effectLst/>
          </a:endParaRPr>
        </a:p>
      </xdr:txBody>
    </xdr:sp>
    <xdr:clientData/>
  </xdr:twoCellAnchor>
  <xdr:twoCellAnchor>
    <xdr:from>
      <xdr:col>117</xdr:col>
      <xdr:colOff>175532</xdr:colOff>
      <xdr:row>2</xdr:row>
      <xdr:rowOff>38102</xdr:rowOff>
    </xdr:from>
    <xdr:to>
      <xdr:col>160</xdr:col>
      <xdr:colOff>55907</xdr:colOff>
      <xdr:row>5</xdr:row>
      <xdr:rowOff>66675</xdr:rowOff>
    </xdr:to>
    <xdr:sp macro="" textlink="">
      <xdr:nvSpPr>
        <xdr:cNvPr id="36" name="正方形/長方形 35">
          <a:extLst>
            <a:ext uri="{FF2B5EF4-FFF2-40B4-BE49-F238E27FC236}">
              <a16:creationId xmlns:a16="http://schemas.microsoft.com/office/drawing/2014/main" id="{00000000-0008-0000-0200-000024000000}"/>
            </a:ext>
          </a:extLst>
        </xdr:cNvPr>
        <xdr:cNvSpPr/>
      </xdr:nvSpPr>
      <xdr:spPr>
        <a:xfrm>
          <a:off x="11424557" y="228602"/>
          <a:ext cx="4500000" cy="314323"/>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となります。必ずご記入ください。</a:t>
          </a:r>
        </a:p>
      </xdr:txBody>
    </xdr:sp>
    <xdr:clientData/>
  </xdr:twoCellAnchor>
  <xdr:twoCellAnchor>
    <xdr:from>
      <xdr:col>117</xdr:col>
      <xdr:colOff>66675</xdr:colOff>
      <xdr:row>0</xdr:row>
      <xdr:rowOff>66675</xdr:rowOff>
    </xdr:from>
    <xdr:to>
      <xdr:col>117</xdr:col>
      <xdr:colOff>318675</xdr:colOff>
      <xdr:row>3</xdr:row>
      <xdr:rowOff>32925</xdr:rowOff>
    </xdr:to>
    <xdr:sp macro="" textlink="">
      <xdr:nvSpPr>
        <xdr:cNvPr id="37" name="フローチャート : 結合子 24">
          <a:extLst>
            <a:ext uri="{FF2B5EF4-FFF2-40B4-BE49-F238E27FC236}">
              <a16:creationId xmlns:a16="http://schemas.microsoft.com/office/drawing/2014/main" id="{00000000-0008-0000-0200-000025000000}"/>
            </a:ext>
          </a:extLst>
        </xdr:cNvPr>
        <xdr:cNvSpPr/>
      </xdr:nvSpPr>
      <xdr:spPr>
        <a:xfrm>
          <a:off x="11315700" y="66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117</xdr:col>
      <xdr:colOff>175532</xdr:colOff>
      <xdr:row>7</xdr:row>
      <xdr:rowOff>72119</xdr:rowOff>
    </xdr:from>
    <xdr:to>
      <xdr:col>160</xdr:col>
      <xdr:colOff>55907</xdr:colOff>
      <xdr:row>11</xdr:row>
      <xdr:rowOff>28575</xdr:rowOff>
    </xdr:to>
    <xdr:sp macro="" textlink="">
      <xdr:nvSpPr>
        <xdr:cNvPr id="38" name="正方形/長方形 37">
          <a:extLst>
            <a:ext uri="{FF2B5EF4-FFF2-40B4-BE49-F238E27FC236}">
              <a16:creationId xmlns:a16="http://schemas.microsoft.com/office/drawing/2014/main" id="{00000000-0008-0000-0200-000026000000}"/>
            </a:ext>
          </a:extLst>
        </xdr:cNvPr>
        <xdr:cNvSpPr/>
      </xdr:nvSpPr>
      <xdr:spPr>
        <a:xfrm>
          <a:off x="11424557" y="738869"/>
          <a:ext cx="4500000"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117</xdr:col>
      <xdr:colOff>95250</xdr:colOff>
      <xdr:row>6</xdr:row>
      <xdr:rowOff>38100</xdr:rowOff>
    </xdr:from>
    <xdr:to>
      <xdr:col>117</xdr:col>
      <xdr:colOff>347250</xdr:colOff>
      <xdr:row>9</xdr:row>
      <xdr:rowOff>4350</xdr:rowOff>
    </xdr:to>
    <xdr:sp macro="" textlink="">
      <xdr:nvSpPr>
        <xdr:cNvPr id="39" name="フローチャート : 結合子 26">
          <a:extLst>
            <a:ext uri="{FF2B5EF4-FFF2-40B4-BE49-F238E27FC236}">
              <a16:creationId xmlns:a16="http://schemas.microsoft.com/office/drawing/2014/main" id="{00000000-0008-0000-0200-000027000000}"/>
            </a:ext>
          </a:extLst>
        </xdr:cNvPr>
        <xdr:cNvSpPr/>
      </xdr:nvSpPr>
      <xdr:spPr>
        <a:xfrm>
          <a:off x="11344275" y="609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117</xdr:col>
      <xdr:colOff>175532</xdr:colOff>
      <xdr:row>13</xdr:row>
      <xdr:rowOff>34018</xdr:rowOff>
    </xdr:from>
    <xdr:to>
      <xdr:col>160</xdr:col>
      <xdr:colOff>55907</xdr:colOff>
      <xdr:row>17</xdr:row>
      <xdr:rowOff>9525</xdr:rowOff>
    </xdr:to>
    <xdr:sp macro="" textlink="">
      <xdr:nvSpPr>
        <xdr:cNvPr id="40" name="正方形/長方形 39">
          <a:extLst>
            <a:ext uri="{FF2B5EF4-FFF2-40B4-BE49-F238E27FC236}">
              <a16:creationId xmlns:a16="http://schemas.microsoft.com/office/drawing/2014/main" id="{00000000-0008-0000-0200-000028000000}"/>
            </a:ext>
          </a:extLst>
        </xdr:cNvPr>
        <xdr:cNvSpPr/>
      </xdr:nvSpPr>
      <xdr:spPr>
        <a:xfrm>
          <a:off x="11424557" y="1272268"/>
          <a:ext cx="4500000"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117</xdr:col>
      <xdr:colOff>85725</xdr:colOff>
      <xdr:row>11</xdr:row>
      <xdr:rowOff>76200</xdr:rowOff>
    </xdr:from>
    <xdr:to>
      <xdr:col>117</xdr:col>
      <xdr:colOff>337725</xdr:colOff>
      <xdr:row>14</xdr:row>
      <xdr:rowOff>42450</xdr:rowOff>
    </xdr:to>
    <xdr:sp macro="" textlink="">
      <xdr:nvSpPr>
        <xdr:cNvPr id="41" name="フローチャート : 結合子 26">
          <a:extLst>
            <a:ext uri="{FF2B5EF4-FFF2-40B4-BE49-F238E27FC236}">
              <a16:creationId xmlns:a16="http://schemas.microsoft.com/office/drawing/2014/main" id="{00000000-0008-0000-0200-000029000000}"/>
            </a:ext>
          </a:extLst>
        </xdr:cNvPr>
        <xdr:cNvSpPr/>
      </xdr:nvSpPr>
      <xdr:spPr>
        <a:xfrm>
          <a:off x="11334750" y="11239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117</xdr:col>
      <xdr:colOff>175532</xdr:colOff>
      <xdr:row>18</xdr:row>
      <xdr:rowOff>42333</xdr:rowOff>
    </xdr:from>
    <xdr:to>
      <xdr:col>160</xdr:col>
      <xdr:colOff>55907</xdr:colOff>
      <xdr:row>25</xdr:row>
      <xdr:rowOff>84667</xdr:rowOff>
    </xdr:to>
    <xdr:sp macro="" textlink="">
      <xdr:nvSpPr>
        <xdr:cNvPr id="42" name="正方形/長方形 41">
          <a:extLst>
            <a:ext uri="{FF2B5EF4-FFF2-40B4-BE49-F238E27FC236}">
              <a16:creationId xmlns:a16="http://schemas.microsoft.com/office/drawing/2014/main" id="{00000000-0008-0000-0200-00002A000000}"/>
            </a:ext>
          </a:extLst>
        </xdr:cNvPr>
        <xdr:cNvSpPr/>
      </xdr:nvSpPr>
      <xdr:spPr>
        <a:xfrm>
          <a:off x="11425615" y="1756833"/>
          <a:ext cx="4505292" cy="70908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入力された担当者アドレスへ更新案内</a:t>
          </a:r>
          <a:r>
            <a:rPr kumimoji="1" lang="ja-JP" altLang="en-US" sz="900">
              <a:solidFill>
                <a:sysClr val="windowText" lastClr="000000"/>
              </a:solidFill>
              <a:effectLst/>
              <a:latin typeface="+mn-lt"/>
              <a:ea typeface="+mn-ea"/>
              <a:cs typeface="+mn-cs"/>
            </a:rPr>
            <a:t>や障害通知、各種情報のご案内</a:t>
          </a:r>
          <a:r>
            <a:rPr kumimoji="1" lang="ja-JP" altLang="ja-JP" sz="900">
              <a:solidFill>
                <a:sysClr val="windowText" lastClr="000000"/>
              </a:solidFill>
              <a:effectLst/>
              <a:latin typeface="+mn-lt"/>
              <a:ea typeface="+mn-ea"/>
              <a:cs typeface="+mn-cs"/>
            </a:rPr>
            <a:t>が行われます。</a:t>
          </a:r>
          <a:endParaRPr kumimoji="1" lang="en-US" altLang="ja-JP" sz="900">
            <a:solidFill>
              <a:sysClr val="windowText" lastClr="000000"/>
            </a:solidFill>
            <a:effectLst/>
            <a:latin typeface="+mn-lt"/>
            <a:ea typeface="+mn-ea"/>
            <a:cs typeface="+mn-cs"/>
          </a:endParaRPr>
        </a:p>
        <a:p>
          <a:r>
            <a:rPr kumimoji="1" lang="ja-JP" altLang="en-US" sz="900">
              <a:solidFill>
                <a:sysClr val="windowText" lastClr="000000"/>
              </a:solidFill>
              <a:effectLst/>
              <a:latin typeface="+mn-lt"/>
              <a:ea typeface="+mn-ea"/>
              <a:cs typeface="+mn-cs"/>
            </a:rPr>
            <a:t>ご案内を</a:t>
          </a:r>
          <a:r>
            <a:rPr kumimoji="1" lang="ja-JP" altLang="ja-JP" sz="900">
              <a:solidFill>
                <a:sysClr val="windowText" lastClr="000000"/>
              </a:solidFill>
              <a:effectLst/>
              <a:latin typeface="+mn-lt"/>
              <a:ea typeface="+mn-ea"/>
              <a:cs typeface="+mn-cs"/>
            </a:rPr>
            <a:t>望まない場合</a:t>
          </a:r>
          <a:r>
            <a:rPr kumimoji="1" lang="ja-JP" altLang="en-US" sz="900">
              <a:solidFill>
                <a:sysClr val="windowText" lastClr="000000"/>
              </a:solidFill>
              <a:effectLst/>
              <a:latin typeface="+mn-lt"/>
              <a:ea typeface="+mn-ea"/>
              <a:cs typeface="+mn-cs"/>
            </a:rPr>
            <a:t>は</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endParaRPr kumimoji="1" lang="en-US" altLang="ja-JP" sz="900">
            <a:solidFill>
              <a:sysClr val="windowText" lastClr="000000"/>
            </a:solidFill>
            <a:effectLst/>
            <a:latin typeface="+mn-lt"/>
            <a:ea typeface="+mn-ea"/>
            <a:cs typeface="+mn-cs"/>
          </a:endParaRPr>
        </a:p>
        <a:p>
          <a:r>
            <a:rPr lang="en-US" altLang="ja-JP" sz="900">
              <a:solidFill>
                <a:sysClr val="windowText" lastClr="000000"/>
              </a:solidFill>
              <a:effectLst/>
            </a:rPr>
            <a:t>※</a:t>
          </a:r>
          <a:r>
            <a:rPr lang="ja-JP" altLang="en-US" sz="900">
              <a:solidFill>
                <a:sysClr val="windowText" lastClr="000000"/>
              </a:solidFill>
              <a:effectLst/>
            </a:rPr>
            <a:t>障害通知については環境提供後に「ユーザー情報 </a:t>
          </a:r>
          <a:r>
            <a:rPr lang="en-US" altLang="ja-JP" sz="900">
              <a:solidFill>
                <a:sysClr val="windowText" lastClr="000000"/>
              </a:solidFill>
              <a:effectLst/>
            </a:rPr>
            <a:t>&gt; </a:t>
          </a:r>
          <a:r>
            <a:rPr lang="ja-JP" altLang="en-US" sz="900">
              <a:solidFill>
                <a:sysClr val="windowText" lastClr="000000"/>
              </a:solidFill>
              <a:effectLst/>
            </a:rPr>
            <a:t>メールアドレス」を変更された場合は、変更後のアドレスに通知されます。</a:t>
          </a:r>
          <a:endParaRPr lang="ja-JP" altLang="ja-JP" sz="900">
            <a:solidFill>
              <a:sysClr val="windowText" lastClr="000000"/>
            </a:solidFill>
            <a:effectLst/>
          </a:endParaRPr>
        </a:p>
      </xdr:txBody>
    </xdr:sp>
    <xdr:clientData/>
  </xdr:twoCellAnchor>
  <xdr:twoCellAnchor>
    <xdr:from>
      <xdr:col>117</xdr:col>
      <xdr:colOff>74083</xdr:colOff>
      <xdr:row>16</xdr:row>
      <xdr:rowOff>87842</xdr:rowOff>
    </xdr:from>
    <xdr:to>
      <xdr:col>117</xdr:col>
      <xdr:colOff>326083</xdr:colOff>
      <xdr:row>19</xdr:row>
      <xdr:rowOff>54092</xdr:rowOff>
    </xdr:to>
    <xdr:sp macro="" textlink="">
      <xdr:nvSpPr>
        <xdr:cNvPr id="43" name="フローチャート : 結合子 26">
          <a:extLst>
            <a:ext uri="{FF2B5EF4-FFF2-40B4-BE49-F238E27FC236}">
              <a16:creationId xmlns:a16="http://schemas.microsoft.com/office/drawing/2014/main" id="{00000000-0008-0000-0200-00002B000000}"/>
            </a:ext>
          </a:extLst>
        </xdr:cNvPr>
        <xdr:cNvSpPr/>
      </xdr:nvSpPr>
      <xdr:spPr>
        <a:xfrm>
          <a:off x="11324166" y="1611842"/>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117</xdr:col>
      <xdr:colOff>175532</xdr:colOff>
      <xdr:row>26</xdr:row>
      <xdr:rowOff>87991</xdr:rowOff>
    </xdr:from>
    <xdr:to>
      <xdr:col>160</xdr:col>
      <xdr:colOff>55907</xdr:colOff>
      <xdr:row>35</xdr:row>
      <xdr:rowOff>25398</xdr:rowOff>
    </xdr:to>
    <xdr:sp macro="" textlink="">
      <xdr:nvSpPr>
        <xdr:cNvPr id="44" name="正方形/長方形 43">
          <a:extLst>
            <a:ext uri="{FF2B5EF4-FFF2-40B4-BE49-F238E27FC236}">
              <a16:creationId xmlns:a16="http://schemas.microsoft.com/office/drawing/2014/main" id="{00000000-0008-0000-0200-00002C000000}"/>
            </a:ext>
          </a:extLst>
        </xdr:cNvPr>
        <xdr:cNvSpPr/>
      </xdr:nvSpPr>
      <xdr:spPr>
        <a:xfrm>
          <a:off x="11425615" y="2564491"/>
          <a:ext cx="4505292"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117</xdr:col>
      <xdr:colOff>95250</xdr:colOff>
      <xdr:row>24</xdr:row>
      <xdr:rowOff>66675</xdr:rowOff>
    </xdr:from>
    <xdr:to>
      <xdr:col>117</xdr:col>
      <xdr:colOff>347250</xdr:colOff>
      <xdr:row>27</xdr:row>
      <xdr:rowOff>32925</xdr:rowOff>
    </xdr:to>
    <xdr:sp macro="" textlink="">
      <xdr:nvSpPr>
        <xdr:cNvPr id="45" name="フローチャート : 結合子 26">
          <a:extLst>
            <a:ext uri="{FF2B5EF4-FFF2-40B4-BE49-F238E27FC236}">
              <a16:creationId xmlns:a16="http://schemas.microsoft.com/office/drawing/2014/main" id="{00000000-0008-0000-0200-00002D000000}"/>
            </a:ext>
          </a:extLst>
        </xdr:cNvPr>
        <xdr:cNvSpPr/>
      </xdr:nvSpPr>
      <xdr:spPr>
        <a:xfrm>
          <a:off x="11344275" y="2352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138</xdr:col>
      <xdr:colOff>66675</xdr:colOff>
      <xdr:row>53</xdr:row>
      <xdr:rowOff>91857</xdr:rowOff>
    </xdr:from>
    <xdr:to>
      <xdr:col>160</xdr:col>
      <xdr:colOff>52457</xdr:colOff>
      <xdr:row>68</xdr:row>
      <xdr:rowOff>21166</xdr:rowOff>
    </xdr:to>
    <xdr:sp macro="" textlink="">
      <xdr:nvSpPr>
        <xdr:cNvPr id="48" name="正方形/長方形 47">
          <a:extLst>
            <a:ext uri="{FF2B5EF4-FFF2-40B4-BE49-F238E27FC236}">
              <a16:creationId xmlns:a16="http://schemas.microsoft.com/office/drawing/2014/main" id="{00000000-0008-0000-0200-000030000000}"/>
            </a:ext>
          </a:extLst>
        </xdr:cNvPr>
        <xdr:cNvSpPr/>
      </xdr:nvSpPr>
      <xdr:spPr>
        <a:xfrm>
          <a:off x="13846175" y="5140107"/>
          <a:ext cx="2081282" cy="150622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注意事項をご確認の上</a:t>
          </a:r>
          <a:r>
            <a:rPr lang="en-US" altLang="ja-JP" sz="900">
              <a:solidFill>
                <a:sysClr val="windowText" lastClr="000000"/>
              </a:solidFill>
              <a:effectLst/>
            </a:rPr>
            <a:t>.</a:t>
          </a:r>
          <a:r>
            <a:rPr lang="ja-JP" altLang="en-US" sz="900">
              <a:solidFill>
                <a:sysClr val="windowText" lastClr="000000"/>
              </a:solidFill>
              <a:effectLst/>
            </a:rPr>
            <a:t>既にご契約されている</a:t>
          </a:r>
          <a:r>
            <a:rPr lang="en-US" altLang="ja-JP" sz="900">
              <a:solidFill>
                <a:sysClr val="windowText" lastClr="000000"/>
              </a:solidFill>
              <a:effectLst/>
            </a:rPr>
            <a:t>DigitalArts@Cloud</a:t>
          </a:r>
          <a:r>
            <a:rPr lang="ja-JP" altLang="en-US" sz="900">
              <a:solidFill>
                <a:sysClr val="windowText" lastClr="000000"/>
              </a:solidFill>
              <a:effectLst/>
            </a:rPr>
            <a:t> 製品の</a:t>
          </a:r>
          <a:endParaRPr lang="en-US" altLang="ja-JP" sz="900">
            <a:solidFill>
              <a:sysClr val="windowText" lastClr="000000"/>
            </a:solidFill>
            <a:effectLst/>
          </a:endParaRPr>
        </a:p>
        <a:p>
          <a:r>
            <a:rPr lang="ja-JP" altLang="en-US" sz="900">
              <a:solidFill>
                <a:sysClr val="windowText" lastClr="000000"/>
              </a:solidFill>
              <a:effectLst/>
            </a:rPr>
            <a:t>シリアルをいずれか１つご入力ください。</a:t>
          </a:r>
          <a:endParaRPr lang="en-US" altLang="ja-JP" sz="900">
            <a:solidFill>
              <a:sysClr val="windowText" lastClr="000000"/>
            </a:solidFill>
            <a:effectLst/>
          </a:endParaRPr>
        </a:p>
        <a:p>
          <a:endParaRPr lang="en-US" altLang="ja-JP" sz="900">
            <a:solidFill>
              <a:sysClr val="windowText" lastClr="000000"/>
            </a:solidFill>
            <a:effectLst/>
          </a:endParaRPr>
        </a:p>
        <a:p>
          <a:r>
            <a:rPr lang="en-US" altLang="ja-JP" sz="900">
              <a:solidFill>
                <a:sysClr val="windowText" lastClr="000000"/>
              </a:solidFill>
              <a:effectLst/>
            </a:rPr>
            <a:t>i-FILTER@Cloud GIGA</a:t>
          </a:r>
          <a:r>
            <a:rPr lang="ja-JP" altLang="en-US" sz="900">
              <a:solidFill>
                <a:sysClr val="windowText" lastClr="000000"/>
              </a:solidFill>
              <a:effectLst/>
            </a:rPr>
            <a:t>スクール版を購入する際、</a:t>
          </a:r>
          <a:r>
            <a:rPr lang="en-US" altLang="ja-JP" sz="900">
              <a:solidFill>
                <a:sysClr val="windowText" lastClr="000000"/>
              </a:solidFill>
              <a:effectLst/>
            </a:rPr>
            <a:t>Desk GIGA</a:t>
          </a:r>
          <a:r>
            <a:rPr lang="ja-JP" altLang="en-US" sz="900">
              <a:solidFill>
                <a:sysClr val="windowText" lastClr="000000"/>
              </a:solidFill>
              <a:effectLst/>
            </a:rPr>
            <a:t>スクール版を既に保有している場合は、保有シリアルに</a:t>
          </a:r>
          <a:r>
            <a:rPr lang="en-US" altLang="ja-JP" sz="900">
              <a:solidFill>
                <a:sysClr val="windowText" lastClr="000000"/>
              </a:solidFill>
              <a:effectLst/>
            </a:rPr>
            <a:t>Desk GIGA</a:t>
          </a:r>
          <a:r>
            <a:rPr lang="ja-JP" altLang="en-US" sz="900">
              <a:solidFill>
                <a:sysClr val="windowText" lastClr="000000"/>
              </a:solidFill>
              <a:effectLst/>
            </a:rPr>
            <a:t>スクール版のシリアルを入力してください。</a:t>
          </a:r>
          <a:endParaRPr lang="ja-JP" altLang="ja-JP" sz="900">
            <a:solidFill>
              <a:sysClr val="windowText" lastClr="000000"/>
            </a:solidFill>
            <a:effectLst/>
          </a:endParaRPr>
        </a:p>
      </xdr:txBody>
    </xdr:sp>
    <xdr:clientData/>
  </xdr:twoCellAnchor>
  <xdr:twoCellAnchor>
    <xdr:from>
      <xdr:col>117</xdr:col>
      <xdr:colOff>175532</xdr:colOff>
      <xdr:row>53</xdr:row>
      <xdr:rowOff>91165</xdr:rowOff>
    </xdr:from>
    <xdr:to>
      <xdr:col>135</xdr:col>
      <xdr:colOff>19047</xdr:colOff>
      <xdr:row>68</xdr:row>
      <xdr:rowOff>19050</xdr:rowOff>
    </xdr:to>
    <xdr:sp macro="" textlink="">
      <xdr:nvSpPr>
        <xdr:cNvPr id="50" name="正方形/長方形 49">
          <a:extLst>
            <a:ext uri="{FF2B5EF4-FFF2-40B4-BE49-F238E27FC236}">
              <a16:creationId xmlns:a16="http://schemas.microsoft.com/office/drawing/2014/main" id="{00000000-0008-0000-0200-000032000000}"/>
            </a:ext>
          </a:extLst>
        </xdr:cNvPr>
        <xdr:cNvSpPr/>
      </xdr:nvSpPr>
      <xdr:spPr>
        <a:xfrm>
          <a:off x="11424557" y="5139415"/>
          <a:ext cx="2081890" cy="148998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試用版のご利用がない場合、</a:t>
          </a:r>
          <a:r>
            <a:rPr lang="en-US" altLang="ja-JP" sz="900">
              <a:solidFill>
                <a:sysClr val="windowText" lastClr="000000"/>
              </a:solidFill>
              <a:effectLst/>
            </a:rPr>
            <a:t>DigitalArts@Cloud</a:t>
          </a:r>
          <a:r>
            <a:rPr lang="ja-JP" altLang="en-US" sz="900">
              <a:solidFill>
                <a:sysClr val="windowText" lastClr="000000"/>
              </a:solidFill>
              <a:effectLst/>
            </a:rPr>
            <a:t> の管理者となる</a:t>
          </a:r>
          <a:endParaRPr lang="en-US" altLang="ja-JP" sz="900">
            <a:solidFill>
              <a:sysClr val="windowText" lastClr="000000"/>
            </a:solidFill>
            <a:effectLst/>
          </a:endParaRPr>
        </a:p>
        <a:p>
          <a:r>
            <a:rPr lang="ja-JP" altLang="en-US" sz="900">
              <a:solidFill>
                <a:sysClr val="windowText" lastClr="000000"/>
              </a:solidFill>
              <a:effectLst/>
            </a:rPr>
            <a:t>メールアドレスをご入力ください。</a:t>
          </a:r>
          <a:endParaRPr lang="en-US" altLang="ja-JP" sz="900">
            <a:solidFill>
              <a:sysClr val="windowText" lastClr="000000"/>
            </a:solidFill>
            <a:effectLst/>
          </a:endParaRPr>
        </a:p>
        <a:p>
          <a:endParaRPr lang="en-US" altLang="ja-JP" sz="300">
            <a:solidFill>
              <a:sysClr val="windowText" lastClr="000000"/>
            </a:solidFill>
            <a:effectLst/>
          </a:endParaRPr>
        </a:p>
        <a:p>
          <a:r>
            <a:rPr lang="ja-JP" altLang="en-US" sz="900">
              <a:solidFill>
                <a:sysClr val="windowText" lastClr="000000"/>
              </a:solidFill>
              <a:effectLst/>
            </a:rPr>
            <a:t>試用版のご利用がある場合は、</a:t>
          </a:r>
          <a:endParaRPr lang="en-US" altLang="ja-JP" sz="900">
            <a:solidFill>
              <a:sysClr val="windowText" lastClr="000000"/>
            </a:solidFill>
            <a:effectLst/>
          </a:endParaRPr>
        </a:p>
        <a:p>
          <a:r>
            <a:rPr lang="ja-JP" altLang="en-US" sz="900">
              <a:solidFill>
                <a:sysClr val="windowText" lastClr="000000"/>
              </a:solidFill>
              <a:effectLst/>
            </a:rPr>
            <a:t>この欄は入力せず、各製品申請欄に</a:t>
          </a:r>
          <a:endParaRPr lang="en-US" altLang="ja-JP" sz="900">
            <a:solidFill>
              <a:sysClr val="windowText" lastClr="000000"/>
            </a:solidFill>
            <a:effectLst/>
          </a:endParaRPr>
        </a:p>
        <a:p>
          <a:r>
            <a:rPr lang="ja-JP" altLang="en-US" sz="900">
              <a:solidFill>
                <a:sysClr val="windowText" lastClr="000000"/>
              </a:solidFill>
              <a:effectLst/>
            </a:rPr>
            <a:t>お進みください。</a:t>
          </a:r>
          <a:endParaRPr lang="en-US" altLang="ja-JP" sz="900">
            <a:solidFill>
              <a:sysClr val="windowText" lastClr="000000"/>
            </a:solidFill>
            <a:effectLst/>
          </a:endParaRPr>
        </a:p>
        <a:p>
          <a:endParaRPr lang="en-US" altLang="ja-JP" sz="900">
            <a:solidFill>
              <a:sysClr val="windowText" lastClr="000000"/>
            </a:solidFill>
            <a:effectLst/>
          </a:endParaRPr>
        </a:p>
        <a:p>
          <a:r>
            <a:rPr lang="ja-JP" altLang="en-US" sz="900">
              <a:solidFill>
                <a:sysClr val="windowText" lastClr="000000"/>
              </a:solidFill>
              <a:effectLst/>
            </a:rPr>
            <a:t>管理者</a:t>
          </a:r>
          <a:r>
            <a:rPr lang="en-US" altLang="ja-JP" sz="900">
              <a:solidFill>
                <a:sysClr val="windowText" lastClr="000000"/>
              </a:solidFill>
              <a:effectLst/>
            </a:rPr>
            <a:t>E-mail</a:t>
          </a:r>
          <a:r>
            <a:rPr lang="ja-JP" altLang="en-US" sz="900">
              <a:solidFill>
                <a:sysClr val="windowText" lastClr="000000"/>
              </a:solidFill>
              <a:effectLst/>
            </a:rPr>
            <a:t>の最大文字数は</a:t>
          </a:r>
          <a:r>
            <a:rPr lang="en-US" altLang="ja-JP" sz="900">
              <a:solidFill>
                <a:sysClr val="windowText" lastClr="000000"/>
              </a:solidFill>
              <a:effectLst/>
            </a:rPr>
            <a:t>64</a:t>
          </a:r>
          <a:r>
            <a:rPr lang="ja-JP" altLang="en-US" sz="900">
              <a:solidFill>
                <a:sysClr val="windowText" lastClr="000000"/>
              </a:solidFill>
              <a:effectLst/>
            </a:rPr>
            <a:t>文字となります。</a:t>
          </a:r>
          <a:endParaRPr lang="en-US" altLang="ja-JP" sz="900">
            <a:solidFill>
              <a:sysClr val="windowText" lastClr="000000"/>
            </a:solidFill>
            <a:effectLst/>
          </a:endParaRPr>
        </a:p>
      </xdr:txBody>
    </xdr:sp>
    <xdr:clientData/>
  </xdr:twoCellAnchor>
  <xdr:twoCellAnchor>
    <xdr:from>
      <xdr:col>137</xdr:col>
      <xdr:colOff>57150</xdr:colOff>
      <xdr:row>52</xdr:row>
      <xdr:rowOff>76200</xdr:rowOff>
    </xdr:from>
    <xdr:to>
      <xdr:col>143</xdr:col>
      <xdr:colOff>57151</xdr:colOff>
      <xdr:row>54</xdr:row>
      <xdr:rowOff>57150</xdr:rowOff>
    </xdr:to>
    <xdr:sp macro="" textlink="">
      <xdr:nvSpPr>
        <xdr:cNvPr id="51" name="フローチャート : 結合子 26">
          <a:extLst>
            <a:ext uri="{FF2B5EF4-FFF2-40B4-BE49-F238E27FC236}">
              <a16:creationId xmlns:a16="http://schemas.microsoft.com/office/drawing/2014/main" id="{00000000-0008-0000-0200-000033000000}"/>
            </a:ext>
          </a:extLst>
        </xdr:cNvPr>
        <xdr:cNvSpPr/>
      </xdr:nvSpPr>
      <xdr:spPr>
        <a:xfrm>
          <a:off x="13735050" y="5029200"/>
          <a:ext cx="571501" cy="17145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8-2</a:t>
          </a:r>
        </a:p>
      </xdr:txBody>
    </xdr:sp>
    <xdr:clientData/>
  </xdr:twoCellAnchor>
  <xdr:twoCellAnchor>
    <xdr:from>
      <xdr:col>117</xdr:col>
      <xdr:colOff>76199</xdr:colOff>
      <xdr:row>52</xdr:row>
      <xdr:rowOff>57150</xdr:rowOff>
    </xdr:from>
    <xdr:to>
      <xdr:col>118</xdr:col>
      <xdr:colOff>28575</xdr:colOff>
      <xdr:row>54</xdr:row>
      <xdr:rowOff>47625</xdr:rowOff>
    </xdr:to>
    <xdr:sp macro="" textlink="">
      <xdr:nvSpPr>
        <xdr:cNvPr id="49" name="フローチャート : 結合子 26">
          <a:extLst>
            <a:ext uri="{FF2B5EF4-FFF2-40B4-BE49-F238E27FC236}">
              <a16:creationId xmlns:a16="http://schemas.microsoft.com/office/drawing/2014/main" id="{00000000-0008-0000-0200-000031000000}"/>
            </a:ext>
          </a:extLst>
        </xdr:cNvPr>
        <xdr:cNvSpPr/>
      </xdr:nvSpPr>
      <xdr:spPr>
        <a:xfrm>
          <a:off x="11325224" y="5010150"/>
          <a:ext cx="571501" cy="180975"/>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8-1</a:t>
          </a:r>
        </a:p>
      </xdr:txBody>
    </xdr:sp>
    <xdr:clientData/>
  </xdr:twoCellAnchor>
  <xdr:twoCellAnchor>
    <xdr:from>
      <xdr:col>0</xdr:col>
      <xdr:colOff>0</xdr:colOff>
      <xdr:row>68</xdr:row>
      <xdr:rowOff>76199</xdr:rowOff>
    </xdr:from>
    <xdr:to>
      <xdr:col>1</xdr:col>
      <xdr:colOff>51975</xdr:colOff>
      <xdr:row>71</xdr:row>
      <xdr:rowOff>42449</xdr:rowOff>
    </xdr:to>
    <xdr:sp macro="" textlink="">
      <xdr:nvSpPr>
        <xdr:cNvPr id="54" name="フローチャート : 結合子 10">
          <a:extLst>
            <a:ext uri="{FF2B5EF4-FFF2-40B4-BE49-F238E27FC236}">
              <a16:creationId xmlns:a16="http://schemas.microsoft.com/office/drawing/2014/main" id="{00000000-0008-0000-0200-000036000000}"/>
            </a:ext>
          </a:extLst>
        </xdr:cNvPr>
        <xdr:cNvSpPr/>
      </xdr:nvSpPr>
      <xdr:spPr>
        <a:xfrm>
          <a:off x="0" y="668654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0</xdr:col>
      <xdr:colOff>31749</xdr:colOff>
      <xdr:row>72</xdr:row>
      <xdr:rowOff>25401</xdr:rowOff>
    </xdr:from>
    <xdr:to>
      <xdr:col>3</xdr:col>
      <xdr:colOff>54171</xdr:colOff>
      <xdr:row>74</xdr:row>
      <xdr:rowOff>52917</xdr:rowOff>
    </xdr:to>
    <xdr:sp macro="" textlink="">
      <xdr:nvSpPr>
        <xdr:cNvPr id="56" name="フローチャート : 結合子 26">
          <a:extLst>
            <a:ext uri="{FF2B5EF4-FFF2-40B4-BE49-F238E27FC236}">
              <a16:creationId xmlns:a16="http://schemas.microsoft.com/office/drawing/2014/main" id="{00000000-0008-0000-0200-000038000000}"/>
            </a:ext>
          </a:extLst>
        </xdr:cNvPr>
        <xdr:cNvSpPr/>
      </xdr:nvSpPr>
      <xdr:spPr>
        <a:xfrm>
          <a:off x="31749" y="7031568"/>
          <a:ext cx="371672" cy="218016"/>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8-1</a:t>
          </a:r>
        </a:p>
      </xdr:txBody>
    </xdr:sp>
    <xdr:clientData/>
  </xdr:twoCellAnchor>
  <xdr:twoCellAnchor>
    <xdr:from>
      <xdr:col>117</xdr:col>
      <xdr:colOff>181881</xdr:colOff>
      <xdr:row>100</xdr:row>
      <xdr:rowOff>79018</xdr:rowOff>
    </xdr:from>
    <xdr:to>
      <xdr:col>179</xdr:col>
      <xdr:colOff>10822</xdr:colOff>
      <xdr:row>108</xdr:row>
      <xdr:rowOff>137584</xdr:rowOff>
    </xdr:to>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10193714" y="10355435"/>
          <a:ext cx="5554525" cy="905232"/>
        </a:xfrm>
        <a:prstGeom prst="rect">
          <a:avLst/>
        </a:prstGeom>
        <a:solidFill>
          <a:schemeClr val="accent3">
            <a:lumMod val="20000"/>
            <a:lumOff val="80000"/>
          </a:schemeClr>
        </a:solidFill>
        <a:ln w="444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Cloud</a:t>
          </a:r>
          <a:r>
            <a:rPr lang="ja-JP" altLang="en-US" sz="900" b="0" i="0">
              <a:solidFill>
                <a:schemeClr val="tx1"/>
              </a:solidFill>
              <a:effectLst/>
              <a:latin typeface="+mn-lt"/>
              <a:ea typeface="+mn-ea"/>
              <a:cs typeface="+mn-cs"/>
            </a:rPr>
            <a:t>」において、同一ユーザーが異なる</a:t>
          </a:r>
          <a:r>
            <a:rPr lang="en-US" altLang="ja-JP" sz="900" b="0" i="0">
              <a:solidFill>
                <a:schemeClr val="tx1"/>
              </a:solidFill>
              <a:effectLst/>
              <a:latin typeface="+mn-lt"/>
              <a:ea typeface="+mn-ea"/>
              <a:cs typeface="+mn-cs"/>
            </a:rPr>
            <a:t>OS</a:t>
          </a:r>
          <a:r>
            <a:rPr lang="ja-JP" altLang="en-US" sz="900" b="0" i="0">
              <a:solidFill>
                <a:schemeClr val="tx1"/>
              </a:solidFill>
              <a:effectLst/>
              <a:latin typeface="+mn-lt"/>
              <a:ea typeface="+mn-ea"/>
              <a:cs typeface="+mn-cs"/>
            </a:rPr>
            <a:t>の端末を複数利用する際、 </a:t>
          </a:r>
          <a:r>
            <a:rPr lang="en-US" altLang="ja-JP" sz="900" b="0" i="0">
              <a:solidFill>
                <a:schemeClr val="tx1"/>
              </a:solidFill>
              <a:effectLst/>
              <a:latin typeface="+mn-lt"/>
              <a:ea typeface="+mn-ea"/>
              <a:cs typeface="+mn-cs"/>
            </a:rPr>
            <a:t>MDM</a:t>
          </a:r>
          <a:r>
            <a:rPr lang="ja-JP" altLang="en-US" sz="900" b="0" i="0">
              <a:solidFill>
                <a:schemeClr val="tx1"/>
              </a:solidFill>
              <a:effectLst/>
              <a:latin typeface="+mn-lt"/>
              <a:ea typeface="+mn-ea"/>
              <a:cs typeface="+mn-cs"/>
            </a:rPr>
            <a:t>の仕様やその他の事情により同一のユーザー名でユーザー登録をすることができない場合は、 別ユーザーとしてカウントされ、契約ライセンス数を超過する可能性がございます。 上記のような運用をご検討されているお客様は、弊社営業担当にご相談いただくとともに、 「</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Cloud</a:t>
          </a:r>
          <a:r>
            <a:rPr lang="ja-JP" altLang="en-US" sz="900" b="0" i="0">
              <a:solidFill>
                <a:schemeClr val="tx1"/>
              </a:solidFill>
              <a:effectLst/>
              <a:latin typeface="+mn-lt"/>
              <a:ea typeface="+mn-ea"/>
              <a:cs typeface="+mn-cs"/>
            </a:rPr>
            <a:t>」購入申請欄内の「利用</a:t>
          </a:r>
          <a:r>
            <a:rPr lang="en-US" altLang="ja-JP" sz="900" b="0" i="0">
              <a:solidFill>
                <a:schemeClr val="tx1"/>
              </a:solidFill>
              <a:effectLst/>
              <a:latin typeface="+mn-lt"/>
              <a:ea typeface="+mn-ea"/>
              <a:cs typeface="+mn-cs"/>
            </a:rPr>
            <a:t>OS</a:t>
          </a:r>
          <a:r>
            <a:rPr lang="ja-JP" altLang="en-US" sz="900" b="0" i="0">
              <a:solidFill>
                <a:schemeClr val="tx1"/>
              </a:solidFill>
              <a:effectLst/>
              <a:latin typeface="+mn-lt"/>
              <a:ea typeface="+mn-ea"/>
              <a:cs typeface="+mn-cs"/>
            </a:rPr>
            <a:t>内訳」に必要事項のご入力をお願いいたします。</a:t>
          </a:r>
          <a:endParaRPr lang="en-US" altLang="ja-JP" sz="900" b="0" i="0">
            <a:solidFill>
              <a:schemeClr val="tx1"/>
            </a:solidFill>
            <a:effectLst/>
            <a:latin typeface="+mn-lt"/>
            <a:ea typeface="+mn-ea"/>
            <a:cs typeface="+mn-cs"/>
          </a:endParaRPr>
        </a:p>
      </xdr:txBody>
    </xdr:sp>
    <xdr:clientData/>
  </xdr:twoCellAnchor>
  <xdr:twoCellAnchor>
    <xdr:from>
      <xdr:col>117</xdr:col>
      <xdr:colOff>104774</xdr:colOff>
      <xdr:row>99</xdr:row>
      <xdr:rowOff>29120</xdr:rowOff>
    </xdr:from>
    <xdr:to>
      <xdr:col>119</xdr:col>
      <xdr:colOff>21166</xdr:colOff>
      <xdr:row>101</xdr:row>
      <xdr:rowOff>9999</xdr:rowOff>
    </xdr:to>
    <xdr:sp macro="" textlink="">
      <xdr:nvSpPr>
        <xdr:cNvPr id="62" name="フローチャート : 結合子 26">
          <a:extLst>
            <a:ext uri="{FF2B5EF4-FFF2-40B4-BE49-F238E27FC236}">
              <a16:creationId xmlns:a16="http://schemas.microsoft.com/office/drawing/2014/main" id="{00000000-0008-0000-0200-00003E000000}"/>
            </a:ext>
          </a:extLst>
        </xdr:cNvPr>
        <xdr:cNvSpPr/>
      </xdr:nvSpPr>
      <xdr:spPr>
        <a:xfrm>
          <a:off x="10116607" y="10210287"/>
          <a:ext cx="561976" cy="234879"/>
        </a:xfrm>
        <a:prstGeom prst="roundRect">
          <a:avLst/>
        </a:prstGeom>
        <a:solidFill>
          <a:schemeClr val="accent3">
            <a:lumMod val="20000"/>
            <a:lumOff val="8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a:t>
          </a:r>
          <a:r>
            <a:rPr kumimoji="1" lang="ja-JP" altLang="en-US" sz="900" b="1">
              <a:solidFill>
                <a:sysClr val="windowText" lastClr="000000"/>
              </a:solidFill>
              <a:latin typeface="+mn-ea"/>
              <a:ea typeface="+mn-ea"/>
            </a:rPr>
            <a:t>参考</a:t>
          </a:r>
          <a:endParaRPr kumimoji="1" lang="en-US" altLang="ja-JP" sz="900" b="1">
            <a:solidFill>
              <a:sysClr val="windowText" lastClr="000000"/>
            </a:solidFill>
            <a:latin typeface="+mn-ea"/>
            <a:ea typeface="+mn-ea"/>
          </a:endParaRPr>
        </a:p>
      </xdr:txBody>
    </xdr:sp>
    <xdr:clientData/>
  </xdr:twoCellAnchor>
  <xdr:twoCellAnchor>
    <xdr:from>
      <xdr:col>117</xdr:col>
      <xdr:colOff>175532</xdr:colOff>
      <xdr:row>69</xdr:row>
      <xdr:rowOff>38100</xdr:rowOff>
    </xdr:from>
    <xdr:to>
      <xdr:col>160</xdr:col>
      <xdr:colOff>55907</xdr:colOff>
      <xdr:row>74</xdr:row>
      <xdr:rowOff>28575</xdr:rowOff>
    </xdr:to>
    <xdr:sp macro="" textlink="">
      <xdr:nvSpPr>
        <xdr:cNvPr id="63" name="正方形/長方形 62">
          <a:extLst>
            <a:ext uri="{FF2B5EF4-FFF2-40B4-BE49-F238E27FC236}">
              <a16:creationId xmlns:a16="http://schemas.microsoft.com/office/drawing/2014/main" id="{00000000-0008-0000-0200-00003F000000}"/>
            </a:ext>
          </a:extLst>
        </xdr:cNvPr>
        <xdr:cNvSpPr/>
      </xdr:nvSpPr>
      <xdr:spPr>
        <a:xfrm>
          <a:off x="11424557" y="6743700"/>
          <a:ext cx="4500000" cy="466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1">
              <a:solidFill>
                <a:srgbClr val="FF0000"/>
              </a:solidFill>
              <a:effectLst/>
              <a:latin typeface="+mn-lt"/>
              <a:ea typeface="+mn-ea"/>
              <a:cs typeface="+mn-cs"/>
            </a:rPr>
            <a:t>続いて購入する製品の申請欄に進みます。</a:t>
          </a:r>
          <a:endParaRPr lang="en-US" altLang="ja-JP" sz="900" b="1">
            <a:solidFill>
              <a:srgbClr val="FF0000"/>
            </a:solidFill>
            <a:effectLst/>
            <a:latin typeface="+mn-lt"/>
            <a:ea typeface="+mn-ea"/>
            <a:cs typeface="+mn-cs"/>
          </a:endParaRPr>
        </a:p>
        <a:p>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以下はご購入製品により、入力箇所が異なります。</a:t>
          </a:r>
        </a:p>
      </xdr:txBody>
    </xdr:sp>
    <xdr:clientData/>
  </xdr:twoCellAnchor>
  <xdr:twoCellAnchor>
    <xdr:from>
      <xdr:col>135</xdr:col>
      <xdr:colOff>19047</xdr:colOff>
      <xdr:row>61</xdr:row>
      <xdr:rowOff>74158</xdr:rowOff>
    </xdr:from>
    <xdr:to>
      <xdr:col>136</xdr:col>
      <xdr:colOff>91907</xdr:colOff>
      <xdr:row>69</xdr:row>
      <xdr:rowOff>38100</xdr:rowOff>
    </xdr:to>
    <xdr:cxnSp macro="">
      <xdr:nvCxnSpPr>
        <xdr:cNvPr id="5" name="カギ線コネクタ 4">
          <a:extLst>
            <a:ext uri="{FF2B5EF4-FFF2-40B4-BE49-F238E27FC236}">
              <a16:creationId xmlns:a16="http://schemas.microsoft.com/office/drawing/2014/main" id="{00000000-0008-0000-0200-000005000000}"/>
            </a:ext>
          </a:extLst>
        </xdr:cNvPr>
        <xdr:cNvCxnSpPr>
          <a:stCxn id="50" idx="3"/>
          <a:endCxn id="63" idx="0"/>
        </xdr:cNvCxnSpPr>
      </xdr:nvCxnSpPr>
      <xdr:spPr>
        <a:xfrm>
          <a:off x="13506447" y="5884408"/>
          <a:ext cx="168110" cy="859292"/>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89261</xdr:colOff>
      <xdr:row>61</xdr:row>
      <xdr:rowOff>82969</xdr:rowOff>
    </xdr:from>
    <xdr:to>
      <xdr:col>138</xdr:col>
      <xdr:colOff>66675</xdr:colOff>
      <xdr:row>69</xdr:row>
      <xdr:rowOff>38099</xdr:rowOff>
    </xdr:to>
    <xdr:cxnSp macro="">
      <xdr:nvCxnSpPr>
        <xdr:cNvPr id="64" name="カギ線コネクタ 63">
          <a:extLst>
            <a:ext uri="{FF2B5EF4-FFF2-40B4-BE49-F238E27FC236}">
              <a16:creationId xmlns:a16="http://schemas.microsoft.com/office/drawing/2014/main" id="{00000000-0008-0000-0200-000040000000}"/>
            </a:ext>
          </a:extLst>
        </xdr:cNvPr>
        <xdr:cNvCxnSpPr>
          <a:stCxn id="48" idx="1"/>
          <a:endCxn id="63" idx="0"/>
        </xdr:cNvCxnSpPr>
      </xdr:nvCxnSpPr>
      <xdr:spPr>
        <a:xfrm rot="10800000" flipV="1">
          <a:off x="13678261" y="5893219"/>
          <a:ext cx="167914" cy="865297"/>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9525</xdr:colOff>
      <xdr:row>51</xdr:row>
      <xdr:rowOff>19050</xdr:rowOff>
    </xdr:from>
    <xdr:to>
      <xdr:col>121</xdr:col>
      <xdr:colOff>9525</xdr:colOff>
      <xdr:row>54</xdr:row>
      <xdr:rowOff>21300</xdr:rowOff>
    </xdr:to>
    <xdr:cxnSp macro="">
      <xdr:nvCxnSpPr>
        <xdr:cNvPr id="94" name="直線矢印コネクタ 93">
          <a:extLst>
            <a:ext uri="{FF2B5EF4-FFF2-40B4-BE49-F238E27FC236}">
              <a16:creationId xmlns:a16="http://schemas.microsoft.com/office/drawing/2014/main" id="{00000000-0008-0000-0200-00005E000000}"/>
            </a:ext>
          </a:extLst>
        </xdr:cNvPr>
        <xdr:cNvCxnSpPr/>
      </xdr:nvCxnSpPr>
      <xdr:spPr>
        <a:xfrm>
          <a:off x="12163425" y="4876800"/>
          <a:ext cx="0" cy="288000"/>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66674</xdr:colOff>
      <xdr:row>80</xdr:row>
      <xdr:rowOff>118534</xdr:rowOff>
    </xdr:from>
    <xdr:to>
      <xdr:col>117</xdr:col>
      <xdr:colOff>318674</xdr:colOff>
      <xdr:row>81</xdr:row>
      <xdr:rowOff>158867</xdr:rowOff>
    </xdr:to>
    <xdr:sp macro="" textlink="">
      <xdr:nvSpPr>
        <xdr:cNvPr id="107" name="フローチャート : 結合子 26">
          <a:extLst>
            <a:ext uri="{FF2B5EF4-FFF2-40B4-BE49-F238E27FC236}">
              <a16:creationId xmlns:a16="http://schemas.microsoft.com/office/drawing/2014/main" id="{00000000-0008-0000-0200-00006B000000}"/>
            </a:ext>
          </a:extLst>
        </xdr:cNvPr>
        <xdr:cNvSpPr/>
      </xdr:nvSpPr>
      <xdr:spPr>
        <a:xfrm>
          <a:off x="10078507" y="8183034"/>
          <a:ext cx="252000" cy="252000"/>
        </a:xfrm>
        <a:prstGeom prst="ellipse">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149</xdr:col>
      <xdr:colOff>32657</xdr:colOff>
      <xdr:row>51</xdr:row>
      <xdr:rowOff>5444</xdr:rowOff>
    </xdr:from>
    <xdr:to>
      <xdr:col>149</xdr:col>
      <xdr:colOff>32657</xdr:colOff>
      <xdr:row>54</xdr:row>
      <xdr:rowOff>7694</xdr:rowOff>
    </xdr:to>
    <xdr:cxnSp macro="">
      <xdr:nvCxnSpPr>
        <xdr:cNvPr id="77" name="直線矢印コネクタ 76">
          <a:extLst>
            <a:ext uri="{FF2B5EF4-FFF2-40B4-BE49-F238E27FC236}">
              <a16:creationId xmlns:a16="http://schemas.microsoft.com/office/drawing/2014/main" id="{00000000-0008-0000-0200-00004D000000}"/>
            </a:ext>
          </a:extLst>
        </xdr:cNvPr>
        <xdr:cNvCxnSpPr/>
      </xdr:nvCxnSpPr>
      <xdr:spPr>
        <a:xfrm>
          <a:off x="14853557" y="4863194"/>
          <a:ext cx="0" cy="288000"/>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38099</xdr:colOff>
      <xdr:row>83</xdr:row>
      <xdr:rowOff>38099</xdr:rowOff>
    </xdr:from>
    <xdr:to>
      <xdr:col>116</xdr:col>
      <xdr:colOff>74100</xdr:colOff>
      <xdr:row>85</xdr:row>
      <xdr:rowOff>74084</xdr:rowOff>
    </xdr:to>
    <xdr:sp macro="" textlink="">
      <xdr:nvSpPr>
        <xdr:cNvPr id="81" name="フローチャート : 結合子 10">
          <a:extLst>
            <a:ext uri="{FF2B5EF4-FFF2-40B4-BE49-F238E27FC236}">
              <a16:creationId xmlns:a16="http://schemas.microsoft.com/office/drawing/2014/main" id="{00000000-0008-0000-0200-000051000000}"/>
            </a:ext>
          </a:extLst>
        </xdr:cNvPr>
        <xdr:cNvSpPr/>
      </xdr:nvSpPr>
      <xdr:spPr>
        <a:xfrm>
          <a:off x="9616016" y="8600016"/>
          <a:ext cx="374667" cy="184151"/>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9-1</a:t>
          </a:r>
        </a:p>
      </xdr:txBody>
    </xdr:sp>
    <xdr:clientData/>
  </xdr:twoCellAnchor>
  <xdr:twoCellAnchor>
    <xdr:from>
      <xdr:col>112</xdr:col>
      <xdr:colOff>57149</xdr:colOff>
      <xdr:row>146</xdr:row>
      <xdr:rowOff>28574</xdr:rowOff>
    </xdr:from>
    <xdr:to>
      <xdr:col>116</xdr:col>
      <xdr:colOff>85725</xdr:colOff>
      <xdr:row>148</xdr:row>
      <xdr:rowOff>18074</xdr:rowOff>
    </xdr:to>
    <xdr:sp macro="" textlink="">
      <xdr:nvSpPr>
        <xdr:cNvPr id="86" name="フローチャート : 結合子 10">
          <a:extLst>
            <a:ext uri="{FF2B5EF4-FFF2-40B4-BE49-F238E27FC236}">
              <a16:creationId xmlns:a16="http://schemas.microsoft.com/office/drawing/2014/main" id="{00000000-0008-0000-0200-000056000000}"/>
            </a:ext>
          </a:extLst>
        </xdr:cNvPr>
        <xdr:cNvSpPr/>
      </xdr:nvSpPr>
      <xdr:spPr>
        <a:xfrm>
          <a:off x="10829924" y="12544424"/>
          <a:ext cx="409576" cy="18000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9-2</a:t>
          </a:r>
        </a:p>
      </xdr:txBody>
    </xdr:sp>
    <xdr:clientData/>
  </xdr:twoCellAnchor>
  <xdr:twoCellAnchor>
    <xdr:from>
      <xdr:col>112</xdr:col>
      <xdr:colOff>38099</xdr:colOff>
      <xdr:row>109</xdr:row>
      <xdr:rowOff>48683</xdr:rowOff>
    </xdr:from>
    <xdr:to>
      <xdr:col>116</xdr:col>
      <xdr:colOff>74100</xdr:colOff>
      <xdr:row>111</xdr:row>
      <xdr:rowOff>84667</xdr:rowOff>
    </xdr:to>
    <xdr:sp macro="" textlink="">
      <xdr:nvSpPr>
        <xdr:cNvPr id="2" name="フローチャート : 結合子 10">
          <a:extLst>
            <a:ext uri="{FF2B5EF4-FFF2-40B4-BE49-F238E27FC236}">
              <a16:creationId xmlns:a16="http://schemas.microsoft.com/office/drawing/2014/main" id="{C2114DED-2033-227F-4578-37354984D988}"/>
            </a:ext>
          </a:extLst>
        </xdr:cNvPr>
        <xdr:cNvSpPr/>
      </xdr:nvSpPr>
      <xdr:spPr>
        <a:xfrm>
          <a:off x="9616016" y="10949516"/>
          <a:ext cx="374667" cy="184151"/>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9-1</a:t>
          </a:r>
        </a:p>
      </xdr:txBody>
    </xdr:sp>
    <xdr:clientData/>
  </xdr:twoCellAnchor>
  <xdr:twoCellAnchor>
    <xdr:from>
      <xdr:col>112</xdr:col>
      <xdr:colOff>38099</xdr:colOff>
      <xdr:row>127</xdr:row>
      <xdr:rowOff>62440</xdr:rowOff>
    </xdr:from>
    <xdr:to>
      <xdr:col>116</xdr:col>
      <xdr:colOff>74100</xdr:colOff>
      <xdr:row>129</xdr:row>
      <xdr:rowOff>74083</xdr:rowOff>
    </xdr:to>
    <xdr:sp macro="" textlink="">
      <xdr:nvSpPr>
        <xdr:cNvPr id="3" name="フローチャート : 結合子 10">
          <a:extLst>
            <a:ext uri="{FF2B5EF4-FFF2-40B4-BE49-F238E27FC236}">
              <a16:creationId xmlns:a16="http://schemas.microsoft.com/office/drawing/2014/main" id="{35886749-6B5B-2EEE-DC53-E08A0DB96AAB}"/>
            </a:ext>
          </a:extLst>
        </xdr:cNvPr>
        <xdr:cNvSpPr/>
      </xdr:nvSpPr>
      <xdr:spPr>
        <a:xfrm>
          <a:off x="9616016" y="12349690"/>
          <a:ext cx="374667" cy="180976"/>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9-1</a:t>
          </a:r>
        </a:p>
      </xdr:txBody>
    </xdr:sp>
    <xdr:clientData/>
  </xdr:twoCellAnchor>
  <xdr:twoCellAnchor>
    <xdr:from>
      <xdr:col>0</xdr:col>
      <xdr:colOff>28574</xdr:colOff>
      <xdr:row>75</xdr:row>
      <xdr:rowOff>60326</xdr:rowOff>
    </xdr:from>
    <xdr:to>
      <xdr:col>3</xdr:col>
      <xdr:colOff>54171</xdr:colOff>
      <xdr:row>76</xdr:row>
      <xdr:rowOff>176742</xdr:rowOff>
    </xdr:to>
    <xdr:sp macro="" textlink="">
      <xdr:nvSpPr>
        <xdr:cNvPr id="4" name="フローチャート : 結合子 26">
          <a:extLst>
            <a:ext uri="{FF2B5EF4-FFF2-40B4-BE49-F238E27FC236}">
              <a16:creationId xmlns:a16="http://schemas.microsoft.com/office/drawing/2014/main" id="{17BD89C2-D6B7-6C17-C09A-519D99BC86EA}"/>
            </a:ext>
          </a:extLst>
        </xdr:cNvPr>
        <xdr:cNvSpPr/>
      </xdr:nvSpPr>
      <xdr:spPr>
        <a:xfrm>
          <a:off x="28574" y="7352243"/>
          <a:ext cx="374847" cy="211666"/>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8-2</a:t>
          </a:r>
        </a:p>
      </xdr:txBody>
    </xdr:sp>
    <xdr:clientData/>
  </xdr:twoCellAnchor>
  <xdr:twoCellAnchor>
    <xdr:from>
      <xdr:col>0</xdr:col>
      <xdr:colOff>73024</xdr:colOff>
      <xdr:row>78</xdr:row>
      <xdr:rowOff>25401</xdr:rowOff>
    </xdr:from>
    <xdr:to>
      <xdr:col>2</xdr:col>
      <xdr:colOff>51974</xdr:colOff>
      <xdr:row>79</xdr:row>
      <xdr:rowOff>182151</xdr:rowOff>
    </xdr:to>
    <xdr:sp macro="" textlink="">
      <xdr:nvSpPr>
        <xdr:cNvPr id="11" name="フローチャート : 結合子 26">
          <a:extLst>
            <a:ext uri="{FF2B5EF4-FFF2-40B4-BE49-F238E27FC236}">
              <a16:creationId xmlns:a16="http://schemas.microsoft.com/office/drawing/2014/main" id="{B811835E-F02B-B95C-00D2-7F5F129E3FBD}"/>
            </a:ext>
          </a:extLst>
        </xdr:cNvPr>
        <xdr:cNvSpPr/>
      </xdr:nvSpPr>
      <xdr:spPr>
        <a:xfrm>
          <a:off x="73024" y="7778751"/>
          <a:ext cx="252000" cy="252000"/>
        </a:xfrm>
        <a:prstGeom prst="ellipse">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117</xdr:col>
      <xdr:colOff>181881</xdr:colOff>
      <xdr:row>112</xdr:row>
      <xdr:rowOff>36685</xdr:rowOff>
    </xdr:from>
    <xdr:to>
      <xdr:col>179</xdr:col>
      <xdr:colOff>10822</xdr:colOff>
      <xdr:row>120</xdr:row>
      <xdr:rowOff>21167</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F0D2DE9A-71D9-61EF-8AC8-0E0BD27F7255}"/>
            </a:ext>
          </a:extLst>
        </xdr:cNvPr>
        <xdr:cNvSpPr/>
      </xdr:nvSpPr>
      <xdr:spPr>
        <a:xfrm>
          <a:off x="10256698" y="11404734"/>
          <a:ext cx="5590404" cy="727896"/>
        </a:xfrm>
        <a:prstGeom prst="rect">
          <a:avLst/>
        </a:prstGeom>
        <a:solidFill>
          <a:schemeClr val="accent1">
            <a:lumMod val="20000"/>
            <a:lumOff val="80000"/>
          </a:schemeClr>
        </a:solidFill>
        <a:ln w="444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fr-FR" sz="900" b="0" i="0">
              <a:solidFill>
                <a:schemeClr val="tx1"/>
              </a:solidFill>
              <a:effectLst/>
              <a:latin typeface="+mn-lt"/>
              <a:ea typeface="+mn-ea"/>
              <a:cs typeface="+mn-cs"/>
            </a:rPr>
            <a:t>「</a:t>
          </a:r>
          <a:r>
            <a:rPr lang="fr-FR" altLang="ja-JP" sz="900" b="0" i="0">
              <a:solidFill>
                <a:schemeClr val="tx1"/>
              </a:solidFill>
              <a:effectLst/>
              <a:latin typeface="+mn-lt"/>
              <a:ea typeface="+mn-ea"/>
              <a:cs typeface="+mn-cs"/>
            </a:rPr>
            <a:t>m-FILTER@Cloud</a:t>
          </a:r>
          <a:r>
            <a:rPr lang="ja-JP" altLang="fr-FR"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のエディション区分における「</a:t>
          </a:r>
          <a:r>
            <a:rPr lang="fr-FR" altLang="ja-JP" sz="900" b="0" i="0">
              <a:solidFill>
                <a:schemeClr val="tx1"/>
              </a:solidFill>
              <a:effectLst/>
              <a:latin typeface="+mn-lt"/>
              <a:ea typeface="+mn-ea"/>
              <a:cs typeface="+mn-cs"/>
            </a:rPr>
            <a:t>Classic Edition</a:t>
          </a:r>
          <a:r>
            <a:rPr lang="ja-JP" altLang="fr-FR" sz="900" b="0" i="0">
              <a:solidFill>
                <a:schemeClr val="tx1"/>
              </a:solidFill>
              <a:effectLst/>
              <a:latin typeface="+mn-lt"/>
              <a:ea typeface="+mn-ea"/>
              <a:cs typeface="+mn-cs"/>
            </a:rPr>
            <a:t>」「</a:t>
          </a:r>
          <a:r>
            <a:rPr lang="fr-FR" altLang="ja-JP" sz="900" b="0" i="0">
              <a:solidFill>
                <a:schemeClr val="tx1"/>
              </a:solidFill>
              <a:effectLst/>
              <a:latin typeface="+mn-lt"/>
              <a:ea typeface="+mn-ea"/>
              <a:cs typeface="+mn-cs"/>
            </a:rPr>
            <a:t>Modern Edition</a:t>
          </a:r>
          <a:r>
            <a:rPr lang="ja-JP" altLang="fr-FR"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の違いにつきましては下記をご参照ください。（デジタルアーツ株式会社の</a:t>
          </a:r>
          <a:r>
            <a:rPr lang="en-US" altLang="ja-JP" sz="900" b="0" i="0">
              <a:solidFill>
                <a:schemeClr val="tx1"/>
              </a:solidFill>
              <a:effectLst/>
              <a:latin typeface="+mn-lt"/>
              <a:ea typeface="+mn-ea"/>
              <a:cs typeface="+mn-cs"/>
            </a:rPr>
            <a:t>FAQ</a:t>
          </a:r>
          <a:r>
            <a:rPr lang="ja-JP" altLang="en-US" sz="900" b="0" i="0">
              <a:solidFill>
                <a:schemeClr val="tx1"/>
              </a:solidFill>
              <a:effectLst/>
              <a:latin typeface="+mn-lt"/>
              <a:ea typeface="+mn-ea"/>
              <a:cs typeface="+mn-cs"/>
            </a:rPr>
            <a:t>ページへ遷移します）</a:t>
          </a:r>
          <a:endParaRPr lang="en-US" altLang="ja-JP" sz="900" b="0" i="0">
            <a:solidFill>
              <a:schemeClr val="tx1"/>
            </a:solidFill>
            <a:effectLst/>
            <a:latin typeface="+mn-lt"/>
            <a:ea typeface="+mn-ea"/>
            <a:cs typeface="+mn-cs"/>
          </a:endParaRPr>
        </a:p>
        <a:p>
          <a:r>
            <a:rPr lang="fr-FR" altLang="ja-JP" sz="900" b="0" i="0" u="sng">
              <a:solidFill>
                <a:schemeClr val="accent3"/>
              </a:solidFill>
              <a:effectLst/>
              <a:latin typeface="+mn-lt"/>
              <a:ea typeface="+mn-ea"/>
              <a:cs typeface="+mn-cs"/>
            </a:rPr>
            <a:t>https://www.pa-solution.net/daj/bs/faq/Detail.aspx?id=7179</a:t>
          </a:r>
          <a:endParaRPr lang="en-US" altLang="ja-JP" sz="900" b="0" i="0" u="sng">
            <a:solidFill>
              <a:schemeClr val="accent3"/>
            </a:solidFill>
            <a:effectLst/>
            <a:latin typeface="+mn-lt"/>
            <a:ea typeface="+mn-ea"/>
            <a:cs typeface="+mn-cs"/>
          </a:endParaRPr>
        </a:p>
      </xdr:txBody>
    </xdr:sp>
    <xdr:clientData/>
  </xdr:twoCellAnchor>
  <xdr:twoCellAnchor>
    <xdr:from>
      <xdr:col>117</xdr:col>
      <xdr:colOff>104774</xdr:colOff>
      <xdr:row>110</xdr:row>
      <xdr:rowOff>82037</xdr:rowOff>
    </xdr:from>
    <xdr:to>
      <xdr:col>120</xdr:col>
      <xdr:colOff>23812</xdr:colOff>
      <xdr:row>113</xdr:row>
      <xdr:rowOff>31166</xdr:rowOff>
    </xdr:to>
    <xdr:sp macro="" textlink="">
      <xdr:nvSpPr>
        <xdr:cNvPr id="8" name="フローチャート : 結合子 26">
          <a:extLst>
            <a:ext uri="{FF2B5EF4-FFF2-40B4-BE49-F238E27FC236}">
              <a16:creationId xmlns:a16="http://schemas.microsoft.com/office/drawing/2014/main" id="{BAC998B1-3AFE-3367-EEBB-28E476214EE9}"/>
            </a:ext>
          </a:extLst>
        </xdr:cNvPr>
        <xdr:cNvSpPr/>
      </xdr:nvSpPr>
      <xdr:spPr>
        <a:xfrm>
          <a:off x="10423524" y="11464412"/>
          <a:ext cx="657226" cy="234879"/>
        </a:xfrm>
        <a:prstGeom prst="roundRect">
          <a:avLst/>
        </a:prstGeom>
        <a:solidFill>
          <a:schemeClr val="accent1">
            <a:lumMod val="20000"/>
            <a:lumOff val="8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a:t>
          </a:r>
          <a:r>
            <a:rPr kumimoji="1" lang="ja-JP" altLang="en-US" sz="900" b="1">
              <a:solidFill>
                <a:sysClr val="windowText" lastClr="000000"/>
              </a:solidFill>
              <a:latin typeface="+mn-ea"/>
              <a:ea typeface="+mn-ea"/>
            </a:rPr>
            <a:t>参考</a:t>
          </a:r>
          <a:r>
            <a:rPr kumimoji="1" lang="en-US" altLang="ja-JP" sz="900" b="1">
              <a:solidFill>
                <a:sysClr val="windowText" lastClr="000000"/>
              </a:solidFill>
              <a:latin typeface="+mn-ea"/>
              <a:ea typeface="+mn-ea"/>
            </a:rPr>
            <a:t>1</a:t>
          </a:r>
        </a:p>
      </xdr:txBody>
    </xdr:sp>
    <xdr:clientData/>
  </xdr:twoCellAnchor>
  <xdr:twoCellAnchor>
    <xdr:from>
      <xdr:col>117</xdr:col>
      <xdr:colOff>181881</xdr:colOff>
      <xdr:row>125</xdr:row>
      <xdr:rowOff>9314</xdr:rowOff>
    </xdr:from>
    <xdr:to>
      <xdr:col>179</xdr:col>
      <xdr:colOff>10822</xdr:colOff>
      <xdr:row>142</xdr:row>
      <xdr:rowOff>27312</xdr:rowOff>
    </xdr:to>
    <xdr:sp macro="" textlink="">
      <xdr:nvSpPr>
        <xdr:cNvPr id="15" name="正方形/長方形 14">
          <a:extLst>
            <a:ext uri="{FF2B5EF4-FFF2-40B4-BE49-F238E27FC236}">
              <a16:creationId xmlns:a16="http://schemas.microsoft.com/office/drawing/2014/main" id="{435951FD-8EF6-F965-085D-6C5013D4554E}"/>
            </a:ext>
          </a:extLst>
        </xdr:cNvPr>
        <xdr:cNvSpPr/>
      </xdr:nvSpPr>
      <xdr:spPr>
        <a:xfrm>
          <a:off x="10669623" y="12873185"/>
          <a:ext cx="5810231" cy="2209772"/>
        </a:xfrm>
        <a:prstGeom prst="rect">
          <a:avLst/>
        </a:prstGeom>
        <a:solidFill>
          <a:schemeClr val="accent1">
            <a:lumMod val="20000"/>
            <a:lumOff val="80000"/>
          </a:schemeClr>
        </a:solidFill>
        <a:ln w="444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latinLnBrk="0" hangingPunct="1"/>
          <a:r>
            <a:rPr lang="ja-JP" altLang="en-US" sz="900" b="0" i="0">
              <a:solidFill>
                <a:schemeClr val="tx1"/>
              </a:solidFill>
              <a:effectLst/>
              <a:latin typeface="+mn-lt"/>
              <a:ea typeface="+mn-ea"/>
              <a:cs typeface="+mn-cs"/>
            </a:rPr>
            <a:t>「脅威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ブロック」の無償付与に関して</a:t>
          </a:r>
        </a:p>
        <a:p>
          <a:pPr rtl="0" eaLnBrk="1" latinLnBrk="0" hangingPunct="1"/>
          <a:r>
            <a:rPr lang="ja-JP" altLang="en-US" sz="900" b="0" i="0">
              <a:solidFill>
                <a:schemeClr val="tx1"/>
              </a:solidFill>
              <a:effectLst/>
              <a:latin typeface="+mn-lt"/>
              <a:ea typeface="+mn-ea"/>
              <a:cs typeface="+mn-cs"/>
            </a:rPr>
            <a:t>以下の場合、「脅威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ブロック」オプションを無償で利用することが可能です。</a:t>
          </a:r>
        </a:p>
        <a:p>
          <a:pPr rtl="0" eaLnBrk="1" latinLnBrk="0" hangingPunct="1"/>
          <a:r>
            <a:rPr lang="ja-JP" altLang="en-US" sz="900" b="1" i="0">
              <a:solidFill>
                <a:schemeClr val="tx1"/>
              </a:solidFill>
              <a:effectLst/>
              <a:latin typeface="+mn-lt"/>
              <a:ea typeface="+mn-ea"/>
              <a:cs typeface="+mn-cs"/>
            </a:rPr>
            <a:t>既に保有している、または新規に購入する「</a:t>
          </a:r>
          <a:r>
            <a:rPr lang="en-US" altLang="ja-JP" sz="900" b="1" i="0">
              <a:solidFill>
                <a:schemeClr val="tx1"/>
              </a:solidFill>
              <a:effectLst/>
              <a:latin typeface="+mn-lt"/>
              <a:ea typeface="+mn-ea"/>
              <a:cs typeface="+mn-cs"/>
            </a:rPr>
            <a:t>i-FILTER</a:t>
          </a:r>
          <a:r>
            <a:rPr lang="ja-JP" altLang="en-US" sz="900" b="1" i="0">
              <a:solidFill>
                <a:schemeClr val="tx1"/>
              </a:solidFill>
              <a:effectLst/>
              <a:latin typeface="+mn-lt"/>
              <a:ea typeface="+mn-ea"/>
              <a:cs typeface="+mn-cs"/>
            </a:rPr>
            <a:t>」「</a:t>
          </a:r>
          <a:r>
            <a:rPr lang="en-US" altLang="ja-JP" sz="900" b="1" i="0">
              <a:solidFill>
                <a:schemeClr val="tx1"/>
              </a:solidFill>
              <a:effectLst/>
              <a:latin typeface="+mn-lt"/>
              <a:ea typeface="+mn-ea"/>
              <a:cs typeface="+mn-cs"/>
            </a:rPr>
            <a:t>i-FILTER@Cloud</a:t>
          </a:r>
          <a:r>
            <a:rPr lang="ja-JP" altLang="en-US" sz="900" b="1" i="0">
              <a:solidFill>
                <a:schemeClr val="tx1"/>
              </a:solidFill>
              <a:effectLst/>
              <a:latin typeface="+mn-lt"/>
              <a:ea typeface="+mn-ea"/>
              <a:cs typeface="+mn-cs"/>
            </a:rPr>
            <a:t>」「</a:t>
          </a:r>
          <a:r>
            <a:rPr lang="en-US" altLang="ja-JP" sz="900" b="1" i="0">
              <a:solidFill>
                <a:schemeClr val="tx1"/>
              </a:solidFill>
              <a:effectLst/>
              <a:latin typeface="+mn-lt"/>
              <a:ea typeface="+mn-ea"/>
              <a:cs typeface="+mn-cs"/>
            </a:rPr>
            <a:t>Z-FILTER</a:t>
          </a:r>
          <a:r>
            <a:rPr lang="ja-JP" altLang="en-US" sz="900" b="1" i="0">
              <a:solidFill>
                <a:schemeClr val="tx1"/>
              </a:solidFill>
              <a:effectLst/>
              <a:latin typeface="+mn-lt"/>
              <a:ea typeface="+mn-ea"/>
              <a:cs typeface="+mn-cs"/>
            </a:rPr>
            <a:t>」のライセンス数が、</a:t>
          </a:r>
          <a:endParaRPr lang="en-US" altLang="ja-JP" sz="900" b="1" i="0">
            <a:solidFill>
              <a:schemeClr val="tx1"/>
            </a:solidFill>
            <a:effectLst/>
            <a:latin typeface="+mn-lt"/>
            <a:ea typeface="+mn-ea"/>
            <a:cs typeface="+mn-cs"/>
          </a:endParaRPr>
        </a:p>
        <a:p>
          <a:pPr rtl="0" eaLnBrk="1" latinLnBrk="0" hangingPunct="1"/>
          <a:r>
            <a:rPr lang="ja-JP" altLang="en-US" sz="900" b="1" i="0">
              <a:solidFill>
                <a:srgbClr val="FF0000"/>
              </a:solidFill>
              <a:effectLst/>
              <a:latin typeface="+mn-lt"/>
              <a:ea typeface="+mn-ea"/>
              <a:cs typeface="+mn-cs"/>
            </a:rPr>
            <a:t>利用する「</a:t>
          </a:r>
          <a:r>
            <a:rPr lang="en-US" altLang="ja-JP" sz="900" b="1" i="0">
              <a:solidFill>
                <a:srgbClr val="FF0000"/>
              </a:solidFill>
              <a:effectLst/>
              <a:latin typeface="+mn-lt"/>
              <a:ea typeface="+mn-ea"/>
              <a:cs typeface="+mn-cs"/>
            </a:rPr>
            <a:t>m-FILTER@Cloud</a:t>
          </a:r>
          <a:r>
            <a:rPr lang="ja-JP" altLang="en-US" sz="900" b="1" i="0">
              <a:solidFill>
                <a:srgbClr val="FF0000"/>
              </a:solidFill>
              <a:effectLst/>
              <a:latin typeface="+mn-lt"/>
              <a:ea typeface="+mn-ea"/>
              <a:cs typeface="+mn-cs"/>
            </a:rPr>
            <a:t>」のライセンス数の </a:t>
          </a:r>
          <a:r>
            <a:rPr lang="en-US" altLang="ja-JP" sz="900" b="1" i="0">
              <a:solidFill>
                <a:srgbClr val="FF0000"/>
              </a:solidFill>
              <a:effectLst/>
              <a:latin typeface="+mn-lt"/>
              <a:ea typeface="+mn-ea"/>
              <a:cs typeface="+mn-cs"/>
            </a:rPr>
            <a:t>90% </a:t>
          </a:r>
          <a:r>
            <a:rPr lang="ja-JP" altLang="en-US" sz="900" b="1" i="0">
              <a:solidFill>
                <a:srgbClr val="FF0000"/>
              </a:solidFill>
              <a:effectLst/>
              <a:latin typeface="+mn-lt"/>
              <a:ea typeface="+mn-ea"/>
              <a:cs typeface="+mn-cs"/>
            </a:rPr>
            <a:t>以上 </a:t>
          </a:r>
          <a:r>
            <a:rPr lang="ja-JP" altLang="en-US" sz="900" b="1" i="0">
              <a:solidFill>
                <a:schemeClr val="tx1"/>
              </a:solidFill>
              <a:effectLst/>
              <a:latin typeface="+mn-lt"/>
              <a:ea typeface="+mn-ea"/>
              <a:cs typeface="+mn-cs"/>
            </a:rPr>
            <a:t>である場合（小数点以下は切り上げ）</a:t>
          </a:r>
        </a:p>
        <a:p>
          <a:pPr rtl="0" eaLnBrk="1" latinLnBrk="0" hangingPunct="1"/>
          <a:endParaRPr lang="en-US" altLang="ja-JP" sz="900" b="0" i="0">
            <a:solidFill>
              <a:schemeClr val="tx1"/>
            </a:solidFill>
            <a:effectLst/>
            <a:latin typeface="+mn-lt"/>
            <a:ea typeface="+mn-ea"/>
            <a:cs typeface="+mn-cs"/>
          </a:endParaRPr>
        </a:p>
        <a:p>
          <a:pPr rtl="0" eaLnBrk="1" latinLnBrk="0" hangingPunct="1"/>
          <a:r>
            <a:rPr lang="ja-JP" altLang="en-US" sz="900" b="0" i="0">
              <a:solidFill>
                <a:schemeClr val="tx1"/>
              </a:solidFill>
              <a:effectLst/>
              <a:latin typeface="+mn-lt"/>
              <a:ea typeface="+mn-ea"/>
              <a:cs typeface="+mn-cs"/>
            </a:rPr>
            <a:t>なお、「</a:t>
          </a:r>
          <a:r>
            <a:rPr lang="en-US" altLang="ja-JP" sz="900" b="0" i="0">
              <a:solidFill>
                <a:schemeClr val="tx1"/>
              </a:solidFill>
              <a:effectLst/>
              <a:latin typeface="+mn-lt"/>
              <a:ea typeface="+mn-ea"/>
              <a:cs typeface="+mn-cs"/>
            </a:rPr>
            <a:t>i-FILTER@Cloud</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Z-FILTER</a:t>
          </a:r>
          <a:r>
            <a:rPr lang="ja-JP" altLang="en-US" sz="900" b="0" i="0">
              <a:solidFill>
                <a:schemeClr val="tx1"/>
              </a:solidFill>
              <a:effectLst/>
              <a:latin typeface="+mn-lt"/>
              <a:ea typeface="+mn-ea"/>
              <a:cs typeface="+mn-cs"/>
            </a:rPr>
            <a:t>」と「</a:t>
          </a:r>
          <a:r>
            <a:rPr lang="en-US" altLang="ja-JP" sz="900" b="0" i="0">
              <a:solidFill>
                <a:schemeClr val="tx1"/>
              </a:solidFill>
              <a:effectLst/>
              <a:latin typeface="+mn-lt"/>
              <a:ea typeface="+mn-ea"/>
              <a:cs typeface="+mn-cs"/>
            </a:rPr>
            <a:t>m-FILTER@Cloud</a:t>
          </a:r>
          <a:r>
            <a:rPr lang="ja-JP" altLang="en-US" sz="900" b="0" i="0">
              <a:solidFill>
                <a:schemeClr val="tx1"/>
              </a:solidFill>
              <a:effectLst/>
              <a:latin typeface="+mn-lt"/>
              <a:ea typeface="+mn-ea"/>
              <a:cs typeface="+mn-cs"/>
            </a:rPr>
            <a:t>」をご契約且つ同一環境でご利用の場合は製品間連携が可能です。製品間連携を利用する条件も上記と同様に「</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」のライセンス数が、利用する「</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」のライセンス数の</a:t>
          </a:r>
          <a:r>
            <a:rPr lang="en-US" altLang="ja-JP" sz="900" b="0" i="0">
              <a:solidFill>
                <a:schemeClr val="tx1"/>
              </a:solidFill>
              <a:effectLst/>
              <a:latin typeface="+mn-lt"/>
              <a:ea typeface="+mn-ea"/>
              <a:cs typeface="+mn-cs"/>
            </a:rPr>
            <a:t>90%</a:t>
          </a:r>
          <a:r>
            <a:rPr lang="ja-JP" altLang="en-US" sz="900" b="0" i="0">
              <a:solidFill>
                <a:schemeClr val="tx1"/>
              </a:solidFill>
              <a:effectLst/>
              <a:latin typeface="+mn-lt"/>
              <a:ea typeface="+mn-ea"/>
              <a:cs typeface="+mn-cs"/>
            </a:rPr>
            <a:t>以上である必要がございます。</a:t>
          </a:r>
        </a:p>
        <a:p>
          <a:pPr rtl="0" eaLnBrk="1" latinLnBrk="0" hangingPunct="1"/>
          <a:endParaRPr lang="ja-JP" altLang="en-US" sz="900" b="0" i="0">
            <a:solidFill>
              <a:schemeClr val="tx1"/>
            </a:solidFill>
            <a:effectLst/>
            <a:latin typeface="+mn-lt"/>
            <a:ea typeface="+mn-ea"/>
            <a:cs typeface="+mn-cs"/>
          </a:endParaRPr>
        </a:p>
        <a:p>
          <a:pPr rtl="0" eaLnBrk="1" latinLnBrk="0" hangingPunct="1"/>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i-FILTER@Cloud</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Z-FILTER</a:t>
          </a:r>
          <a:r>
            <a:rPr lang="ja-JP" altLang="en-US" sz="900" b="0" i="0">
              <a:solidFill>
                <a:schemeClr val="tx1"/>
              </a:solidFill>
              <a:effectLst/>
              <a:latin typeface="+mn-lt"/>
              <a:ea typeface="+mn-ea"/>
              <a:cs typeface="+mn-cs"/>
            </a:rPr>
            <a:t>」のライセンス追加や「</a:t>
          </a:r>
          <a:r>
            <a:rPr lang="en-US" altLang="ja-JP" sz="900" b="0" i="0">
              <a:solidFill>
                <a:schemeClr val="tx1"/>
              </a:solidFill>
              <a:effectLst/>
              <a:latin typeface="+mn-lt"/>
              <a:ea typeface="+mn-ea"/>
              <a:cs typeface="+mn-cs"/>
            </a:rPr>
            <a:t>m-FILTER@Cloud</a:t>
          </a:r>
          <a:r>
            <a:rPr lang="ja-JP" altLang="en-US" sz="900" b="0" i="0">
              <a:solidFill>
                <a:schemeClr val="tx1"/>
              </a:solidFill>
              <a:effectLst/>
              <a:latin typeface="+mn-lt"/>
              <a:ea typeface="+mn-ea"/>
              <a:cs typeface="+mn-cs"/>
            </a:rPr>
            <a:t>」の減数更新によって上記の条件に合致した場合、「脅威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ブロック」及び製品間連携を無償で利用可能となります。ご希望の場合は弊社担当までご連絡ください。</a:t>
          </a:r>
        </a:p>
      </xdr:txBody>
    </xdr:sp>
    <xdr:clientData/>
  </xdr:twoCellAnchor>
  <xdr:twoCellAnchor>
    <xdr:from>
      <xdr:col>117</xdr:col>
      <xdr:colOff>104774</xdr:colOff>
      <xdr:row>123</xdr:row>
      <xdr:rowOff>54667</xdr:rowOff>
    </xdr:from>
    <xdr:to>
      <xdr:col>120</xdr:col>
      <xdr:colOff>23812</xdr:colOff>
      <xdr:row>126</xdr:row>
      <xdr:rowOff>3796</xdr:rowOff>
    </xdr:to>
    <xdr:sp macro="" textlink="">
      <xdr:nvSpPr>
        <xdr:cNvPr id="21" name="フローチャート : 結合子 26">
          <a:extLst>
            <a:ext uri="{FF2B5EF4-FFF2-40B4-BE49-F238E27FC236}">
              <a16:creationId xmlns:a16="http://schemas.microsoft.com/office/drawing/2014/main" id="{F6C4D481-00BD-54DD-8E6C-3AB9D373F7F9}"/>
            </a:ext>
          </a:extLst>
        </xdr:cNvPr>
        <xdr:cNvSpPr/>
      </xdr:nvSpPr>
      <xdr:spPr>
        <a:xfrm>
          <a:off x="10456369" y="12437167"/>
          <a:ext cx="658046" cy="228310"/>
        </a:xfrm>
        <a:prstGeom prst="roundRect">
          <a:avLst/>
        </a:prstGeom>
        <a:solidFill>
          <a:schemeClr val="accent1">
            <a:lumMod val="20000"/>
            <a:lumOff val="8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a:t>
          </a:r>
          <a:r>
            <a:rPr kumimoji="1" lang="ja-JP" altLang="en-US" sz="900" b="1">
              <a:solidFill>
                <a:sysClr val="windowText" lastClr="000000"/>
              </a:solidFill>
              <a:latin typeface="+mn-ea"/>
              <a:ea typeface="+mn-ea"/>
            </a:rPr>
            <a:t>参考</a:t>
          </a:r>
          <a:r>
            <a:rPr kumimoji="1" lang="en-US" altLang="ja-JP" sz="900" b="1">
              <a:solidFill>
                <a:sysClr val="windowText" lastClr="000000"/>
              </a:solidFill>
              <a:latin typeface="+mn-ea"/>
              <a:ea typeface="+mn-ea"/>
            </a:rPr>
            <a:t>2</a:t>
          </a:r>
        </a:p>
      </xdr:txBody>
    </xdr:sp>
    <xdr:clientData/>
  </xdr:twoCellAnchor>
  <xdr:twoCellAnchor>
    <xdr:from>
      <xdr:col>35</xdr:col>
      <xdr:colOff>5475</xdr:colOff>
      <xdr:row>110</xdr:row>
      <xdr:rowOff>65689</xdr:rowOff>
    </xdr:from>
    <xdr:to>
      <xdr:col>37</xdr:col>
      <xdr:colOff>3484</xdr:colOff>
      <xdr:row>112</xdr:row>
      <xdr:rowOff>38319</xdr:rowOff>
    </xdr:to>
    <xdr:sp macro="" textlink="">
      <xdr:nvSpPr>
        <xdr:cNvPr id="30" name="楕円 29">
          <a:extLst>
            <a:ext uri="{FF2B5EF4-FFF2-40B4-BE49-F238E27FC236}">
              <a16:creationId xmlns:a16="http://schemas.microsoft.com/office/drawing/2014/main" id="{C3FFFFB0-FC3A-C30D-EA9C-5443D3E27371}"/>
            </a:ext>
          </a:extLst>
        </xdr:cNvPr>
        <xdr:cNvSpPr/>
      </xdr:nvSpPr>
      <xdr:spPr>
        <a:xfrm>
          <a:off x="3169527" y="11238405"/>
          <a:ext cx="173181" cy="158750"/>
        </a:xfrm>
        <a:prstGeom prst="ellipse">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5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※1</a:t>
          </a:r>
        </a:p>
      </xdr:txBody>
    </xdr:sp>
    <xdr:clientData/>
  </xdr:twoCellAnchor>
  <xdr:twoCellAnchor>
    <xdr:from>
      <xdr:col>104</xdr:col>
      <xdr:colOff>18542</xdr:colOff>
      <xdr:row>114</xdr:row>
      <xdr:rowOff>39901</xdr:rowOff>
    </xdr:from>
    <xdr:to>
      <xdr:col>106</xdr:col>
      <xdr:colOff>16550</xdr:colOff>
      <xdr:row>116</xdr:row>
      <xdr:rowOff>6180</xdr:rowOff>
    </xdr:to>
    <xdr:sp macro="" textlink="">
      <xdr:nvSpPr>
        <xdr:cNvPr id="33" name="楕円 32">
          <a:extLst>
            <a:ext uri="{FF2B5EF4-FFF2-40B4-BE49-F238E27FC236}">
              <a16:creationId xmlns:a16="http://schemas.microsoft.com/office/drawing/2014/main" id="{CD3DD4E4-426E-8E5E-1C85-61F7A7A05C9A}"/>
            </a:ext>
          </a:extLst>
        </xdr:cNvPr>
        <xdr:cNvSpPr/>
      </xdr:nvSpPr>
      <xdr:spPr>
        <a:xfrm>
          <a:off x="8652494" y="11531353"/>
          <a:ext cx="161879" cy="150633"/>
        </a:xfrm>
        <a:prstGeom prst="ellipse">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5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116</xdr:col>
      <xdr:colOff>209550</xdr:colOff>
      <xdr:row>88</xdr:row>
      <xdr:rowOff>85725</xdr:rowOff>
    </xdr:from>
    <xdr:to>
      <xdr:col>173</xdr:col>
      <xdr:colOff>24494</xdr:colOff>
      <xdr:row>113</xdr:row>
      <xdr:rowOff>0</xdr:rowOff>
    </xdr:to>
    <xdr:sp macro="" textlink="">
      <xdr:nvSpPr>
        <xdr:cNvPr id="66" name="正方形/長方形 65">
          <a:extLst>
            <a:ext uri="{FF2B5EF4-FFF2-40B4-BE49-F238E27FC236}">
              <a16:creationId xmlns:a16="http://schemas.microsoft.com/office/drawing/2014/main" id="{D36F85CA-A402-4843-885C-6DFD672C0A5E}"/>
            </a:ext>
          </a:extLst>
        </xdr:cNvPr>
        <xdr:cNvSpPr/>
      </xdr:nvSpPr>
      <xdr:spPr>
        <a:xfrm>
          <a:off x="11649075" y="8543925"/>
          <a:ext cx="6310994" cy="2143125"/>
        </a:xfrm>
        <a:prstGeom prst="rect">
          <a:avLst/>
        </a:prstGeom>
        <a:solidFill>
          <a:schemeClr val="accent4">
            <a:lumMod val="20000"/>
            <a:lumOff val="80000"/>
          </a:schemeClr>
        </a:solidFill>
        <a:ln w="444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本申請書のご提出が、</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アラート対象製品（</a:t>
          </a:r>
          <a:r>
            <a:rPr lang="en-US" altLang="ja-JP" sz="900">
              <a:solidFill>
                <a:sysClr val="windowText" lastClr="000000"/>
              </a:solidFill>
              <a:effectLst/>
              <a:latin typeface="+mn-lt"/>
              <a:ea typeface="+mn-ea"/>
              <a:cs typeface="+mn-cs"/>
            </a:rPr>
            <a:t>i-FILTER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Ver.10</a:t>
          </a:r>
          <a:r>
            <a:rPr lang="ja-JP" altLang="en-US" sz="900">
              <a:solidFill>
                <a:sysClr val="windowText" lastClr="000000"/>
              </a:solidFill>
              <a:effectLst/>
              <a:latin typeface="+mn-lt"/>
              <a:ea typeface="+mn-ea"/>
              <a:cs typeface="+mn-cs"/>
            </a:rPr>
            <a:t> または </a:t>
          </a:r>
          <a:r>
            <a:rPr lang="en-US" altLang="ja-JP" sz="900">
              <a:solidFill>
                <a:sysClr val="windowText" lastClr="000000"/>
              </a:solidFill>
              <a:effectLst/>
              <a:latin typeface="+mn-lt"/>
              <a:ea typeface="+mn-ea"/>
              <a:cs typeface="+mn-cs"/>
            </a:rPr>
            <a:t>m-FILTER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MailFilter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Ver.5</a:t>
          </a:r>
          <a:r>
            <a:rPr lang="ja-JP" altLang="en-US" sz="900">
              <a:solidFill>
                <a:sysClr val="windowText" lastClr="000000"/>
              </a:solidFill>
              <a:effectLst/>
              <a:latin typeface="+mn-lt"/>
              <a:ea typeface="+mn-ea"/>
              <a:cs typeface="+mn-cs"/>
            </a:rPr>
            <a:t> ）に</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関する申請の場合は、</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アラートの通知先申請についてご確認ください。</a:t>
          </a:r>
          <a:endParaRPr lang="en-US" altLang="ja-JP" sz="900">
            <a:solidFill>
              <a:sysClr val="windowText" lastClr="000000"/>
            </a:solidFill>
            <a:effectLst/>
            <a:latin typeface="+mn-lt"/>
            <a:ea typeface="+mn-ea"/>
            <a:cs typeface="+mn-cs"/>
          </a:endParaRPr>
        </a:p>
        <a:p>
          <a:endParaRPr lang="en-US" altLang="ja-JP" sz="900" b="1">
            <a:solidFill>
              <a:sysClr val="windowText" lastClr="000000"/>
            </a:solidFill>
            <a:effectLst/>
            <a:latin typeface="+mn-lt"/>
            <a:ea typeface="+mn-ea"/>
            <a:cs typeface="+mn-cs"/>
          </a:endParaRPr>
        </a:p>
        <a:p>
          <a:r>
            <a:rPr lang="en-US" altLang="ja-JP" sz="1000" b="1">
              <a:solidFill>
                <a:sysClr val="windowText" lastClr="000000"/>
              </a:solidFill>
              <a:effectLst/>
              <a:latin typeface="+mn-lt"/>
              <a:ea typeface="+mn-ea"/>
              <a:cs typeface="+mn-cs"/>
            </a:rPr>
            <a:t>【D</a:t>
          </a:r>
          <a:r>
            <a:rPr lang="ja-JP" altLang="en-US" sz="1000" b="1">
              <a:solidFill>
                <a:sysClr val="windowText" lastClr="000000"/>
              </a:solidFill>
              <a:effectLst/>
              <a:latin typeface="+mn-lt"/>
              <a:ea typeface="+mn-ea"/>
              <a:cs typeface="+mn-cs"/>
            </a:rPr>
            <a:t>アラート通知を希望する場合</a:t>
          </a:r>
          <a:r>
            <a:rPr lang="en-US" altLang="ja-JP" sz="1000" b="1">
              <a:solidFill>
                <a:sysClr val="windowText" lastClr="000000"/>
              </a:solidFill>
              <a:effectLst/>
              <a:latin typeface="+mn-lt"/>
              <a:ea typeface="+mn-ea"/>
              <a:cs typeface="+mn-cs"/>
            </a:rPr>
            <a:t>】</a:t>
          </a:r>
        </a:p>
        <a:p>
          <a:r>
            <a:rPr lang="ja-JP" altLang="en-US" sz="900" b="0">
              <a:solidFill>
                <a:sysClr val="windowText" lastClr="000000"/>
              </a:solidFill>
              <a:effectLst/>
              <a:latin typeface="+mn-lt"/>
              <a:ea typeface="+mn-ea"/>
              <a:cs typeface="+mn-cs"/>
            </a:rPr>
            <a:t>・</a:t>
          </a:r>
          <a:r>
            <a:rPr lang="ja-JP" altLang="en-US" sz="900" b="1">
              <a:solidFill>
                <a:srgbClr val="FF0000"/>
              </a:solidFill>
              <a:effectLst/>
              <a:latin typeface="+mn-lt"/>
              <a:ea typeface="+mn-ea"/>
              <a:cs typeface="+mn-cs"/>
            </a:rPr>
            <a:t>「はい</a:t>
          </a:r>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お客様アドレス」</a:t>
          </a:r>
          <a:r>
            <a:rPr lang="ja-JP" altLang="en-US" sz="900" b="0">
              <a:solidFill>
                <a:sysClr val="windowText" lastClr="000000"/>
              </a:solidFill>
              <a:effectLst/>
              <a:latin typeface="+mn-lt"/>
              <a:ea typeface="+mn-ea"/>
              <a:cs typeface="+mn-cs"/>
            </a:rPr>
            <a:t>を選択した場合</a:t>
          </a:r>
        </a:p>
        <a:p>
          <a:r>
            <a:rPr lang="ja-JP" altLang="en-US" sz="900" b="0">
              <a:solidFill>
                <a:sysClr val="windowText" lastClr="000000"/>
              </a:solidFill>
              <a:effectLst/>
              <a:latin typeface="+mn-lt"/>
              <a:ea typeface="+mn-ea"/>
              <a:cs typeface="+mn-cs"/>
            </a:rPr>
            <a:t>入力されたお客様の担当者アドレス宛に送付されます。</a:t>
          </a:r>
          <a:endParaRPr lang="en-US" altLang="ja-JP" sz="900" b="0">
            <a:solidFill>
              <a:sysClr val="windowText" lastClr="000000"/>
            </a:solidFill>
            <a:effectLst/>
            <a:latin typeface="+mn-lt"/>
            <a:ea typeface="+mn-ea"/>
            <a:cs typeface="+mn-cs"/>
          </a:endParaRPr>
        </a:p>
        <a:p>
          <a:endParaRPr lang="ja-JP" altLang="en-US" sz="900" b="0">
            <a:solidFill>
              <a:sysClr val="windowText" lastClr="000000"/>
            </a:solidFill>
            <a:effectLst/>
            <a:latin typeface="+mn-lt"/>
            <a:ea typeface="+mn-ea"/>
            <a:cs typeface="+mn-cs"/>
          </a:endParaRPr>
        </a:p>
        <a:p>
          <a:r>
            <a:rPr lang="ja-JP" altLang="en-US" sz="900" b="0">
              <a:solidFill>
                <a:sysClr val="windowText" lastClr="000000"/>
              </a:solidFill>
              <a:effectLst/>
              <a:latin typeface="+mn-lt"/>
              <a:ea typeface="+mn-ea"/>
              <a:cs typeface="+mn-cs"/>
            </a:rPr>
            <a:t>・</a:t>
          </a:r>
          <a:r>
            <a:rPr lang="ja-JP" altLang="en-US" sz="900" b="1">
              <a:solidFill>
                <a:srgbClr val="FF0000"/>
              </a:solidFill>
              <a:effectLst/>
              <a:latin typeface="+mn-lt"/>
              <a:ea typeface="+mn-ea"/>
              <a:cs typeface="+mn-cs"/>
            </a:rPr>
            <a:t>「はい</a:t>
          </a:r>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通知先記入」</a:t>
          </a:r>
          <a:r>
            <a:rPr lang="ja-JP" altLang="en-US" sz="900" b="0">
              <a:solidFill>
                <a:sysClr val="windowText" lastClr="000000"/>
              </a:solidFill>
              <a:effectLst/>
              <a:latin typeface="+mn-lt"/>
              <a:ea typeface="+mn-ea"/>
              <a:cs typeface="+mn-cs"/>
            </a:rPr>
            <a:t>を選択した場合</a:t>
          </a:r>
        </a:p>
        <a:p>
          <a:r>
            <a:rPr lang="ja-JP" altLang="en-US" sz="900" b="0">
              <a:solidFill>
                <a:sysClr val="windowText" lastClr="000000"/>
              </a:solidFill>
              <a:effectLst/>
              <a:latin typeface="+mn-lt"/>
              <a:ea typeface="+mn-ea"/>
              <a:cs typeface="+mn-cs"/>
            </a:rPr>
            <a:t>「</a:t>
          </a:r>
          <a:r>
            <a:rPr lang="en-US" altLang="ja-JP" sz="900" b="0">
              <a:solidFill>
                <a:sysClr val="windowText" lastClr="000000"/>
              </a:solidFill>
              <a:effectLst/>
              <a:latin typeface="+mn-lt"/>
              <a:ea typeface="+mn-ea"/>
              <a:cs typeface="+mn-cs"/>
            </a:rPr>
            <a:t>D</a:t>
          </a:r>
          <a:r>
            <a:rPr lang="ja-JP" altLang="en-US" sz="900" b="0">
              <a:solidFill>
                <a:sysClr val="windowText" lastClr="000000"/>
              </a:solidFill>
              <a:effectLst/>
              <a:latin typeface="+mn-lt"/>
              <a:ea typeface="+mn-ea"/>
              <a:cs typeface="+mn-cs"/>
            </a:rPr>
            <a:t>アラート通知先」に登録されたアドレス宛に通知されます。</a:t>
          </a:r>
        </a:p>
        <a:p>
          <a:endParaRPr lang="ja-JP" altLang="en-US" sz="900" b="0">
            <a:solidFill>
              <a:sysClr val="windowText" lastClr="000000"/>
            </a:solidFill>
            <a:effectLst/>
            <a:latin typeface="+mn-lt"/>
            <a:ea typeface="+mn-ea"/>
            <a:cs typeface="+mn-cs"/>
          </a:endParaRPr>
        </a:p>
        <a:p>
          <a:r>
            <a:rPr lang="en-US" altLang="ja-JP" sz="1000" b="1">
              <a:solidFill>
                <a:sysClr val="windowText" lastClr="000000"/>
              </a:solidFill>
              <a:effectLst/>
              <a:latin typeface="+mn-lt"/>
              <a:ea typeface="+mn-ea"/>
              <a:cs typeface="+mn-cs"/>
            </a:rPr>
            <a:t>【D</a:t>
          </a:r>
          <a:r>
            <a:rPr lang="ja-JP" altLang="en-US" sz="1000" b="1">
              <a:solidFill>
                <a:sysClr val="windowText" lastClr="000000"/>
              </a:solidFill>
              <a:effectLst/>
              <a:latin typeface="+mn-lt"/>
              <a:ea typeface="+mn-ea"/>
              <a:cs typeface="+mn-cs"/>
            </a:rPr>
            <a:t>アラート通知が不要な場合</a:t>
          </a:r>
          <a:r>
            <a:rPr lang="en-US" altLang="ja-JP" sz="1000" b="1">
              <a:solidFill>
                <a:sysClr val="windowText" lastClr="000000"/>
              </a:solidFill>
              <a:effectLst/>
              <a:latin typeface="+mn-lt"/>
              <a:ea typeface="+mn-ea"/>
              <a:cs typeface="+mn-cs"/>
            </a:rPr>
            <a:t>】</a:t>
          </a:r>
        </a:p>
        <a:p>
          <a:r>
            <a:rPr lang="ja-JP" altLang="en-US" sz="900" b="0">
              <a:solidFill>
                <a:sysClr val="windowText" lastClr="000000"/>
              </a:solidFill>
              <a:effectLst/>
              <a:latin typeface="+mn-lt"/>
              <a:ea typeface="+mn-ea"/>
              <a:cs typeface="+mn-cs"/>
            </a:rPr>
            <a:t>・「いいえ」を選択してください。</a:t>
          </a:r>
        </a:p>
      </xdr:txBody>
    </xdr:sp>
    <xdr:clientData/>
  </xdr:twoCellAnchor>
  <xdr:twoCellAnchor>
    <xdr:from>
      <xdr:col>116</xdr:col>
      <xdr:colOff>180975</xdr:colOff>
      <xdr:row>63</xdr:row>
      <xdr:rowOff>0</xdr:rowOff>
    </xdr:from>
    <xdr:to>
      <xdr:col>157</xdr:col>
      <xdr:colOff>68925</xdr:colOff>
      <xdr:row>75</xdr:row>
      <xdr:rowOff>61230</xdr:rowOff>
    </xdr:to>
    <xdr:sp macro="" textlink="">
      <xdr:nvSpPr>
        <xdr:cNvPr id="65" name="正方形/長方形 64">
          <a:extLst>
            <a:ext uri="{FF2B5EF4-FFF2-40B4-BE49-F238E27FC236}">
              <a16:creationId xmlns:a16="http://schemas.microsoft.com/office/drawing/2014/main" id="{B744C393-F3A4-4A69-821A-E12DD55A1F3B}"/>
            </a:ext>
          </a:extLst>
        </xdr:cNvPr>
        <xdr:cNvSpPr/>
      </xdr:nvSpPr>
      <xdr:spPr>
        <a:xfrm>
          <a:off x="11344275" y="6000750"/>
          <a:ext cx="4860000" cy="131853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「申請区分」をご選択ください。</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（選択肢と該当するケースの例）</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・新規</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購入製品の新規契約</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・更新 </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既存のご契約内容のまま更新</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・更新</a:t>
          </a:r>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減数</a:t>
          </a:r>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既存のご契約の更新と同時にライセンス数を減らす</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・追加 </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既存のご契約内容のまま、ライセンス数やオプションなどを追加</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・追加</a:t>
          </a:r>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更新同時</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既存のご契約の更新と同時にライセンス数やオプションなどを追加</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209550</xdr:colOff>
      <xdr:row>55</xdr:row>
      <xdr:rowOff>0</xdr:rowOff>
    </xdr:from>
    <xdr:to>
      <xdr:col>158</xdr:col>
      <xdr:colOff>5442</xdr:colOff>
      <xdr:row>58</xdr:row>
      <xdr:rowOff>61231</xdr:rowOff>
    </xdr:to>
    <xdr:sp macro="" textlink="">
      <xdr:nvSpPr>
        <xdr:cNvPr id="64" name="正方形/長方形 63">
          <a:extLst>
            <a:ext uri="{FF2B5EF4-FFF2-40B4-BE49-F238E27FC236}">
              <a16:creationId xmlns:a16="http://schemas.microsoft.com/office/drawing/2014/main" id="{ED568BCA-76CC-4842-A46F-E4CF33F1B21F}"/>
            </a:ext>
          </a:extLst>
        </xdr:cNvPr>
        <xdr:cNvSpPr/>
      </xdr:nvSpPr>
      <xdr:spPr>
        <a:xfrm>
          <a:off x="11372850" y="5238750"/>
          <a:ext cx="4863192" cy="346981"/>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B</a:t>
          </a:r>
          <a:r>
            <a:rPr lang="ja-JP" altLang="en-US" sz="900">
              <a:solidFill>
                <a:sysClr val="windowText" lastClr="000000"/>
              </a:solidFill>
              <a:effectLst/>
              <a:latin typeface="+mn-lt"/>
              <a:ea typeface="+mn-ea"/>
              <a:cs typeface="+mn-cs"/>
            </a:rPr>
            <a:t>表内、発注される製品の「製品区分」と「種別」（</a:t>
          </a:r>
          <a:r>
            <a:rPr lang="en-US" altLang="ja-JP" sz="900">
              <a:solidFill>
                <a:sysClr val="windowText" lastClr="000000"/>
              </a:solidFill>
              <a:effectLst/>
              <a:latin typeface="+mn-lt"/>
              <a:ea typeface="+mn-ea"/>
              <a:cs typeface="+mn-cs"/>
            </a:rPr>
            <a:t>i-FILTER</a:t>
          </a:r>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m-FILTER</a:t>
          </a:r>
          <a:r>
            <a:rPr lang="ja-JP" altLang="en-US" sz="900">
              <a:solidFill>
                <a:sysClr val="windowText" lastClr="000000"/>
              </a:solidFill>
              <a:effectLst/>
              <a:latin typeface="+mn-lt"/>
              <a:ea typeface="+mn-ea"/>
              <a:cs typeface="+mn-cs"/>
            </a:rPr>
            <a:t>のみ）をご選択ください。</a:t>
          </a:r>
          <a:endParaRPr lang="ja-JP" altLang="ja-JP" sz="900">
            <a:solidFill>
              <a:sysClr val="windowText" lastClr="000000"/>
            </a:solidFill>
            <a:effectLst/>
          </a:endParaRPr>
        </a:p>
      </xdr:txBody>
    </xdr:sp>
    <xdr:clientData/>
  </xdr:twoCellAnchor>
  <xdr:twoCellAnchor>
    <xdr:from>
      <xdr:col>1</xdr:col>
      <xdr:colOff>0</xdr:colOff>
      <xdr:row>6</xdr:row>
      <xdr:rowOff>0</xdr:rowOff>
    </xdr:from>
    <xdr:to>
      <xdr:col>88</xdr:col>
      <xdr:colOff>50562</xdr:colOff>
      <xdr:row>8</xdr:row>
      <xdr:rowOff>19707</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bwMode="auto">
        <a:xfrm>
          <a:off x="95250" y="571500"/>
          <a:ext cx="8346837" cy="210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0</xdr:colOff>
      <xdr:row>18</xdr:row>
      <xdr:rowOff>76200</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bwMode="auto">
        <a:xfrm>
          <a:off x="200025" y="762000"/>
          <a:ext cx="10448925"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78</xdr:col>
      <xdr:colOff>0</xdr:colOff>
      <xdr:row>14</xdr:row>
      <xdr:rowOff>0</xdr:rowOff>
    </xdr:from>
    <xdr:to>
      <xdr:col>110</xdr:col>
      <xdr:colOff>20081</xdr:colOff>
      <xdr:row>18</xdr:row>
      <xdr:rowOff>0</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bwMode="auto">
        <a:xfrm>
          <a:off x="7439025" y="1333500"/>
          <a:ext cx="306808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113</xdr:col>
      <xdr:colOff>57148</xdr:colOff>
      <xdr:row>45</xdr:row>
      <xdr:rowOff>9525</xdr:rowOff>
    </xdr:from>
    <xdr:to>
      <xdr:col>116</xdr:col>
      <xdr:colOff>28575</xdr:colOff>
      <xdr:row>47</xdr:row>
      <xdr:rowOff>71025</xdr:rowOff>
    </xdr:to>
    <xdr:sp macro="" textlink="">
      <xdr:nvSpPr>
        <xdr:cNvPr id="22" name="フローチャート : 結合子 10">
          <a:extLst>
            <a:ext uri="{FF2B5EF4-FFF2-40B4-BE49-F238E27FC236}">
              <a16:creationId xmlns:a16="http://schemas.microsoft.com/office/drawing/2014/main" id="{00000000-0008-0000-0100-000016000000}"/>
            </a:ext>
          </a:extLst>
        </xdr:cNvPr>
        <xdr:cNvSpPr/>
      </xdr:nvSpPr>
      <xdr:spPr>
        <a:xfrm>
          <a:off x="10934698" y="4295775"/>
          <a:ext cx="257177"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31</xdr:col>
      <xdr:colOff>66673</xdr:colOff>
      <xdr:row>86</xdr:row>
      <xdr:rowOff>57150</xdr:rowOff>
    </xdr:from>
    <xdr:to>
      <xdr:col>34</xdr:col>
      <xdr:colOff>32923</xdr:colOff>
      <xdr:row>89</xdr:row>
      <xdr:rowOff>23400</xdr:rowOff>
    </xdr:to>
    <xdr:sp macro="" textlink="">
      <xdr:nvSpPr>
        <xdr:cNvPr id="35" name="フローチャート : 結合子 10">
          <a:extLst>
            <a:ext uri="{FF2B5EF4-FFF2-40B4-BE49-F238E27FC236}">
              <a16:creationId xmlns:a16="http://schemas.microsoft.com/office/drawing/2014/main" id="{00000000-0008-0000-0100-000023000000}"/>
            </a:ext>
          </a:extLst>
        </xdr:cNvPr>
        <xdr:cNvSpPr/>
      </xdr:nvSpPr>
      <xdr:spPr>
        <a:xfrm>
          <a:off x="3133723" y="80486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17</xdr:col>
      <xdr:colOff>66675</xdr:colOff>
      <xdr:row>142</xdr:row>
      <xdr:rowOff>85725</xdr:rowOff>
    </xdr:from>
    <xdr:to>
      <xdr:col>20</xdr:col>
      <xdr:colOff>32925</xdr:colOff>
      <xdr:row>145</xdr:row>
      <xdr:rowOff>71025</xdr:rowOff>
    </xdr:to>
    <xdr:sp macro="" textlink="">
      <xdr:nvSpPr>
        <xdr:cNvPr id="37" name="フローチャート : 結合子 10">
          <a:extLst>
            <a:ext uri="{FF2B5EF4-FFF2-40B4-BE49-F238E27FC236}">
              <a16:creationId xmlns:a16="http://schemas.microsoft.com/office/drawing/2014/main" id="{00000000-0008-0000-0100-000025000000}"/>
            </a:ext>
          </a:extLst>
        </xdr:cNvPr>
        <xdr:cNvSpPr/>
      </xdr:nvSpPr>
      <xdr:spPr>
        <a:xfrm>
          <a:off x="1800225" y="125063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36</xdr:col>
      <xdr:colOff>29281</xdr:colOff>
      <xdr:row>148</xdr:row>
      <xdr:rowOff>80786</xdr:rowOff>
    </xdr:from>
    <xdr:to>
      <xdr:col>38</xdr:col>
      <xdr:colOff>87253</xdr:colOff>
      <xdr:row>151</xdr:row>
      <xdr:rowOff>1175</xdr:rowOff>
    </xdr:to>
    <xdr:sp macro="" textlink="">
      <xdr:nvSpPr>
        <xdr:cNvPr id="44" name="フローチャート : 結合子 10">
          <a:extLst>
            <a:ext uri="{FF2B5EF4-FFF2-40B4-BE49-F238E27FC236}">
              <a16:creationId xmlns:a16="http://schemas.microsoft.com/office/drawing/2014/main" id="{00000000-0008-0000-0100-00002C000000}"/>
            </a:ext>
          </a:extLst>
        </xdr:cNvPr>
        <xdr:cNvSpPr/>
      </xdr:nvSpPr>
      <xdr:spPr>
        <a:xfrm>
          <a:off x="3430059" y="14996230"/>
          <a:ext cx="241416" cy="259056"/>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36</xdr:col>
      <xdr:colOff>19050</xdr:colOff>
      <xdr:row>142</xdr:row>
      <xdr:rowOff>57150</xdr:rowOff>
    </xdr:from>
    <xdr:to>
      <xdr:col>38</xdr:col>
      <xdr:colOff>80550</xdr:colOff>
      <xdr:row>145</xdr:row>
      <xdr:rowOff>42450</xdr:rowOff>
    </xdr:to>
    <xdr:sp macro="" textlink="">
      <xdr:nvSpPr>
        <xdr:cNvPr id="45" name="フローチャート : 結合子 10">
          <a:extLst>
            <a:ext uri="{FF2B5EF4-FFF2-40B4-BE49-F238E27FC236}">
              <a16:creationId xmlns:a16="http://schemas.microsoft.com/office/drawing/2014/main" id="{00000000-0008-0000-0100-00002D000000}"/>
            </a:ext>
          </a:extLst>
        </xdr:cNvPr>
        <xdr:cNvSpPr/>
      </xdr:nvSpPr>
      <xdr:spPr>
        <a:xfrm>
          <a:off x="3562350" y="12477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44</xdr:col>
      <xdr:colOff>85725</xdr:colOff>
      <xdr:row>113</xdr:row>
      <xdr:rowOff>28575</xdr:rowOff>
    </xdr:from>
    <xdr:to>
      <xdr:col>47</xdr:col>
      <xdr:colOff>51975</xdr:colOff>
      <xdr:row>115</xdr:row>
      <xdr:rowOff>71025</xdr:rowOff>
    </xdr:to>
    <xdr:sp macro="" textlink="">
      <xdr:nvSpPr>
        <xdr:cNvPr id="46" name="フローチャート : 結合子 10">
          <a:extLst>
            <a:ext uri="{FF2B5EF4-FFF2-40B4-BE49-F238E27FC236}">
              <a16:creationId xmlns:a16="http://schemas.microsoft.com/office/drawing/2014/main" id="{00000000-0008-0000-0100-00002E000000}"/>
            </a:ext>
          </a:extLst>
        </xdr:cNvPr>
        <xdr:cNvSpPr/>
      </xdr:nvSpPr>
      <xdr:spPr>
        <a:xfrm>
          <a:off x="4286250" y="102298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36</xdr:col>
      <xdr:colOff>85725</xdr:colOff>
      <xdr:row>86</xdr:row>
      <xdr:rowOff>57150</xdr:rowOff>
    </xdr:from>
    <xdr:to>
      <xdr:col>39</xdr:col>
      <xdr:colOff>51975</xdr:colOff>
      <xdr:row>89</xdr:row>
      <xdr:rowOff>23400</xdr:rowOff>
    </xdr:to>
    <xdr:sp macro="" textlink="">
      <xdr:nvSpPr>
        <xdr:cNvPr id="47" name="フローチャート : 結合子 10">
          <a:extLst>
            <a:ext uri="{FF2B5EF4-FFF2-40B4-BE49-F238E27FC236}">
              <a16:creationId xmlns:a16="http://schemas.microsoft.com/office/drawing/2014/main" id="{00000000-0008-0000-0100-00002F000000}"/>
            </a:ext>
          </a:extLst>
        </xdr:cNvPr>
        <xdr:cNvSpPr/>
      </xdr:nvSpPr>
      <xdr:spPr>
        <a:xfrm>
          <a:off x="3629025" y="80486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52</xdr:col>
      <xdr:colOff>57150</xdr:colOff>
      <xdr:row>68</xdr:row>
      <xdr:rowOff>66675</xdr:rowOff>
    </xdr:from>
    <xdr:to>
      <xdr:col>55</xdr:col>
      <xdr:colOff>23400</xdr:colOff>
      <xdr:row>71</xdr:row>
      <xdr:rowOff>13875</xdr:rowOff>
    </xdr:to>
    <xdr:sp macro="" textlink="">
      <xdr:nvSpPr>
        <xdr:cNvPr id="48" name="フローチャート : 結合子 10">
          <a:extLst>
            <a:ext uri="{FF2B5EF4-FFF2-40B4-BE49-F238E27FC236}">
              <a16:creationId xmlns:a16="http://schemas.microsoft.com/office/drawing/2014/main" id="{00000000-0008-0000-0100-000030000000}"/>
            </a:ext>
          </a:extLst>
        </xdr:cNvPr>
        <xdr:cNvSpPr/>
      </xdr:nvSpPr>
      <xdr:spPr>
        <a:xfrm>
          <a:off x="5124450" y="65913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56</xdr:col>
      <xdr:colOff>66676</xdr:colOff>
      <xdr:row>22</xdr:row>
      <xdr:rowOff>38101</xdr:rowOff>
    </xdr:from>
    <xdr:to>
      <xdr:col>59</xdr:col>
      <xdr:colOff>32926</xdr:colOff>
      <xdr:row>25</xdr:row>
      <xdr:rowOff>4351</xdr:rowOff>
    </xdr:to>
    <xdr:sp macro="" textlink="">
      <xdr:nvSpPr>
        <xdr:cNvPr id="87" name="フローチャート : 結合子 5">
          <a:extLst>
            <a:ext uri="{FF2B5EF4-FFF2-40B4-BE49-F238E27FC236}">
              <a16:creationId xmlns:a16="http://schemas.microsoft.com/office/drawing/2014/main" id="{00000000-0008-0000-0100-000057000000}"/>
            </a:ext>
          </a:extLst>
        </xdr:cNvPr>
        <xdr:cNvSpPr/>
      </xdr:nvSpPr>
      <xdr:spPr>
        <a:xfrm>
          <a:off x="5410201" y="2133601"/>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57</xdr:col>
      <xdr:colOff>4762</xdr:colOff>
      <xdr:row>25</xdr:row>
      <xdr:rowOff>47624</xdr:rowOff>
    </xdr:from>
    <xdr:to>
      <xdr:col>59</xdr:col>
      <xdr:colOff>66262</xdr:colOff>
      <xdr:row>28</xdr:row>
      <xdr:rowOff>13874</xdr:rowOff>
    </xdr:to>
    <xdr:sp macro="" textlink="">
      <xdr:nvSpPr>
        <xdr:cNvPr id="89" name="フローチャート : 結合子 10">
          <a:extLst>
            <a:ext uri="{FF2B5EF4-FFF2-40B4-BE49-F238E27FC236}">
              <a16:creationId xmlns:a16="http://schemas.microsoft.com/office/drawing/2014/main" id="{00000000-0008-0000-0100-000059000000}"/>
            </a:ext>
          </a:extLst>
        </xdr:cNvPr>
        <xdr:cNvSpPr/>
      </xdr:nvSpPr>
      <xdr:spPr>
        <a:xfrm>
          <a:off x="5548312" y="2428874"/>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23812</xdr:colOff>
      <xdr:row>44</xdr:row>
      <xdr:rowOff>38099</xdr:rowOff>
    </xdr:from>
    <xdr:to>
      <xdr:col>59</xdr:col>
      <xdr:colOff>85312</xdr:colOff>
      <xdr:row>47</xdr:row>
      <xdr:rowOff>4349</xdr:rowOff>
    </xdr:to>
    <xdr:sp macro="" textlink="">
      <xdr:nvSpPr>
        <xdr:cNvPr id="91" name="フローチャート : 結合子 10">
          <a:extLst>
            <a:ext uri="{FF2B5EF4-FFF2-40B4-BE49-F238E27FC236}">
              <a16:creationId xmlns:a16="http://schemas.microsoft.com/office/drawing/2014/main" id="{00000000-0008-0000-0100-00005B000000}"/>
            </a:ext>
          </a:extLst>
        </xdr:cNvPr>
        <xdr:cNvSpPr/>
      </xdr:nvSpPr>
      <xdr:spPr>
        <a:xfrm>
          <a:off x="5567362" y="422909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113</xdr:col>
      <xdr:colOff>9524</xdr:colOff>
      <xdr:row>16</xdr:row>
      <xdr:rowOff>76200</xdr:rowOff>
    </xdr:from>
    <xdr:to>
      <xdr:col>115</xdr:col>
      <xdr:colOff>71024</xdr:colOff>
      <xdr:row>19</xdr:row>
      <xdr:rowOff>42450</xdr:rowOff>
    </xdr:to>
    <xdr:sp macro="" textlink="">
      <xdr:nvSpPr>
        <xdr:cNvPr id="93" name="フローチャート : 結合子 10">
          <a:extLst>
            <a:ext uri="{FF2B5EF4-FFF2-40B4-BE49-F238E27FC236}">
              <a16:creationId xmlns:a16="http://schemas.microsoft.com/office/drawing/2014/main" id="{00000000-0008-0000-0100-00005D000000}"/>
            </a:ext>
          </a:extLst>
        </xdr:cNvPr>
        <xdr:cNvSpPr/>
      </xdr:nvSpPr>
      <xdr:spPr>
        <a:xfrm>
          <a:off x="10782299" y="16002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56</xdr:col>
      <xdr:colOff>76200</xdr:colOff>
      <xdr:row>40</xdr:row>
      <xdr:rowOff>19049</xdr:rowOff>
    </xdr:from>
    <xdr:to>
      <xdr:col>59</xdr:col>
      <xdr:colOff>42450</xdr:colOff>
      <xdr:row>42</xdr:row>
      <xdr:rowOff>80549</xdr:rowOff>
    </xdr:to>
    <xdr:sp macro="" textlink="">
      <xdr:nvSpPr>
        <xdr:cNvPr id="101" name="フローチャート : 結合子 10">
          <a:extLst>
            <a:ext uri="{FF2B5EF4-FFF2-40B4-BE49-F238E27FC236}">
              <a16:creationId xmlns:a16="http://schemas.microsoft.com/office/drawing/2014/main" id="{00000000-0008-0000-0100-000065000000}"/>
            </a:ext>
          </a:extLst>
        </xdr:cNvPr>
        <xdr:cNvSpPr/>
      </xdr:nvSpPr>
      <xdr:spPr>
        <a:xfrm>
          <a:off x="5419725" y="382904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57149</xdr:colOff>
      <xdr:row>58</xdr:row>
      <xdr:rowOff>47625</xdr:rowOff>
    </xdr:from>
    <xdr:to>
      <xdr:col>59</xdr:col>
      <xdr:colOff>23399</xdr:colOff>
      <xdr:row>61</xdr:row>
      <xdr:rowOff>13875</xdr:rowOff>
    </xdr:to>
    <xdr:sp macro="" textlink="">
      <xdr:nvSpPr>
        <xdr:cNvPr id="103" name="フローチャート : 結合子 10">
          <a:extLst>
            <a:ext uri="{FF2B5EF4-FFF2-40B4-BE49-F238E27FC236}">
              <a16:creationId xmlns:a16="http://schemas.microsoft.com/office/drawing/2014/main" id="{00000000-0008-0000-0100-000067000000}"/>
            </a:ext>
          </a:extLst>
        </xdr:cNvPr>
        <xdr:cNvSpPr/>
      </xdr:nvSpPr>
      <xdr:spPr>
        <a:xfrm>
          <a:off x="5400674" y="55721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20</xdr:col>
      <xdr:colOff>38100</xdr:colOff>
      <xdr:row>113</xdr:row>
      <xdr:rowOff>9525</xdr:rowOff>
    </xdr:from>
    <xdr:to>
      <xdr:col>23</xdr:col>
      <xdr:colOff>4350</xdr:colOff>
      <xdr:row>115</xdr:row>
      <xdr:rowOff>51975</xdr:rowOff>
    </xdr:to>
    <xdr:sp macro="" textlink="">
      <xdr:nvSpPr>
        <xdr:cNvPr id="36" name="フローチャート : 結合子 10">
          <a:extLst>
            <a:ext uri="{FF2B5EF4-FFF2-40B4-BE49-F238E27FC236}">
              <a16:creationId xmlns:a16="http://schemas.microsoft.com/office/drawing/2014/main" id="{00000000-0008-0000-0100-000024000000}"/>
            </a:ext>
          </a:extLst>
        </xdr:cNvPr>
        <xdr:cNvSpPr/>
      </xdr:nvSpPr>
      <xdr:spPr>
        <a:xfrm>
          <a:off x="1952625" y="102108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31</xdr:col>
      <xdr:colOff>66673</xdr:colOff>
      <xdr:row>68</xdr:row>
      <xdr:rowOff>66675</xdr:rowOff>
    </xdr:from>
    <xdr:to>
      <xdr:col>34</xdr:col>
      <xdr:colOff>32923</xdr:colOff>
      <xdr:row>71</xdr:row>
      <xdr:rowOff>13875</xdr:rowOff>
    </xdr:to>
    <xdr:sp macro="" textlink="">
      <xdr:nvSpPr>
        <xdr:cNvPr id="30" name="フローチャート : 結合子 10">
          <a:extLst>
            <a:ext uri="{FF2B5EF4-FFF2-40B4-BE49-F238E27FC236}">
              <a16:creationId xmlns:a16="http://schemas.microsoft.com/office/drawing/2014/main" id="{00000000-0008-0000-0100-00001E000000}"/>
            </a:ext>
          </a:extLst>
        </xdr:cNvPr>
        <xdr:cNvSpPr/>
      </xdr:nvSpPr>
      <xdr:spPr>
        <a:xfrm>
          <a:off x="3133723" y="65913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204108</xdr:colOff>
      <xdr:row>39</xdr:row>
      <xdr:rowOff>47625</xdr:rowOff>
    </xdr:from>
    <xdr:to>
      <xdr:col>151</xdr:col>
      <xdr:colOff>51558</xdr:colOff>
      <xdr:row>52</xdr:row>
      <xdr:rowOff>38100</xdr:rowOff>
    </xdr:to>
    <xdr:sp macro="" textlink="">
      <xdr:nvSpPr>
        <xdr:cNvPr id="34" name="正方形/長方形 33">
          <a:extLst>
            <a:ext uri="{FF2B5EF4-FFF2-40B4-BE49-F238E27FC236}">
              <a16:creationId xmlns:a16="http://schemas.microsoft.com/office/drawing/2014/main" id="{85556C13-85B8-472F-981B-2DB4F608881D}"/>
            </a:ext>
          </a:extLst>
        </xdr:cNvPr>
        <xdr:cNvSpPr/>
      </xdr:nvSpPr>
      <xdr:spPr>
        <a:xfrm>
          <a:off x="11367408" y="3762375"/>
          <a:ext cx="4248000" cy="1228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p>
        <a:p>
          <a:r>
            <a:rPr lang="en-US" altLang="ja-JP" sz="900" b="1">
              <a:solidFill>
                <a:srgbClr val="FF0000"/>
              </a:solidFill>
              <a:effectLst/>
            </a:rPr>
            <a:t>※</a:t>
          </a:r>
          <a:r>
            <a:rPr lang="ja-JP" altLang="en-US" sz="900" b="1">
              <a:solidFill>
                <a:srgbClr val="FF0000"/>
              </a:solidFill>
              <a:effectLst/>
            </a:rPr>
            <a:t>以下はご購入製品により、入力箇所が異なります。</a:t>
          </a:r>
          <a:endParaRPr lang="ja-JP" altLang="ja-JP" sz="900" b="1">
            <a:solidFill>
              <a:srgbClr val="FF0000"/>
            </a:solidFill>
            <a:effectLst/>
          </a:endParaRPr>
        </a:p>
      </xdr:txBody>
    </xdr:sp>
    <xdr:clientData/>
  </xdr:twoCellAnchor>
  <xdr:twoCellAnchor>
    <xdr:from>
      <xdr:col>116</xdr:col>
      <xdr:colOff>114300</xdr:colOff>
      <xdr:row>37</xdr:row>
      <xdr:rowOff>47625</xdr:rowOff>
    </xdr:from>
    <xdr:to>
      <xdr:col>116</xdr:col>
      <xdr:colOff>366300</xdr:colOff>
      <xdr:row>40</xdr:row>
      <xdr:rowOff>13875</xdr:rowOff>
    </xdr:to>
    <xdr:sp macro="" textlink="">
      <xdr:nvSpPr>
        <xdr:cNvPr id="39" name="フローチャート : 結合子 26">
          <a:extLst>
            <a:ext uri="{FF2B5EF4-FFF2-40B4-BE49-F238E27FC236}">
              <a16:creationId xmlns:a16="http://schemas.microsoft.com/office/drawing/2014/main" id="{9A72214B-1DE2-4747-ADB1-356A2480DFE5}"/>
            </a:ext>
          </a:extLst>
        </xdr:cNvPr>
        <xdr:cNvSpPr/>
      </xdr:nvSpPr>
      <xdr:spPr>
        <a:xfrm>
          <a:off x="11277600" y="35718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116</xdr:col>
      <xdr:colOff>114300</xdr:colOff>
      <xdr:row>53</xdr:row>
      <xdr:rowOff>19050</xdr:rowOff>
    </xdr:from>
    <xdr:to>
      <xdr:col>116</xdr:col>
      <xdr:colOff>366300</xdr:colOff>
      <xdr:row>55</xdr:row>
      <xdr:rowOff>80550</xdr:rowOff>
    </xdr:to>
    <xdr:sp macro="" textlink="">
      <xdr:nvSpPr>
        <xdr:cNvPr id="40" name="フローチャート : 結合子 26">
          <a:extLst>
            <a:ext uri="{FF2B5EF4-FFF2-40B4-BE49-F238E27FC236}">
              <a16:creationId xmlns:a16="http://schemas.microsoft.com/office/drawing/2014/main" id="{0C6A7377-7BC2-4249-A92F-55BE9644B819}"/>
            </a:ext>
          </a:extLst>
        </xdr:cNvPr>
        <xdr:cNvSpPr/>
      </xdr:nvSpPr>
      <xdr:spPr>
        <a:xfrm>
          <a:off x="11277600" y="50673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114300</xdr:colOff>
      <xdr:row>61</xdr:row>
      <xdr:rowOff>76200</xdr:rowOff>
    </xdr:from>
    <xdr:to>
      <xdr:col>116</xdr:col>
      <xdr:colOff>366300</xdr:colOff>
      <xdr:row>63</xdr:row>
      <xdr:rowOff>137700</xdr:rowOff>
    </xdr:to>
    <xdr:sp macro="" textlink="">
      <xdr:nvSpPr>
        <xdr:cNvPr id="41" name="フローチャート : 結合子 10">
          <a:extLst>
            <a:ext uri="{FF2B5EF4-FFF2-40B4-BE49-F238E27FC236}">
              <a16:creationId xmlns:a16="http://schemas.microsoft.com/office/drawing/2014/main" id="{366C73E8-059E-48EA-9E19-75921746252D}"/>
            </a:ext>
          </a:extLst>
        </xdr:cNvPr>
        <xdr:cNvSpPr/>
      </xdr:nvSpPr>
      <xdr:spPr>
        <a:xfrm>
          <a:off x="11277600" y="58864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116</xdr:col>
      <xdr:colOff>204108</xdr:colOff>
      <xdr:row>82</xdr:row>
      <xdr:rowOff>62595</xdr:rowOff>
    </xdr:from>
    <xdr:to>
      <xdr:col>151</xdr:col>
      <xdr:colOff>51558</xdr:colOff>
      <xdr:row>84</xdr:row>
      <xdr:rowOff>0</xdr:rowOff>
    </xdr:to>
    <xdr:sp macro="" textlink="">
      <xdr:nvSpPr>
        <xdr:cNvPr id="42" name="正方形/長方形 41">
          <a:extLst>
            <a:ext uri="{FF2B5EF4-FFF2-40B4-BE49-F238E27FC236}">
              <a16:creationId xmlns:a16="http://schemas.microsoft.com/office/drawing/2014/main" id="{031EA016-806D-42C7-9327-9FF77455A333}"/>
            </a:ext>
          </a:extLst>
        </xdr:cNvPr>
        <xdr:cNvSpPr/>
      </xdr:nvSpPr>
      <xdr:spPr>
        <a:xfrm>
          <a:off x="11367408" y="7711170"/>
          <a:ext cx="4248000" cy="28030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引き続き、必要な申請内容（赤くなるセルの箇所）をご入力ください。</a:t>
          </a:r>
          <a:endParaRPr kumimoji="1" lang="en-US" altLang="ja-JP" sz="900">
            <a:solidFill>
              <a:sysClr val="windowText" lastClr="000000"/>
            </a:solidFill>
          </a:endParaRPr>
        </a:p>
      </xdr:txBody>
    </xdr:sp>
    <xdr:clientData/>
  </xdr:twoCellAnchor>
  <xdr:twoCellAnchor>
    <xdr:from>
      <xdr:col>116</xdr:col>
      <xdr:colOff>114300</xdr:colOff>
      <xdr:row>80</xdr:row>
      <xdr:rowOff>42333</xdr:rowOff>
    </xdr:from>
    <xdr:to>
      <xdr:col>116</xdr:col>
      <xdr:colOff>328083</xdr:colOff>
      <xdr:row>82</xdr:row>
      <xdr:rowOff>137700</xdr:rowOff>
    </xdr:to>
    <xdr:sp macro="" textlink="">
      <xdr:nvSpPr>
        <xdr:cNvPr id="43" name="フローチャート : 結合子 26">
          <a:extLst>
            <a:ext uri="{FF2B5EF4-FFF2-40B4-BE49-F238E27FC236}">
              <a16:creationId xmlns:a16="http://schemas.microsoft.com/office/drawing/2014/main" id="{17D3C01A-0237-47E8-A780-4C4058F92633}"/>
            </a:ext>
          </a:extLst>
        </xdr:cNvPr>
        <xdr:cNvSpPr/>
      </xdr:nvSpPr>
      <xdr:spPr>
        <a:xfrm>
          <a:off x="11565467" y="7821083"/>
          <a:ext cx="213783" cy="2647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116</xdr:col>
      <xdr:colOff>114300</xdr:colOff>
      <xdr:row>87</xdr:row>
      <xdr:rowOff>38100</xdr:rowOff>
    </xdr:from>
    <xdr:to>
      <xdr:col>116</xdr:col>
      <xdr:colOff>366300</xdr:colOff>
      <xdr:row>89</xdr:row>
      <xdr:rowOff>80550</xdr:rowOff>
    </xdr:to>
    <xdr:sp macro="" textlink="">
      <xdr:nvSpPr>
        <xdr:cNvPr id="50" name="フローチャート : 結合子 26">
          <a:extLst>
            <a:ext uri="{FF2B5EF4-FFF2-40B4-BE49-F238E27FC236}">
              <a16:creationId xmlns:a16="http://schemas.microsoft.com/office/drawing/2014/main" id="{28BF8DE2-9E31-45F9-B6AB-69DD8E6C8A19}"/>
            </a:ext>
          </a:extLst>
        </xdr:cNvPr>
        <xdr:cNvSpPr/>
      </xdr:nvSpPr>
      <xdr:spPr>
        <a:xfrm>
          <a:off x="11277600" y="8105775"/>
          <a:ext cx="252000" cy="252000"/>
        </a:xfrm>
        <a:prstGeom prst="flowChartConnector">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116</xdr:col>
      <xdr:colOff>204108</xdr:colOff>
      <xdr:row>2</xdr:row>
      <xdr:rowOff>38102</xdr:rowOff>
    </xdr:from>
    <xdr:to>
      <xdr:col>151</xdr:col>
      <xdr:colOff>51558</xdr:colOff>
      <xdr:row>7</xdr:row>
      <xdr:rowOff>66676</xdr:rowOff>
    </xdr:to>
    <xdr:sp macro="" textlink="">
      <xdr:nvSpPr>
        <xdr:cNvPr id="52" name="正方形/長方形 51">
          <a:extLst>
            <a:ext uri="{FF2B5EF4-FFF2-40B4-BE49-F238E27FC236}">
              <a16:creationId xmlns:a16="http://schemas.microsoft.com/office/drawing/2014/main" id="{6BAC8CCA-B8C7-4D16-8012-854B81D0117E}"/>
            </a:ext>
          </a:extLst>
        </xdr:cNvPr>
        <xdr:cNvSpPr/>
      </xdr:nvSpPr>
      <xdr:spPr>
        <a:xfrm>
          <a:off x="11367408" y="228602"/>
          <a:ext cx="4248000" cy="5048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a:t>
          </a:r>
          <a:endParaRPr kumimoji="1" lang="en-US" altLang="ja-JP" sz="900">
            <a:solidFill>
              <a:sysClr val="windowText" lastClr="000000"/>
            </a:solidFill>
          </a:endParaRPr>
        </a:p>
        <a:p>
          <a:pPr algn="l"/>
          <a:r>
            <a:rPr kumimoji="1" lang="ja-JP" altLang="en-US" sz="900">
              <a:solidFill>
                <a:sysClr val="windowText" lastClr="000000"/>
              </a:solidFill>
            </a:rPr>
            <a:t>必ずご記入ください。</a:t>
          </a:r>
        </a:p>
      </xdr:txBody>
    </xdr:sp>
    <xdr:clientData/>
  </xdr:twoCellAnchor>
  <xdr:twoCellAnchor>
    <xdr:from>
      <xdr:col>116</xdr:col>
      <xdr:colOff>114300</xdr:colOff>
      <xdr:row>1</xdr:row>
      <xdr:rowOff>9525</xdr:rowOff>
    </xdr:from>
    <xdr:to>
      <xdr:col>116</xdr:col>
      <xdr:colOff>366300</xdr:colOff>
      <xdr:row>3</xdr:row>
      <xdr:rowOff>71025</xdr:rowOff>
    </xdr:to>
    <xdr:sp macro="" textlink="">
      <xdr:nvSpPr>
        <xdr:cNvPr id="54" name="フローチャート : 結合子 24">
          <a:extLst>
            <a:ext uri="{FF2B5EF4-FFF2-40B4-BE49-F238E27FC236}">
              <a16:creationId xmlns:a16="http://schemas.microsoft.com/office/drawing/2014/main" id="{D29DBA98-F7E4-4C52-B5F8-74359F4904B1}"/>
            </a:ext>
          </a:extLst>
        </xdr:cNvPr>
        <xdr:cNvSpPr/>
      </xdr:nvSpPr>
      <xdr:spPr>
        <a:xfrm>
          <a:off x="11277600" y="1047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116</xdr:col>
      <xdr:colOff>204108</xdr:colOff>
      <xdr:row>9</xdr:row>
      <xdr:rowOff>81644</xdr:rowOff>
    </xdr:from>
    <xdr:to>
      <xdr:col>151</xdr:col>
      <xdr:colOff>51558</xdr:colOff>
      <xdr:row>13</xdr:row>
      <xdr:rowOff>38100</xdr:rowOff>
    </xdr:to>
    <xdr:sp macro="" textlink="">
      <xdr:nvSpPr>
        <xdr:cNvPr id="56" name="正方形/長方形 55">
          <a:extLst>
            <a:ext uri="{FF2B5EF4-FFF2-40B4-BE49-F238E27FC236}">
              <a16:creationId xmlns:a16="http://schemas.microsoft.com/office/drawing/2014/main" id="{79789A82-2C16-49EE-920C-335E5CE6D446}"/>
            </a:ext>
          </a:extLst>
        </xdr:cNvPr>
        <xdr:cNvSpPr/>
      </xdr:nvSpPr>
      <xdr:spPr>
        <a:xfrm>
          <a:off x="11367408" y="938894"/>
          <a:ext cx="4248000"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116</xdr:col>
      <xdr:colOff>114300</xdr:colOff>
      <xdr:row>8</xdr:row>
      <xdr:rowOff>19050</xdr:rowOff>
    </xdr:from>
    <xdr:to>
      <xdr:col>116</xdr:col>
      <xdr:colOff>366300</xdr:colOff>
      <xdr:row>10</xdr:row>
      <xdr:rowOff>80550</xdr:rowOff>
    </xdr:to>
    <xdr:sp macro="" textlink="">
      <xdr:nvSpPr>
        <xdr:cNvPr id="57" name="フローチャート : 結合子 26">
          <a:extLst>
            <a:ext uri="{FF2B5EF4-FFF2-40B4-BE49-F238E27FC236}">
              <a16:creationId xmlns:a16="http://schemas.microsoft.com/office/drawing/2014/main" id="{7CF11F87-D2F9-4F44-A557-8F8EB8972BAF}"/>
            </a:ext>
          </a:extLst>
        </xdr:cNvPr>
        <xdr:cNvSpPr/>
      </xdr:nvSpPr>
      <xdr:spPr>
        <a:xfrm>
          <a:off x="11277600" y="7810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116</xdr:col>
      <xdr:colOff>204108</xdr:colOff>
      <xdr:row>15</xdr:row>
      <xdr:rowOff>72118</xdr:rowOff>
    </xdr:from>
    <xdr:to>
      <xdr:col>151</xdr:col>
      <xdr:colOff>51558</xdr:colOff>
      <xdr:row>19</xdr:row>
      <xdr:rowOff>47625</xdr:rowOff>
    </xdr:to>
    <xdr:sp macro="" textlink="">
      <xdr:nvSpPr>
        <xdr:cNvPr id="58" name="正方形/長方形 57">
          <a:extLst>
            <a:ext uri="{FF2B5EF4-FFF2-40B4-BE49-F238E27FC236}">
              <a16:creationId xmlns:a16="http://schemas.microsoft.com/office/drawing/2014/main" id="{7769BAA1-B9BE-4833-A36E-5BF1BAA5474E}"/>
            </a:ext>
          </a:extLst>
        </xdr:cNvPr>
        <xdr:cNvSpPr/>
      </xdr:nvSpPr>
      <xdr:spPr>
        <a:xfrm>
          <a:off x="11367408" y="1500868"/>
          <a:ext cx="4248000"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116</xdr:col>
      <xdr:colOff>114300</xdr:colOff>
      <xdr:row>13</xdr:row>
      <xdr:rowOff>85725</xdr:rowOff>
    </xdr:from>
    <xdr:to>
      <xdr:col>116</xdr:col>
      <xdr:colOff>366300</xdr:colOff>
      <xdr:row>16</xdr:row>
      <xdr:rowOff>51975</xdr:rowOff>
    </xdr:to>
    <xdr:sp macro="" textlink="">
      <xdr:nvSpPr>
        <xdr:cNvPr id="59" name="フローチャート : 結合子 26">
          <a:extLst>
            <a:ext uri="{FF2B5EF4-FFF2-40B4-BE49-F238E27FC236}">
              <a16:creationId xmlns:a16="http://schemas.microsoft.com/office/drawing/2014/main" id="{64F1A15F-00E0-46AD-B407-25AFD9E9C579}"/>
            </a:ext>
          </a:extLst>
        </xdr:cNvPr>
        <xdr:cNvSpPr/>
      </xdr:nvSpPr>
      <xdr:spPr>
        <a:xfrm>
          <a:off x="11277600" y="13239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116</xdr:col>
      <xdr:colOff>204108</xdr:colOff>
      <xdr:row>21</xdr:row>
      <xdr:rowOff>43543</xdr:rowOff>
    </xdr:from>
    <xdr:to>
      <xdr:col>151</xdr:col>
      <xdr:colOff>51558</xdr:colOff>
      <xdr:row>26</xdr:row>
      <xdr:rowOff>38100</xdr:rowOff>
    </xdr:to>
    <xdr:sp macro="" textlink="">
      <xdr:nvSpPr>
        <xdr:cNvPr id="60" name="正方形/長方形 59">
          <a:extLst>
            <a:ext uri="{FF2B5EF4-FFF2-40B4-BE49-F238E27FC236}">
              <a16:creationId xmlns:a16="http://schemas.microsoft.com/office/drawing/2014/main" id="{345B60D1-9D43-4D5C-B767-46DB740F3E2D}"/>
            </a:ext>
          </a:extLst>
        </xdr:cNvPr>
        <xdr:cNvSpPr/>
      </xdr:nvSpPr>
      <xdr:spPr>
        <a:xfrm>
          <a:off x="11367408" y="2043793"/>
          <a:ext cx="4248000"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en-US" sz="900">
              <a:solidFill>
                <a:sysClr val="windowText" lastClr="000000"/>
              </a:solidFill>
              <a:effectLst/>
              <a:latin typeface="+mn-lt"/>
              <a:ea typeface="+mn-ea"/>
              <a:cs typeface="+mn-cs"/>
            </a:rPr>
            <a:t>入力された担当者アドレスへ更新案内や各種情報のご案内が行われます。</a:t>
          </a:r>
        </a:p>
        <a:p>
          <a:r>
            <a:rPr kumimoji="1" lang="ja-JP" altLang="en-US" sz="900">
              <a:solidFill>
                <a:sysClr val="windowText" lastClr="000000"/>
              </a:solidFill>
              <a:effectLst/>
              <a:latin typeface="+mn-lt"/>
              <a:ea typeface="+mn-ea"/>
              <a:cs typeface="+mn-cs"/>
            </a:rPr>
            <a:t>ご案内を望まない場合は</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をご選択下さい。</a:t>
          </a:r>
        </a:p>
      </xdr:txBody>
    </xdr:sp>
    <xdr:clientData/>
  </xdr:twoCellAnchor>
  <xdr:twoCellAnchor>
    <xdr:from>
      <xdr:col>116</xdr:col>
      <xdr:colOff>114300</xdr:colOff>
      <xdr:row>19</xdr:row>
      <xdr:rowOff>57150</xdr:rowOff>
    </xdr:from>
    <xdr:to>
      <xdr:col>116</xdr:col>
      <xdr:colOff>366300</xdr:colOff>
      <xdr:row>22</xdr:row>
      <xdr:rowOff>23400</xdr:rowOff>
    </xdr:to>
    <xdr:sp macro="" textlink="">
      <xdr:nvSpPr>
        <xdr:cNvPr id="61" name="フローチャート : 結合子 26">
          <a:extLst>
            <a:ext uri="{FF2B5EF4-FFF2-40B4-BE49-F238E27FC236}">
              <a16:creationId xmlns:a16="http://schemas.microsoft.com/office/drawing/2014/main" id="{A5F9FFFE-A9BA-4F0A-92EB-C8682F2A396C}"/>
            </a:ext>
          </a:extLst>
        </xdr:cNvPr>
        <xdr:cNvSpPr/>
      </xdr:nvSpPr>
      <xdr:spPr>
        <a:xfrm>
          <a:off x="11277600" y="18669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204108</xdr:colOff>
      <xdr:row>28</xdr:row>
      <xdr:rowOff>53068</xdr:rowOff>
    </xdr:from>
    <xdr:to>
      <xdr:col>151</xdr:col>
      <xdr:colOff>51558</xdr:colOff>
      <xdr:row>36</xdr:row>
      <xdr:rowOff>85725</xdr:rowOff>
    </xdr:to>
    <xdr:sp macro="" textlink="">
      <xdr:nvSpPr>
        <xdr:cNvPr id="62" name="正方形/長方形 61">
          <a:extLst>
            <a:ext uri="{FF2B5EF4-FFF2-40B4-BE49-F238E27FC236}">
              <a16:creationId xmlns:a16="http://schemas.microsoft.com/office/drawing/2014/main" id="{3B3B48E0-584D-46C2-B0C6-6FB642E39220}"/>
            </a:ext>
          </a:extLst>
        </xdr:cNvPr>
        <xdr:cNvSpPr/>
      </xdr:nvSpPr>
      <xdr:spPr>
        <a:xfrm>
          <a:off x="11367408" y="2720068"/>
          <a:ext cx="4248000"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116</xdr:col>
      <xdr:colOff>114300</xdr:colOff>
      <xdr:row>26</xdr:row>
      <xdr:rowOff>66675</xdr:rowOff>
    </xdr:from>
    <xdr:to>
      <xdr:col>116</xdr:col>
      <xdr:colOff>366300</xdr:colOff>
      <xdr:row>29</xdr:row>
      <xdr:rowOff>32925</xdr:rowOff>
    </xdr:to>
    <xdr:sp macro="" textlink="">
      <xdr:nvSpPr>
        <xdr:cNvPr id="63" name="フローチャート : 結合子 26">
          <a:extLst>
            <a:ext uri="{FF2B5EF4-FFF2-40B4-BE49-F238E27FC236}">
              <a16:creationId xmlns:a16="http://schemas.microsoft.com/office/drawing/2014/main" id="{A96F2DBD-3A01-4D99-9AAC-7E477F83CAC8}"/>
            </a:ext>
          </a:extLst>
        </xdr:cNvPr>
        <xdr:cNvSpPr/>
      </xdr:nvSpPr>
      <xdr:spPr>
        <a:xfrm>
          <a:off x="11277600" y="25431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17</xdr:col>
      <xdr:colOff>76200</xdr:colOff>
      <xdr:row>148</xdr:row>
      <xdr:rowOff>76200</xdr:rowOff>
    </xdr:from>
    <xdr:to>
      <xdr:col>20</xdr:col>
      <xdr:colOff>45625</xdr:colOff>
      <xdr:row>150</xdr:row>
      <xdr:rowOff>140875</xdr:rowOff>
    </xdr:to>
    <xdr:sp macro="" textlink="">
      <xdr:nvSpPr>
        <xdr:cNvPr id="51" name="フローチャート : 結合子 10">
          <a:extLst>
            <a:ext uri="{FF2B5EF4-FFF2-40B4-BE49-F238E27FC236}">
              <a16:creationId xmlns:a16="http://schemas.microsoft.com/office/drawing/2014/main" id="{9270B203-761C-4171-86D3-66E37ACF6B24}"/>
            </a:ext>
          </a:extLst>
        </xdr:cNvPr>
        <xdr:cNvSpPr/>
      </xdr:nvSpPr>
      <xdr:spPr>
        <a:xfrm>
          <a:off x="1621367" y="14988117"/>
          <a:ext cx="223425" cy="255175"/>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0</xdr:col>
      <xdr:colOff>57150</xdr:colOff>
      <xdr:row>98</xdr:row>
      <xdr:rowOff>28575</xdr:rowOff>
    </xdr:from>
    <xdr:to>
      <xdr:col>1</xdr:col>
      <xdr:colOff>45360</xdr:colOff>
      <xdr:row>99</xdr:row>
      <xdr:rowOff>93961</xdr:rowOff>
    </xdr:to>
    <xdr:sp macro="" textlink="">
      <xdr:nvSpPr>
        <xdr:cNvPr id="2" name="楕円 1">
          <a:extLst>
            <a:ext uri="{FF2B5EF4-FFF2-40B4-BE49-F238E27FC236}">
              <a16:creationId xmlns:a16="http://schemas.microsoft.com/office/drawing/2014/main" id="{DC66FAD6-21EA-431F-BB1F-302E066994E1}"/>
            </a:ext>
          </a:extLst>
        </xdr:cNvPr>
        <xdr:cNvSpPr/>
      </xdr:nvSpPr>
      <xdr:spPr>
        <a:xfrm>
          <a:off x="57150" y="10010775"/>
          <a:ext cx="169185" cy="160636"/>
        </a:xfrm>
        <a:prstGeom prst="ellipse">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7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xdr:txBody>
    </xdr:sp>
    <xdr:clientData/>
  </xdr:twoCellAnchor>
  <xdr:twoCellAnchor>
    <xdr:from>
      <xdr:col>116</xdr:col>
      <xdr:colOff>238125</xdr:colOff>
      <xdr:row>115</xdr:row>
      <xdr:rowOff>39379</xdr:rowOff>
    </xdr:from>
    <xdr:to>
      <xdr:col>173</xdr:col>
      <xdr:colOff>9506</xdr:colOff>
      <xdr:row>132</xdr:row>
      <xdr:rowOff>0</xdr:rowOff>
    </xdr:to>
    <xdr:sp macro="" textlink="">
      <xdr:nvSpPr>
        <xdr:cNvPr id="4" name="正方形/長方形 3">
          <a:extLst>
            <a:ext uri="{FF2B5EF4-FFF2-40B4-BE49-F238E27FC236}">
              <a16:creationId xmlns:a16="http://schemas.microsoft.com/office/drawing/2014/main" id="{37698A05-D65E-4697-9BD7-9DB5C9048723}"/>
            </a:ext>
          </a:extLst>
        </xdr:cNvPr>
        <xdr:cNvSpPr/>
      </xdr:nvSpPr>
      <xdr:spPr>
        <a:xfrm>
          <a:off x="10440458" y="11723379"/>
          <a:ext cx="5571048" cy="1643371"/>
        </a:xfrm>
        <a:prstGeom prst="rect">
          <a:avLst/>
        </a:prstGeom>
        <a:solidFill>
          <a:schemeClr val="accent1">
            <a:lumMod val="20000"/>
            <a:lumOff val="80000"/>
          </a:schemeClr>
        </a:solidFill>
        <a:ln w="444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latinLnBrk="0" hangingPunct="1"/>
          <a:r>
            <a:rPr lang="ja-JP" altLang="en-US" sz="900" b="0" i="0">
              <a:solidFill>
                <a:schemeClr val="tx1"/>
              </a:solidFill>
              <a:effectLst/>
              <a:latin typeface="+mn-lt"/>
              <a:ea typeface="+mn-ea"/>
              <a:cs typeface="+mn-cs"/>
            </a:rPr>
            <a:t>「脅威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ブロック」の無償付与に関して</a:t>
          </a:r>
        </a:p>
        <a:p>
          <a:pPr rtl="0" eaLnBrk="1" latinLnBrk="0" hangingPunct="1"/>
          <a:r>
            <a:rPr lang="ja-JP" altLang="en-US" sz="900" b="0" i="0">
              <a:solidFill>
                <a:schemeClr val="tx1"/>
              </a:solidFill>
              <a:effectLst/>
              <a:latin typeface="+mn-lt"/>
              <a:ea typeface="+mn-ea"/>
              <a:cs typeface="+mn-cs"/>
            </a:rPr>
            <a:t>以下の場合、「脅威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ブロック」オプションを無償で利用することが可能です。</a:t>
          </a:r>
          <a:endParaRPr lang="en-US" altLang="ja-JP" sz="900" b="0" i="0">
            <a:solidFill>
              <a:schemeClr val="tx1"/>
            </a:solidFill>
            <a:effectLst/>
            <a:latin typeface="+mn-lt"/>
            <a:ea typeface="+mn-ea"/>
            <a:cs typeface="+mn-cs"/>
          </a:endParaRPr>
        </a:p>
        <a:p>
          <a:pPr rtl="0" eaLnBrk="1" latinLnBrk="0" hangingPunct="1"/>
          <a:r>
            <a:rPr lang="ja-JP" altLang="en-US" sz="900" b="1" i="0">
              <a:solidFill>
                <a:sysClr val="windowText" lastClr="000000"/>
              </a:solidFill>
              <a:effectLst/>
              <a:latin typeface="+mn-lt"/>
              <a:ea typeface="+mn-ea"/>
              <a:cs typeface="+mn-cs"/>
            </a:rPr>
            <a:t>既に保有している、または新規に購入する「</a:t>
          </a:r>
          <a:r>
            <a:rPr lang="en-US" altLang="ja-JP" sz="900" b="1" i="0">
              <a:solidFill>
                <a:sysClr val="windowText" lastClr="000000"/>
              </a:solidFill>
              <a:effectLst/>
              <a:latin typeface="+mn-lt"/>
              <a:ea typeface="+mn-ea"/>
              <a:cs typeface="+mn-cs"/>
            </a:rPr>
            <a:t>i-FILTER</a:t>
          </a:r>
          <a:r>
            <a:rPr lang="ja-JP" altLang="en-US" sz="900" b="1" i="0">
              <a:solidFill>
                <a:sysClr val="windowText" lastClr="000000"/>
              </a:solidFill>
              <a:effectLst/>
              <a:latin typeface="+mn-lt"/>
              <a:ea typeface="+mn-ea"/>
              <a:cs typeface="+mn-cs"/>
            </a:rPr>
            <a:t>」「</a:t>
          </a:r>
          <a:r>
            <a:rPr lang="en-US" altLang="ja-JP" sz="900" b="1" i="0">
              <a:solidFill>
                <a:sysClr val="windowText" lastClr="000000"/>
              </a:solidFill>
              <a:effectLst/>
              <a:latin typeface="+mn-lt"/>
              <a:ea typeface="+mn-ea"/>
              <a:cs typeface="+mn-cs"/>
            </a:rPr>
            <a:t>i-FILTER@Cloud</a:t>
          </a:r>
          <a:r>
            <a:rPr lang="ja-JP" altLang="en-US" sz="900" b="1" i="0">
              <a:solidFill>
                <a:sysClr val="windowText" lastClr="000000"/>
              </a:solidFill>
              <a:effectLst/>
              <a:latin typeface="+mn-lt"/>
              <a:ea typeface="+mn-ea"/>
              <a:cs typeface="+mn-cs"/>
            </a:rPr>
            <a:t>」「</a:t>
          </a:r>
          <a:r>
            <a:rPr lang="en-US" altLang="ja-JP" sz="900" b="1" i="0">
              <a:solidFill>
                <a:sysClr val="windowText" lastClr="000000"/>
              </a:solidFill>
              <a:effectLst/>
              <a:latin typeface="+mn-lt"/>
              <a:ea typeface="+mn-ea"/>
              <a:cs typeface="+mn-cs"/>
            </a:rPr>
            <a:t>Z-FILTER</a:t>
          </a:r>
          <a:r>
            <a:rPr lang="ja-JP" altLang="en-US" sz="900" b="1" i="0">
              <a:solidFill>
                <a:sysClr val="windowText" lastClr="000000"/>
              </a:solidFill>
              <a:effectLst/>
              <a:latin typeface="+mn-lt"/>
              <a:ea typeface="+mn-ea"/>
              <a:cs typeface="+mn-cs"/>
            </a:rPr>
            <a:t>」のライセンス数が、</a:t>
          </a:r>
          <a:endParaRPr lang="en-US" altLang="ja-JP" sz="900" b="1" i="0">
            <a:solidFill>
              <a:sysClr val="windowText" lastClr="000000"/>
            </a:solidFill>
            <a:effectLst/>
            <a:latin typeface="+mn-lt"/>
            <a:ea typeface="+mn-ea"/>
            <a:cs typeface="+mn-cs"/>
          </a:endParaRPr>
        </a:p>
        <a:p>
          <a:pPr rtl="0" eaLnBrk="1" latinLnBrk="0" hangingPunct="1"/>
          <a:r>
            <a:rPr lang="ja-JP" altLang="en-US" sz="900" b="1" i="0">
              <a:solidFill>
                <a:srgbClr val="FF0000"/>
              </a:solidFill>
              <a:effectLst/>
              <a:latin typeface="+mn-lt"/>
              <a:ea typeface="+mn-ea"/>
              <a:cs typeface="+mn-cs"/>
            </a:rPr>
            <a:t>利用する「</a:t>
          </a:r>
          <a:r>
            <a:rPr lang="en-US" altLang="ja-JP" sz="900" b="1" i="0">
              <a:solidFill>
                <a:srgbClr val="FF0000"/>
              </a:solidFill>
              <a:effectLst/>
              <a:latin typeface="+mn-lt"/>
              <a:ea typeface="+mn-ea"/>
              <a:cs typeface="+mn-cs"/>
            </a:rPr>
            <a:t>m-FILTER</a:t>
          </a:r>
          <a:r>
            <a:rPr lang="ja-JP" altLang="en-US" sz="900" b="1" i="0">
              <a:solidFill>
                <a:srgbClr val="FF0000"/>
              </a:solidFill>
              <a:effectLst/>
              <a:latin typeface="+mn-lt"/>
              <a:ea typeface="+mn-ea"/>
              <a:cs typeface="+mn-cs"/>
            </a:rPr>
            <a:t>」のライセンス数の </a:t>
          </a:r>
          <a:r>
            <a:rPr lang="en-US" altLang="ja-JP" sz="900" b="1" i="0">
              <a:solidFill>
                <a:srgbClr val="FF0000"/>
              </a:solidFill>
              <a:effectLst/>
              <a:latin typeface="+mn-lt"/>
              <a:ea typeface="+mn-ea"/>
              <a:cs typeface="+mn-cs"/>
            </a:rPr>
            <a:t>90% </a:t>
          </a:r>
          <a:r>
            <a:rPr lang="ja-JP" altLang="en-US" sz="900" b="1" i="0">
              <a:solidFill>
                <a:srgbClr val="FF0000"/>
              </a:solidFill>
              <a:effectLst/>
              <a:latin typeface="+mn-lt"/>
              <a:ea typeface="+mn-ea"/>
              <a:cs typeface="+mn-cs"/>
            </a:rPr>
            <a:t>以上 </a:t>
          </a:r>
          <a:r>
            <a:rPr lang="ja-JP" altLang="en-US" sz="900" b="1" i="0">
              <a:solidFill>
                <a:sysClr val="windowText" lastClr="000000"/>
              </a:solidFill>
              <a:effectLst/>
              <a:latin typeface="+mn-lt"/>
              <a:ea typeface="+mn-ea"/>
              <a:cs typeface="+mn-cs"/>
            </a:rPr>
            <a:t>である場合（小数点以下は切り上げ）</a:t>
          </a:r>
          <a:endParaRPr lang="en-US" altLang="ja-JP" sz="900" b="1" i="0">
            <a:solidFill>
              <a:sysClr val="windowText" lastClr="000000"/>
            </a:solidFill>
            <a:effectLst/>
            <a:latin typeface="+mn-lt"/>
            <a:ea typeface="+mn-ea"/>
            <a:cs typeface="+mn-cs"/>
          </a:endParaRPr>
        </a:p>
        <a:p>
          <a:pPr rtl="0" eaLnBrk="1" latinLnBrk="0" hangingPunct="1"/>
          <a:endParaRPr lang="ja-JP" altLang="en-US" sz="900" b="1" i="0">
            <a:solidFill>
              <a:srgbClr val="FF0000"/>
            </a:solidFill>
            <a:effectLst/>
            <a:latin typeface="+mn-lt"/>
            <a:ea typeface="+mn-ea"/>
            <a:cs typeface="+mn-cs"/>
          </a:endParaRPr>
        </a:p>
        <a:p>
          <a:pPr rtl="0" eaLnBrk="1" latinLnBrk="0" hangingPunct="1"/>
          <a:r>
            <a:rPr lang="ja-JP" altLang="en-US" sz="900" b="0" i="0">
              <a:solidFill>
                <a:schemeClr val="tx1"/>
              </a:solidFill>
              <a:effectLst/>
              <a:latin typeface="+mn-lt"/>
              <a:ea typeface="+mn-ea"/>
              <a:cs typeface="+mn-cs"/>
            </a:rPr>
            <a:t>なお、「</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」と「</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」をご契約の場合は製品間連携が可能です。製品間連携を利用する条件も上記と同様に「</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」のライセンス数が、利用する「</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」のライセンス数の</a:t>
          </a:r>
          <a:r>
            <a:rPr lang="en-US" altLang="ja-JP" sz="900" b="0" i="0">
              <a:solidFill>
                <a:schemeClr val="tx1"/>
              </a:solidFill>
              <a:effectLst/>
              <a:latin typeface="+mn-lt"/>
              <a:ea typeface="+mn-ea"/>
              <a:cs typeface="+mn-cs"/>
            </a:rPr>
            <a:t>90%</a:t>
          </a:r>
          <a:r>
            <a:rPr lang="ja-JP" altLang="en-US" sz="900" b="0" i="0">
              <a:solidFill>
                <a:schemeClr val="tx1"/>
              </a:solidFill>
              <a:effectLst/>
              <a:latin typeface="+mn-lt"/>
              <a:ea typeface="+mn-ea"/>
              <a:cs typeface="+mn-cs"/>
            </a:rPr>
            <a:t>以上である必要がございます。</a:t>
          </a:r>
        </a:p>
        <a:p>
          <a:pPr rtl="0" eaLnBrk="1" latinLnBrk="0" hangingPunct="1"/>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i-FILTER@Cloud</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Z-FILTER</a:t>
          </a:r>
          <a:r>
            <a:rPr lang="ja-JP" altLang="en-US" sz="900" b="0" i="0">
              <a:solidFill>
                <a:schemeClr val="tx1"/>
              </a:solidFill>
              <a:effectLst/>
              <a:latin typeface="+mn-lt"/>
              <a:ea typeface="+mn-ea"/>
              <a:cs typeface="+mn-cs"/>
            </a:rPr>
            <a:t>」のライセンス追加や「</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」の減数更新によって上記の条件に合致した場合、「脅威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ブロック」及び製品間連携を無償で利用可能となります。ご希望の場合は弊社担当までご連絡ください。</a:t>
          </a:r>
        </a:p>
      </xdr:txBody>
    </xdr:sp>
    <xdr:clientData/>
  </xdr:twoCellAnchor>
  <xdr:twoCellAnchor>
    <xdr:from>
      <xdr:col>116</xdr:col>
      <xdr:colOff>161925</xdr:colOff>
      <xdr:row>114</xdr:row>
      <xdr:rowOff>20329</xdr:rowOff>
    </xdr:from>
    <xdr:to>
      <xdr:col>116</xdr:col>
      <xdr:colOff>390525</xdr:colOff>
      <xdr:row>115</xdr:row>
      <xdr:rowOff>132061</xdr:rowOff>
    </xdr:to>
    <xdr:sp macro="" textlink="">
      <xdr:nvSpPr>
        <xdr:cNvPr id="3" name="楕円 2">
          <a:extLst>
            <a:ext uri="{FF2B5EF4-FFF2-40B4-BE49-F238E27FC236}">
              <a16:creationId xmlns:a16="http://schemas.microsoft.com/office/drawing/2014/main" id="{5885E1DC-A48B-B5C7-F64A-A6342FA0A1F1}"/>
            </a:ext>
          </a:extLst>
        </xdr:cNvPr>
        <xdr:cNvSpPr/>
      </xdr:nvSpPr>
      <xdr:spPr>
        <a:xfrm>
          <a:off x="10364258" y="11598496"/>
          <a:ext cx="228600" cy="217565"/>
        </a:xfrm>
        <a:prstGeom prst="ellipse">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xdr:txBody>
    </xdr:sp>
    <xdr:clientData/>
  </xdr:twoCellAnchor>
  <xdr:twoCellAnchor>
    <xdr:from>
      <xdr:col>0</xdr:col>
      <xdr:colOff>53975</xdr:colOff>
      <xdr:row>81</xdr:row>
      <xdr:rowOff>44450</xdr:rowOff>
    </xdr:from>
    <xdr:to>
      <xdr:col>2</xdr:col>
      <xdr:colOff>45625</xdr:colOff>
      <xdr:row>83</xdr:row>
      <xdr:rowOff>29750</xdr:rowOff>
    </xdr:to>
    <xdr:sp macro="" textlink="">
      <xdr:nvSpPr>
        <xdr:cNvPr id="6" name="フローチャート : 結合子 26">
          <a:extLst>
            <a:ext uri="{FF2B5EF4-FFF2-40B4-BE49-F238E27FC236}">
              <a16:creationId xmlns:a16="http://schemas.microsoft.com/office/drawing/2014/main" id="{8EC005BD-6F0F-EFB5-A913-E9F2835C9B47}"/>
            </a:ext>
          </a:extLst>
        </xdr:cNvPr>
        <xdr:cNvSpPr/>
      </xdr:nvSpPr>
      <xdr:spPr>
        <a:xfrm>
          <a:off x="53975" y="7902575"/>
          <a:ext cx="258350" cy="261525"/>
        </a:xfrm>
        <a:prstGeom prst="flowChartConnector">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6</xdr:row>
      <xdr:rowOff>0</xdr:rowOff>
    </xdr:from>
    <xdr:to>
      <xdr:col>88</xdr:col>
      <xdr:colOff>62468</xdr:colOff>
      <xdr:row>7</xdr:row>
      <xdr:rowOff>38757</xdr:rowOff>
    </xdr:to>
    <xdr:sp macro="" textlink="">
      <xdr:nvSpPr>
        <xdr:cNvPr id="2" name="テキスト ボックス 1">
          <a:extLst>
            <a:ext uri="{FF2B5EF4-FFF2-40B4-BE49-F238E27FC236}">
              <a16:creationId xmlns:a16="http://schemas.microsoft.com/office/drawing/2014/main" id="{B8424C74-9E72-409D-8CA1-B729C3247B23}"/>
            </a:ext>
          </a:extLst>
        </xdr:cNvPr>
        <xdr:cNvSpPr txBox="1"/>
      </xdr:nvSpPr>
      <xdr:spPr bwMode="auto">
        <a:xfrm>
          <a:off x="200025" y="571500"/>
          <a:ext cx="8349218" cy="134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9525</xdr:colOff>
      <xdr:row>18</xdr:row>
      <xdr:rowOff>0</xdr:rowOff>
    </xdr:to>
    <xdr:sp macro="" textlink="">
      <xdr:nvSpPr>
        <xdr:cNvPr id="3" name="テキスト ボックス 2">
          <a:extLst>
            <a:ext uri="{FF2B5EF4-FFF2-40B4-BE49-F238E27FC236}">
              <a16:creationId xmlns:a16="http://schemas.microsoft.com/office/drawing/2014/main" id="{32A75A52-87F4-4699-8271-BAA4856687CB}"/>
            </a:ext>
          </a:extLst>
        </xdr:cNvPr>
        <xdr:cNvSpPr txBox="1"/>
      </xdr:nvSpPr>
      <xdr:spPr bwMode="auto">
        <a:xfrm>
          <a:off x="200025" y="762000"/>
          <a:ext cx="1020127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78</xdr:col>
      <xdr:colOff>0</xdr:colOff>
      <xdr:row>14</xdr:row>
      <xdr:rowOff>9525</xdr:rowOff>
    </xdr:from>
    <xdr:to>
      <xdr:col>109</xdr:col>
      <xdr:colOff>24493</xdr:colOff>
      <xdr:row>17</xdr:row>
      <xdr:rowOff>33107</xdr:rowOff>
    </xdr:to>
    <xdr:sp macro="" textlink="">
      <xdr:nvSpPr>
        <xdr:cNvPr id="4" name="テキスト ボックス 3">
          <a:extLst>
            <a:ext uri="{FF2B5EF4-FFF2-40B4-BE49-F238E27FC236}">
              <a16:creationId xmlns:a16="http://schemas.microsoft.com/office/drawing/2014/main" id="{74D68E14-95CE-4FB8-B565-B41953D45392}"/>
            </a:ext>
          </a:extLst>
        </xdr:cNvPr>
        <xdr:cNvSpPr txBox="1"/>
      </xdr:nvSpPr>
      <xdr:spPr bwMode="auto">
        <a:xfrm>
          <a:off x="7534275" y="1343025"/>
          <a:ext cx="2977243" cy="309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56</xdr:col>
      <xdr:colOff>47627</xdr:colOff>
      <xdr:row>22</xdr:row>
      <xdr:rowOff>28575</xdr:rowOff>
    </xdr:from>
    <xdr:to>
      <xdr:col>59</xdr:col>
      <xdr:colOff>13877</xdr:colOff>
      <xdr:row>24</xdr:row>
      <xdr:rowOff>90075</xdr:rowOff>
    </xdr:to>
    <xdr:sp macro="" textlink="">
      <xdr:nvSpPr>
        <xdr:cNvPr id="5" name="フローチャート : 結合子 5">
          <a:extLst>
            <a:ext uri="{FF2B5EF4-FFF2-40B4-BE49-F238E27FC236}">
              <a16:creationId xmlns:a16="http://schemas.microsoft.com/office/drawing/2014/main" id="{2B60F1CF-701A-48E8-8BEA-676D6B28CA6C}"/>
            </a:ext>
          </a:extLst>
        </xdr:cNvPr>
        <xdr:cNvSpPr/>
      </xdr:nvSpPr>
      <xdr:spPr>
        <a:xfrm>
          <a:off x="5486402" y="21240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47626</xdr:colOff>
      <xdr:row>26</xdr:row>
      <xdr:rowOff>66673</xdr:rowOff>
    </xdr:from>
    <xdr:to>
      <xdr:col>59</xdr:col>
      <xdr:colOff>13876</xdr:colOff>
      <xdr:row>29</xdr:row>
      <xdr:rowOff>32923</xdr:rowOff>
    </xdr:to>
    <xdr:sp macro="" textlink="">
      <xdr:nvSpPr>
        <xdr:cNvPr id="6" name="フローチャート : 結合子 10">
          <a:extLst>
            <a:ext uri="{FF2B5EF4-FFF2-40B4-BE49-F238E27FC236}">
              <a16:creationId xmlns:a16="http://schemas.microsoft.com/office/drawing/2014/main" id="{88CBE653-5421-4173-8218-BD4854D801A2}"/>
            </a:ext>
          </a:extLst>
        </xdr:cNvPr>
        <xdr:cNvSpPr/>
      </xdr:nvSpPr>
      <xdr:spPr>
        <a:xfrm>
          <a:off x="5486401" y="254317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9526</xdr:colOff>
      <xdr:row>44</xdr:row>
      <xdr:rowOff>28573</xdr:rowOff>
    </xdr:from>
    <xdr:to>
      <xdr:col>59</xdr:col>
      <xdr:colOff>71026</xdr:colOff>
      <xdr:row>46</xdr:row>
      <xdr:rowOff>90073</xdr:rowOff>
    </xdr:to>
    <xdr:sp macro="" textlink="">
      <xdr:nvSpPr>
        <xdr:cNvPr id="7" name="フローチャート : 結合子 10">
          <a:extLst>
            <a:ext uri="{FF2B5EF4-FFF2-40B4-BE49-F238E27FC236}">
              <a16:creationId xmlns:a16="http://schemas.microsoft.com/office/drawing/2014/main" id="{9C021C0C-A7F5-4A35-94BC-6E1D8EB55EF6}"/>
            </a:ext>
          </a:extLst>
        </xdr:cNvPr>
        <xdr:cNvSpPr/>
      </xdr:nvSpPr>
      <xdr:spPr>
        <a:xfrm>
          <a:off x="5543551" y="421957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56</xdr:col>
      <xdr:colOff>57151</xdr:colOff>
      <xdr:row>40</xdr:row>
      <xdr:rowOff>9523</xdr:rowOff>
    </xdr:from>
    <xdr:to>
      <xdr:col>59</xdr:col>
      <xdr:colOff>23401</xdr:colOff>
      <xdr:row>42</xdr:row>
      <xdr:rowOff>71023</xdr:rowOff>
    </xdr:to>
    <xdr:sp macro="" textlink="">
      <xdr:nvSpPr>
        <xdr:cNvPr id="8" name="フローチャート : 結合子 10">
          <a:extLst>
            <a:ext uri="{FF2B5EF4-FFF2-40B4-BE49-F238E27FC236}">
              <a16:creationId xmlns:a16="http://schemas.microsoft.com/office/drawing/2014/main" id="{16FF22AF-B6D5-45E9-9DD1-B01E1A20104A}"/>
            </a:ext>
          </a:extLst>
        </xdr:cNvPr>
        <xdr:cNvSpPr/>
      </xdr:nvSpPr>
      <xdr:spPr>
        <a:xfrm>
          <a:off x="5495926" y="381952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38100</xdr:colOff>
      <xdr:row>58</xdr:row>
      <xdr:rowOff>38099</xdr:rowOff>
    </xdr:from>
    <xdr:to>
      <xdr:col>59</xdr:col>
      <xdr:colOff>4350</xdr:colOff>
      <xdr:row>61</xdr:row>
      <xdr:rowOff>4349</xdr:rowOff>
    </xdr:to>
    <xdr:sp macro="" textlink="">
      <xdr:nvSpPr>
        <xdr:cNvPr id="9" name="フローチャート : 結合子 10">
          <a:extLst>
            <a:ext uri="{FF2B5EF4-FFF2-40B4-BE49-F238E27FC236}">
              <a16:creationId xmlns:a16="http://schemas.microsoft.com/office/drawing/2014/main" id="{B734E12F-1E2D-4887-A9A9-3429620EF189}"/>
            </a:ext>
          </a:extLst>
        </xdr:cNvPr>
        <xdr:cNvSpPr/>
      </xdr:nvSpPr>
      <xdr:spPr>
        <a:xfrm>
          <a:off x="5476875" y="556259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113</xdr:col>
      <xdr:colOff>95249</xdr:colOff>
      <xdr:row>45</xdr:row>
      <xdr:rowOff>66675</xdr:rowOff>
    </xdr:from>
    <xdr:to>
      <xdr:col>116</xdr:col>
      <xdr:colOff>61499</xdr:colOff>
      <xdr:row>48</xdr:row>
      <xdr:rowOff>32925</xdr:rowOff>
    </xdr:to>
    <xdr:sp macro="" textlink="">
      <xdr:nvSpPr>
        <xdr:cNvPr id="10" name="フローチャート : 結合子 10">
          <a:extLst>
            <a:ext uri="{FF2B5EF4-FFF2-40B4-BE49-F238E27FC236}">
              <a16:creationId xmlns:a16="http://schemas.microsoft.com/office/drawing/2014/main" id="{DEB5DE93-CCA1-4123-98DF-E62BA99EEF23}"/>
            </a:ext>
          </a:extLst>
        </xdr:cNvPr>
        <xdr:cNvSpPr/>
      </xdr:nvSpPr>
      <xdr:spPr>
        <a:xfrm>
          <a:off x="10963274" y="43529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60325</xdr:colOff>
      <xdr:row>17</xdr:row>
      <xdr:rowOff>38100</xdr:rowOff>
    </xdr:from>
    <xdr:to>
      <xdr:col>116</xdr:col>
      <xdr:colOff>32925</xdr:colOff>
      <xdr:row>20</xdr:row>
      <xdr:rowOff>4350</xdr:rowOff>
    </xdr:to>
    <xdr:sp macro="" textlink="">
      <xdr:nvSpPr>
        <xdr:cNvPr id="11" name="フローチャート : 結合子 10">
          <a:extLst>
            <a:ext uri="{FF2B5EF4-FFF2-40B4-BE49-F238E27FC236}">
              <a16:creationId xmlns:a16="http://schemas.microsoft.com/office/drawing/2014/main" id="{E7F4A0BD-6BC5-4CA8-BB06-9A39AAA563BA}"/>
            </a:ext>
          </a:extLst>
        </xdr:cNvPr>
        <xdr:cNvSpPr/>
      </xdr:nvSpPr>
      <xdr:spPr>
        <a:xfrm>
          <a:off x="10201275" y="1657350"/>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117</xdr:col>
      <xdr:colOff>175532</xdr:colOff>
      <xdr:row>36</xdr:row>
      <xdr:rowOff>66676</xdr:rowOff>
    </xdr:from>
    <xdr:to>
      <xdr:col>160</xdr:col>
      <xdr:colOff>55907</xdr:colOff>
      <xdr:row>46</xdr:row>
      <xdr:rowOff>28576</xdr:rowOff>
    </xdr:to>
    <xdr:sp macro="" textlink="">
      <xdr:nvSpPr>
        <xdr:cNvPr id="12" name="正方形/長方形 11">
          <a:extLst>
            <a:ext uri="{FF2B5EF4-FFF2-40B4-BE49-F238E27FC236}">
              <a16:creationId xmlns:a16="http://schemas.microsoft.com/office/drawing/2014/main" id="{2C433123-39E4-4DEF-8DDD-363E57C4BF0D}"/>
            </a:ext>
          </a:extLst>
        </xdr:cNvPr>
        <xdr:cNvSpPr/>
      </xdr:nvSpPr>
      <xdr:spPr>
        <a:xfrm>
          <a:off x="11424557" y="3495676"/>
          <a:ext cx="4500000" cy="91440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endParaRPr lang="en-US" altLang="ja-JP" sz="900" b="1">
            <a:solidFill>
              <a:srgbClr val="FF0000"/>
            </a:solidFill>
            <a:effectLst/>
          </a:endParaRPr>
        </a:p>
      </xdr:txBody>
    </xdr:sp>
    <xdr:clientData/>
  </xdr:twoCellAnchor>
  <xdr:twoCellAnchor>
    <xdr:from>
      <xdr:col>117</xdr:col>
      <xdr:colOff>114300</xdr:colOff>
      <xdr:row>35</xdr:row>
      <xdr:rowOff>0</xdr:rowOff>
    </xdr:from>
    <xdr:to>
      <xdr:col>117</xdr:col>
      <xdr:colOff>366300</xdr:colOff>
      <xdr:row>37</xdr:row>
      <xdr:rowOff>61500</xdr:rowOff>
    </xdr:to>
    <xdr:sp macro="" textlink="">
      <xdr:nvSpPr>
        <xdr:cNvPr id="13" name="フローチャート : 結合子 26">
          <a:extLst>
            <a:ext uri="{FF2B5EF4-FFF2-40B4-BE49-F238E27FC236}">
              <a16:creationId xmlns:a16="http://schemas.microsoft.com/office/drawing/2014/main" id="{C050B4FA-6FE3-418B-A8E2-ABC4B23E6039}"/>
            </a:ext>
          </a:extLst>
        </xdr:cNvPr>
        <xdr:cNvSpPr/>
      </xdr:nvSpPr>
      <xdr:spPr>
        <a:xfrm>
          <a:off x="11363325" y="3333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117</xdr:col>
      <xdr:colOff>175532</xdr:colOff>
      <xdr:row>47</xdr:row>
      <xdr:rowOff>19051</xdr:rowOff>
    </xdr:from>
    <xdr:to>
      <xdr:col>160</xdr:col>
      <xdr:colOff>55907</xdr:colOff>
      <xdr:row>51</xdr:row>
      <xdr:rowOff>66675</xdr:rowOff>
    </xdr:to>
    <xdr:sp macro="" textlink="">
      <xdr:nvSpPr>
        <xdr:cNvPr id="14" name="正方形/長方形 13">
          <a:extLst>
            <a:ext uri="{FF2B5EF4-FFF2-40B4-BE49-F238E27FC236}">
              <a16:creationId xmlns:a16="http://schemas.microsoft.com/office/drawing/2014/main" id="{CAE16B58-E494-4EFC-9F4B-BB01CA1EE636}"/>
            </a:ext>
          </a:extLst>
        </xdr:cNvPr>
        <xdr:cNvSpPr/>
      </xdr:nvSpPr>
      <xdr:spPr>
        <a:xfrm>
          <a:off x="11424557" y="4495801"/>
          <a:ext cx="4500000" cy="4286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Desk</a:t>
          </a:r>
          <a:r>
            <a:rPr lang="ja-JP" altLang="en-US" sz="900">
              <a:solidFill>
                <a:sysClr val="windowText" lastClr="000000"/>
              </a:solidFill>
              <a:effectLst/>
              <a:latin typeface="+mn-lt"/>
              <a:ea typeface="+mn-ea"/>
              <a:cs typeface="+mn-cs"/>
            </a:rPr>
            <a:t>製品ご注文の場合、</a:t>
          </a:r>
          <a:r>
            <a:rPr lang="en-US" altLang="ja-JP" sz="900">
              <a:solidFill>
                <a:sysClr val="windowText" lastClr="000000"/>
              </a:solidFill>
              <a:effectLst/>
              <a:latin typeface="+mn-lt"/>
              <a:ea typeface="+mn-ea"/>
              <a:cs typeface="+mn-cs"/>
            </a:rPr>
            <a:t>DigitalArts@Cloud</a:t>
          </a:r>
          <a:r>
            <a:rPr lang="ja-JP" altLang="en-US" sz="900">
              <a:solidFill>
                <a:sysClr val="windowText" lastClr="000000"/>
              </a:solidFill>
              <a:effectLst/>
              <a:latin typeface="+mn-lt"/>
              <a:ea typeface="+mn-ea"/>
              <a:cs typeface="+mn-cs"/>
            </a:rPr>
            <a:t>もしくは、</a:t>
          </a:r>
          <a:r>
            <a:rPr lang="en-US" altLang="ja-JP" sz="900">
              <a:solidFill>
                <a:sysClr val="windowText" lastClr="000000"/>
              </a:solidFill>
              <a:effectLst/>
              <a:latin typeface="+mn-lt"/>
              <a:ea typeface="+mn-ea"/>
              <a:cs typeface="+mn-cs"/>
            </a:rPr>
            <a:t>StartIn</a:t>
          </a:r>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f-FILTER</a:t>
          </a:r>
          <a:r>
            <a:rPr lang="ja-JP" altLang="en-US" sz="900">
              <a:solidFill>
                <a:sysClr val="windowText" lastClr="000000"/>
              </a:solidFill>
              <a:effectLst/>
              <a:latin typeface="+mn-lt"/>
              <a:ea typeface="+mn-ea"/>
              <a:cs typeface="+mn-cs"/>
            </a:rPr>
            <a:t>の既存のご契約（試用版は対象外）の有無をご選択ください。</a:t>
          </a:r>
          <a:endParaRPr lang="ja-JP" altLang="ja-JP" sz="900">
            <a:solidFill>
              <a:sysClr val="windowText" lastClr="000000"/>
            </a:solidFill>
            <a:effectLst/>
          </a:endParaRPr>
        </a:p>
      </xdr:txBody>
    </xdr:sp>
    <xdr:clientData/>
  </xdr:twoCellAnchor>
  <xdr:twoCellAnchor>
    <xdr:from>
      <xdr:col>117</xdr:col>
      <xdr:colOff>76200</xdr:colOff>
      <xdr:row>45</xdr:row>
      <xdr:rowOff>57150</xdr:rowOff>
    </xdr:from>
    <xdr:to>
      <xdr:col>117</xdr:col>
      <xdr:colOff>328200</xdr:colOff>
      <xdr:row>48</xdr:row>
      <xdr:rowOff>23400</xdr:rowOff>
    </xdr:to>
    <xdr:sp macro="" textlink="">
      <xdr:nvSpPr>
        <xdr:cNvPr id="15" name="フローチャート : 結合子 26">
          <a:extLst>
            <a:ext uri="{FF2B5EF4-FFF2-40B4-BE49-F238E27FC236}">
              <a16:creationId xmlns:a16="http://schemas.microsoft.com/office/drawing/2014/main" id="{9E2B1EEE-6DC9-40EF-80C4-3A72BB26C4AF}"/>
            </a:ext>
          </a:extLst>
        </xdr:cNvPr>
        <xdr:cNvSpPr/>
      </xdr:nvSpPr>
      <xdr:spPr>
        <a:xfrm>
          <a:off x="11325225" y="43434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117</xdr:col>
      <xdr:colOff>175532</xdr:colOff>
      <xdr:row>2</xdr:row>
      <xdr:rowOff>38102</xdr:rowOff>
    </xdr:from>
    <xdr:to>
      <xdr:col>160</xdr:col>
      <xdr:colOff>55907</xdr:colOff>
      <xdr:row>5</xdr:row>
      <xdr:rowOff>66675</xdr:rowOff>
    </xdr:to>
    <xdr:sp macro="" textlink="">
      <xdr:nvSpPr>
        <xdr:cNvPr id="19" name="正方形/長方形 18">
          <a:extLst>
            <a:ext uri="{FF2B5EF4-FFF2-40B4-BE49-F238E27FC236}">
              <a16:creationId xmlns:a16="http://schemas.microsoft.com/office/drawing/2014/main" id="{EEFDD02E-2604-44FF-B9F5-4854496B9C17}"/>
            </a:ext>
          </a:extLst>
        </xdr:cNvPr>
        <xdr:cNvSpPr/>
      </xdr:nvSpPr>
      <xdr:spPr>
        <a:xfrm>
          <a:off x="11424557" y="228602"/>
          <a:ext cx="4500000" cy="314323"/>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となります。必ずご記入ください。</a:t>
          </a:r>
        </a:p>
      </xdr:txBody>
    </xdr:sp>
    <xdr:clientData/>
  </xdr:twoCellAnchor>
  <xdr:twoCellAnchor>
    <xdr:from>
      <xdr:col>117</xdr:col>
      <xdr:colOff>66675</xdr:colOff>
      <xdr:row>0</xdr:row>
      <xdr:rowOff>66675</xdr:rowOff>
    </xdr:from>
    <xdr:to>
      <xdr:col>117</xdr:col>
      <xdr:colOff>318675</xdr:colOff>
      <xdr:row>3</xdr:row>
      <xdr:rowOff>32925</xdr:rowOff>
    </xdr:to>
    <xdr:sp macro="" textlink="">
      <xdr:nvSpPr>
        <xdr:cNvPr id="20" name="フローチャート : 結合子 24">
          <a:extLst>
            <a:ext uri="{FF2B5EF4-FFF2-40B4-BE49-F238E27FC236}">
              <a16:creationId xmlns:a16="http://schemas.microsoft.com/office/drawing/2014/main" id="{192B6094-1ECF-4149-9D16-C8B17B537F41}"/>
            </a:ext>
          </a:extLst>
        </xdr:cNvPr>
        <xdr:cNvSpPr/>
      </xdr:nvSpPr>
      <xdr:spPr>
        <a:xfrm>
          <a:off x="11315700" y="66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117</xdr:col>
      <xdr:colOff>175532</xdr:colOff>
      <xdr:row>7</xdr:row>
      <xdr:rowOff>72119</xdr:rowOff>
    </xdr:from>
    <xdr:to>
      <xdr:col>160</xdr:col>
      <xdr:colOff>55907</xdr:colOff>
      <xdr:row>11</xdr:row>
      <xdr:rowOff>28575</xdr:rowOff>
    </xdr:to>
    <xdr:sp macro="" textlink="">
      <xdr:nvSpPr>
        <xdr:cNvPr id="21" name="正方形/長方形 20">
          <a:extLst>
            <a:ext uri="{FF2B5EF4-FFF2-40B4-BE49-F238E27FC236}">
              <a16:creationId xmlns:a16="http://schemas.microsoft.com/office/drawing/2014/main" id="{8D2137C5-54E3-48C4-8B68-FF7ADA64C522}"/>
            </a:ext>
          </a:extLst>
        </xdr:cNvPr>
        <xdr:cNvSpPr/>
      </xdr:nvSpPr>
      <xdr:spPr>
        <a:xfrm>
          <a:off x="11424557" y="738869"/>
          <a:ext cx="4500000"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117</xdr:col>
      <xdr:colOff>95250</xdr:colOff>
      <xdr:row>6</xdr:row>
      <xdr:rowOff>38100</xdr:rowOff>
    </xdr:from>
    <xdr:to>
      <xdr:col>117</xdr:col>
      <xdr:colOff>347250</xdr:colOff>
      <xdr:row>9</xdr:row>
      <xdr:rowOff>4350</xdr:rowOff>
    </xdr:to>
    <xdr:sp macro="" textlink="">
      <xdr:nvSpPr>
        <xdr:cNvPr id="22" name="フローチャート : 結合子 26">
          <a:extLst>
            <a:ext uri="{FF2B5EF4-FFF2-40B4-BE49-F238E27FC236}">
              <a16:creationId xmlns:a16="http://schemas.microsoft.com/office/drawing/2014/main" id="{CF97560E-010A-47BF-B5BC-D46B77229C3E}"/>
            </a:ext>
          </a:extLst>
        </xdr:cNvPr>
        <xdr:cNvSpPr/>
      </xdr:nvSpPr>
      <xdr:spPr>
        <a:xfrm>
          <a:off x="11344275" y="609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117</xdr:col>
      <xdr:colOff>175532</xdr:colOff>
      <xdr:row>13</xdr:row>
      <xdr:rowOff>34018</xdr:rowOff>
    </xdr:from>
    <xdr:to>
      <xdr:col>160</xdr:col>
      <xdr:colOff>55907</xdr:colOff>
      <xdr:row>17</xdr:row>
      <xdr:rowOff>9525</xdr:rowOff>
    </xdr:to>
    <xdr:sp macro="" textlink="">
      <xdr:nvSpPr>
        <xdr:cNvPr id="23" name="正方形/長方形 22">
          <a:extLst>
            <a:ext uri="{FF2B5EF4-FFF2-40B4-BE49-F238E27FC236}">
              <a16:creationId xmlns:a16="http://schemas.microsoft.com/office/drawing/2014/main" id="{4135AA6C-D5C6-4240-8A65-65CE760E11D1}"/>
            </a:ext>
          </a:extLst>
        </xdr:cNvPr>
        <xdr:cNvSpPr/>
      </xdr:nvSpPr>
      <xdr:spPr>
        <a:xfrm>
          <a:off x="11424557" y="1272268"/>
          <a:ext cx="4500000"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117</xdr:col>
      <xdr:colOff>85725</xdr:colOff>
      <xdr:row>11</xdr:row>
      <xdr:rowOff>76200</xdr:rowOff>
    </xdr:from>
    <xdr:to>
      <xdr:col>117</xdr:col>
      <xdr:colOff>337725</xdr:colOff>
      <xdr:row>14</xdr:row>
      <xdr:rowOff>42450</xdr:rowOff>
    </xdr:to>
    <xdr:sp macro="" textlink="">
      <xdr:nvSpPr>
        <xdr:cNvPr id="24" name="フローチャート : 結合子 26">
          <a:extLst>
            <a:ext uri="{FF2B5EF4-FFF2-40B4-BE49-F238E27FC236}">
              <a16:creationId xmlns:a16="http://schemas.microsoft.com/office/drawing/2014/main" id="{2E61D1ED-BAFC-4821-B559-964B919CCC0F}"/>
            </a:ext>
          </a:extLst>
        </xdr:cNvPr>
        <xdr:cNvSpPr/>
      </xdr:nvSpPr>
      <xdr:spPr>
        <a:xfrm>
          <a:off x="11334750" y="11239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117</xdr:col>
      <xdr:colOff>175532</xdr:colOff>
      <xdr:row>19</xdr:row>
      <xdr:rowOff>24493</xdr:rowOff>
    </xdr:from>
    <xdr:to>
      <xdr:col>160</xdr:col>
      <xdr:colOff>55907</xdr:colOff>
      <xdr:row>24</xdr:row>
      <xdr:rowOff>19050</xdr:rowOff>
    </xdr:to>
    <xdr:sp macro="" textlink="">
      <xdr:nvSpPr>
        <xdr:cNvPr id="25" name="正方形/長方形 24">
          <a:extLst>
            <a:ext uri="{FF2B5EF4-FFF2-40B4-BE49-F238E27FC236}">
              <a16:creationId xmlns:a16="http://schemas.microsoft.com/office/drawing/2014/main" id="{8A214B9B-7B41-46EE-8144-4C2EE10DD9B4}"/>
            </a:ext>
          </a:extLst>
        </xdr:cNvPr>
        <xdr:cNvSpPr/>
      </xdr:nvSpPr>
      <xdr:spPr>
        <a:xfrm>
          <a:off x="11424557" y="1834243"/>
          <a:ext cx="4500000"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入力された担当者アドレスへ更新案内</a:t>
          </a:r>
          <a:r>
            <a:rPr kumimoji="1" lang="ja-JP" altLang="en-US" sz="900">
              <a:solidFill>
                <a:sysClr val="windowText" lastClr="000000"/>
              </a:solidFill>
              <a:effectLst/>
              <a:latin typeface="+mn-lt"/>
              <a:ea typeface="+mn-ea"/>
              <a:cs typeface="+mn-cs"/>
            </a:rPr>
            <a:t>や各種情報のご案内</a:t>
          </a:r>
          <a:r>
            <a:rPr kumimoji="1" lang="ja-JP" altLang="ja-JP" sz="900">
              <a:solidFill>
                <a:sysClr val="windowText" lastClr="000000"/>
              </a:solidFill>
              <a:effectLst/>
              <a:latin typeface="+mn-lt"/>
              <a:ea typeface="+mn-ea"/>
              <a:cs typeface="+mn-cs"/>
            </a:rPr>
            <a:t>が行われます。</a:t>
          </a:r>
          <a:endParaRPr kumimoji="1" lang="en-US" altLang="ja-JP" sz="900">
            <a:solidFill>
              <a:sysClr val="windowText" lastClr="000000"/>
            </a:solidFill>
            <a:effectLst/>
            <a:latin typeface="+mn-lt"/>
            <a:ea typeface="+mn-ea"/>
            <a:cs typeface="+mn-cs"/>
          </a:endParaRPr>
        </a:p>
        <a:p>
          <a:r>
            <a:rPr kumimoji="1" lang="ja-JP" altLang="en-US" sz="900">
              <a:solidFill>
                <a:sysClr val="windowText" lastClr="000000"/>
              </a:solidFill>
              <a:effectLst/>
              <a:latin typeface="+mn-lt"/>
              <a:ea typeface="+mn-ea"/>
              <a:cs typeface="+mn-cs"/>
            </a:rPr>
            <a:t>ご案内を</a:t>
          </a:r>
          <a:r>
            <a:rPr kumimoji="1" lang="ja-JP" altLang="ja-JP" sz="900">
              <a:solidFill>
                <a:sysClr val="windowText" lastClr="000000"/>
              </a:solidFill>
              <a:effectLst/>
              <a:latin typeface="+mn-lt"/>
              <a:ea typeface="+mn-ea"/>
              <a:cs typeface="+mn-cs"/>
            </a:rPr>
            <a:t>望まない場合</a:t>
          </a:r>
          <a:r>
            <a:rPr kumimoji="1" lang="ja-JP" altLang="en-US" sz="900">
              <a:solidFill>
                <a:sysClr val="windowText" lastClr="000000"/>
              </a:solidFill>
              <a:effectLst/>
              <a:latin typeface="+mn-lt"/>
              <a:ea typeface="+mn-ea"/>
              <a:cs typeface="+mn-cs"/>
            </a:rPr>
            <a:t>は</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endParaRPr lang="ja-JP" altLang="ja-JP" sz="900">
            <a:solidFill>
              <a:sysClr val="windowText" lastClr="000000"/>
            </a:solidFill>
            <a:effectLst/>
          </a:endParaRPr>
        </a:p>
      </xdr:txBody>
    </xdr:sp>
    <xdr:clientData/>
  </xdr:twoCellAnchor>
  <xdr:twoCellAnchor>
    <xdr:from>
      <xdr:col>117</xdr:col>
      <xdr:colOff>95250</xdr:colOff>
      <xdr:row>17</xdr:row>
      <xdr:rowOff>66675</xdr:rowOff>
    </xdr:from>
    <xdr:to>
      <xdr:col>117</xdr:col>
      <xdr:colOff>347250</xdr:colOff>
      <xdr:row>20</xdr:row>
      <xdr:rowOff>32925</xdr:rowOff>
    </xdr:to>
    <xdr:sp macro="" textlink="">
      <xdr:nvSpPr>
        <xdr:cNvPr id="26" name="フローチャート : 結合子 26">
          <a:extLst>
            <a:ext uri="{FF2B5EF4-FFF2-40B4-BE49-F238E27FC236}">
              <a16:creationId xmlns:a16="http://schemas.microsoft.com/office/drawing/2014/main" id="{F56FA519-954B-43DE-BC6F-51482A0AFF3A}"/>
            </a:ext>
          </a:extLst>
        </xdr:cNvPr>
        <xdr:cNvSpPr/>
      </xdr:nvSpPr>
      <xdr:spPr>
        <a:xfrm>
          <a:off x="11344275" y="16859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117</xdr:col>
      <xdr:colOff>175532</xdr:colOff>
      <xdr:row>26</xdr:row>
      <xdr:rowOff>24493</xdr:rowOff>
    </xdr:from>
    <xdr:to>
      <xdr:col>160</xdr:col>
      <xdr:colOff>55907</xdr:colOff>
      <xdr:row>34</xdr:row>
      <xdr:rowOff>57150</xdr:rowOff>
    </xdr:to>
    <xdr:sp macro="" textlink="">
      <xdr:nvSpPr>
        <xdr:cNvPr id="27" name="正方形/長方形 26">
          <a:extLst>
            <a:ext uri="{FF2B5EF4-FFF2-40B4-BE49-F238E27FC236}">
              <a16:creationId xmlns:a16="http://schemas.microsoft.com/office/drawing/2014/main" id="{E30FE4A9-9EE6-450A-8BE5-41AF77FA44E2}"/>
            </a:ext>
          </a:extLst>
        </xdr:cNvPr>
        <xdr:cNvSpPr/>
      </xdr:nvSpPr>
      <xdr:spPr>
        <a:xfrm>
          <a:off x="11424557" y="2500993"/>
          <a:ext cx="4500000"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117</xdr:col>
      <xdr:colOff>95250</xdr:colOff>
      <xdr:row>24</xdr:row>
      <xdr:rowOff>66675</xdr:rowOff>
    </xdr:from>
    <xdr:to>
      <xdr:col>117</xdr:col>
      <xdr:colOff>347250</xdr:colOff>
      <xdr:row>27</xdr:row>
      <xdr:rowOff>32925</xdr:rowOff>
    </xdr:to>
    <xdr:sp macro="" textlink="">
      <xdr:nvSpPr>
        <xdr:cNvPr id="28" name="フローチャート : 結合子 26">
          <a:extLst>
            <a:ext uri="{FF2B5EF4-FFF2-40B4-BE49-F238E27FC236}">
              <a16:creationId xmlns:a16="http://schemas.microsoft.com/office/drawing/2014/main" id="{1FE6F159-4B9D-4A45-A401-D01791098FEF}"/>
            </a:ext>
          </a:extLst>
        </xdr:cNvPr>
        <xdr:cNvSpPr/>
      </xdr:nvSpPr>
      <xdr:spPr>
        <a:xfrm>
          <a:off x="11344275" y="2352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138</xdr:col>
      <xdr:colOff>66675</xdr:colOff>
      <xdr:row>53</xdr:row>
      <xdr:rowOff>91857</xdr:rowOff>
    </xdr:from>
    <xdr:to>
      <xdr:col>160</xdr:col>
      <xdr:colOff>52457</xdr:colOff>
      <xdr:row>65</xdr:row>
      <xdr:rowOff>28575</xdr:rowOff>
    </xdr:to>
    <xdr:sp macro="" textlink="">
      <xdr:nvSpPr>
        <xdr:cNvPr id="30" name="正方形/長方形 29">
          <a:extLst>
            <a:ext uri="{FF2B5EF4-FFF2-40B4-BE49-F238E27FC236}">
              <a16:creationId xmlns:a16="http://schemas.microsoft.com/office/drawing/2014/main" id="{1C56C759-9483-42A1-A7C6-3268CD062E40}"/>
            </a:ext>
          </a:extLst>
        </xdr:cNvPr>
        <xdr:cNvSpPr/>
      </xdr:nvSpPr>
      <xdr:spPr>
        <a:xfrm>
          <a:off x="13839825" y="5140107"/>
          <a:ext cx="2081282" cy="1098768"/>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注意事項をご確認の上、</a:t>
          </a:r>
          <a:endParaRPr lang="en-US" altLang="ja-JP" sz="900">
            <a:solidFill>
              <a:sysClr val="windowText" lastClr="000000"/>
            </a:solidFill>
            <a:effectLst/>
          </a:endParaRPr>
        </a:p>
        <a:p>
          <a:r>
            <a:rPr lang="ja-JP" altLang="en-US" sz="900">
              <a:solidFill>
                <a:sysClr val="windowText" lastClr="000000"/>
              </a:solidFill>
              <a:effectLst/>
            </a:rPr>
            <a:t>既にご契約されている</a:t>
          </a:r>
          <a:endParaRPr lang="en-US" altLang="ja-JP" sz="900">
            <a:solidFill>
              <a:sysClr val="windowText" lastClr="000000"/>
            </a:solidFill>
            <a:effectLst/>
          </a:endParaRPr>
        </a:p>
        <a:p>
          <a:r>
            <a:rPr lang="en-US" altLang="ja-JP" sz="900">
              <a:solidFill>
                <a:sysClr val="windowText" lastClr="000000"/>
              </a:solidFill>
              <a:effectLst/>
            </a:rPr>
            <a:t>DigitalArts@</a:t>
          </a:r>
          <a:r>
            <a:rPr lang="en-US" altLang="ja-JP" sz="900">
              <a:solidFill>
                <a:schemeClr val="tx1"/>
              </a:solidFill>
              <a:effectLst/>
            </a:rPr>
            <a:t>Cloud</a:t>
          </a:r>
          <a:r>
            <a:rPr lang="ja-JP" altLang="ja-JP" sz="1100">
              <a:solidFill>
                <a:schemeClr val="tx1"/>
              </a:solidFill>
              <a:effectLst/>
              <a:latin typeface="+mn-lt"/>
              <a:ea typeface="+mn-ea"/>
              <a:cs typeface="+mn-cs"/>
            </a:rPr>
            <a:t>もしくは、</a:t>
          </a:r>
          <a:r>
            <a:rPr lang="en-US" altLang="ja-JP" sz="1100">
              <a:solidFill>
                <a:schemeClr val="tx1"/>
              </a:solidFill>
              <a:effectLst/>
              <a:latin typeface="+mn-lt"/>
              <a:ea typeface="+mn-ea"/>
              <a:cs typeface="+mn-cs"/>
            </a:rPr>
            <a:t>StartIn</a:t>
          </a:r>
          <a:r>
            <a:rPr lang="ja-JP" altLang="ja-JP" sz="1100">
              <a:solidFill>
                <a:schemeClr val="tx1"/>
              </a:solidFill>
              <a:effectLst/>
              <a:latin typeface="+mn-lt"/>
              <a:ea typeface="+mn-ea"/>
              <a:cs typeface="+mn-cs"/>
            </a:rPr>
            <a:t>、</a:t>
          </a:r>
          <a:r>
            <a:rPr lang="en-US" altLang="ja-JP" sz="1100">
              <a:solidFill>
                <a:schemeClr val="tx1"/>
              </a:solidFill>
              <a:effectLst/>
              <a:latin typeface="+mn-lt"/>
              <a:ea typeface="+mn-ea"/>
              <a:cs typeface="+mn-cs"/>
            </a:rPr>
            <a:t>f-FILTER</a:t>
          </a:r>
          <a:r>
            <a:rPr lang="ja-JP" altLang="en-US" sz="900">
              <a:solidFill>
                <a:schemeClr val="tx1"/>
              </a:solidFill>
              <a:effectLst/>
            </a:rPr>
            <a:t>製品の</a:t>
          </a:r>
          <a:r>
            <a:rPr lang="ja-JP" altLang="en-US" sz="900">
              <a:solidFill>
                <a:sysClr val="windowText" lastClr="000000"/>
              </a:solidFill>
              <a:effectLst/>
            </a:rPr>
            <a:t>シリアルをいずれか１つご入力ください。</a:t>
          </a:r>
          <a:endParaRPr lang="ja-JP" altLang="ja-JP" sz="900">
            <a:solidFill>
              <a:sysClr val="windowText" lastClr="000000"/>
            </a:solidFill>
            <a:effectLst/>
          </a:endParaRPr>
        </a:p>
      </xdr:txBody>
    </xdr:sp>
    <xdr:clientData/>
  </xdr:twoCellAnchor>
  <xdr:twoCellAnchor>
    <xdr:from>
      <xdr:col>117</xdr:col>
      <xdr:colOff>175532</xdr:colOff>
      <xdr:row>53</xdr:row>
      <xdr:rowOff>91165</xdr:rowOff>
    </xdr:from>
    <xdr:to>
      <xdr:col>135</xdr:col>
      <xdr:colOff>19047</xdr:colOff>
      <xdr:row>68</xdr:row>
      <xdr:rowOff>19050</xdr:rowOff>
    </xdr:to>
    <xdr:sp macro="" textlink="">
      <xdr:nvSpPr>
        <xdr:cNvPr id="31" name="正方形/長方形 30">
          <a:extLst>
            <a:ext uri="{FF2B5EF4-FFF2-40B4-BE49-F238E27FC236}">
              <a16:creationId xmlns:a16="http://schemas.microsoft.com/office/drawing/2014/main" id="{47C17AC6-52B2-414E-9581-9DA868EE95D8}"/>
            </a:ext>
          </a:extLst>
        </xdr:cNvPr>
        <xdr:cNvSpPr/>
      </xdr:nvSpPr>
      <xdr:spPr>
        <a:xfrm>
          <a:off x="11424557" y="5139415"/>
          <a:ext cx="2081890" cy="148998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試用版のご利用がない場合、</a:t>
          </a:r>
          <a:r>
            <a:rPr lang="en-US" altLang="ja-JP" sz="900">
              <a:solidFill>
                <a:sysClr val="windowText" lastClr="000000"/>
              </a:solidFill>
              <a:effectLst/>
            </a:rPr>
            <a:t>Desk</a:t>
          </a:r>
          <a:r>
            <a:rPr lang="ja-JP" altLang="en-US" sz="900">
              <a:solidFill>
                <a:sysClr val="windowText" lastClr="000000"/>
              </a:solidFill>
              <a:effectLst/>
            </a:rPr>
            <a:t> の管理者となるメールアドレスをご入力ください。</a:t>
          </a:r>
          <a:endParaRPr lang="en-US" altLang="ja-JP" sz="900">
            <a:solidFill>
              <a:sysClr val="windowText" lastClr="000000"/>
            </a:solidFill>
            <a:effectLst/>
          </a:endParaRPr>
        </a:p>
        <a:p>
          <a:endParaRPr lang="en-US" altLang="ja-JP" sz="300">
            <a:solidFill>
              <a:sysClr val="windowText" lastClr="000000"/>
            </a:solidFill>
            <a:effectLst/>
          </a:endParaRPr>
        </a:p>
        <a:p>
          <a:r>
            <a:rPr lang="ja-JP" altLang="en-US" sz="900">
              <a:solidFill>
                <a:sysClr val="windowText" lastClr="000000"/>
              </a:solidFill>
              <a:effectLst/>
            </a:rPr>
            <a:t>試用版のご利用がある場合は、</a:t>
          </a:r>
          <a:endParaRPr lang="en-US" altLang="ja-JP" sz="900">
            <a:solidFill>
              <a:sysClr val="windowText" lastClr="000000"/>
            </a:solidFill>
            <a:effectLst/>
          </a:endParaRPr>
        </a:p>
        <a:p>
          <a:r>
            <a:rPr lang="ja-JP" altLang="en-US" sz="900">
              <a:solidFill>
                <a:sysClr val="windowText" lastClr="000000"/>
              </a:solidFill>
              <a:effectLst/>
            </a:rPr>
            <a:t>この欄は入力せず、各製品申請欄に</a:t>
          </a:r>
          <a:endParaRPr lang="en-US" altLang="ja-JP" sz="900">
            <a:solidFill>
              <a:sysClr val="windowText" lastClr="000000"/>
            </a:solidFill>
            <a:effectLst/>
          </a:endParaRPr>
        </a:p>
        <a:p>
          <a:r>
            <a:rPr lang="ja-JP" altLang="en-US" sz="900">
              <a:solidFill>
                <a:sysClr val="windowText" lastClr="000000"/>
              </a:solidFill>
              <a:effectLst/>
            </a:rPr>
            <a:t>お進みください。</a:t>
          </a:r>
          <a:endParaRPr lang="en-US" altLang="ja-JP" sz="900">
            <a:solidFill>
              <a:sysClr val="windowText" lastClr="000000"/>
            </a:solidFill>
            <a:effectLst/>
          </a:endParaRPr>
        </a:p>
        <a:p>
          <a:endParaRPr lang="en-US" altLang="ja-JP" sz="900">
            <a:solidFill>
              <a:sysClr val="windowText" lastClr="000000"/>
            </a:solidFill>
            <a:effectLst/>
          </a:endParaRPr>
        </a:p>
        <a:p>
          <a:r>
            <a:rPr lang="ja-JP" altLang="en-US" sz="900">
              <a:solidFill>
                <a:sysClr val="windowText" lastClr="000000"/>
              </a:solidFill>
              <a:effectLst/>
            </a:rPr>
            <a:t>管理者</a:t>
          </a:r>
          <a:r>
            <a:rPr lang="en-US" altLang="ja-JP" sz="900">
              <a:solidFill>
                <a:sysClr val="windowText" lastClr="000000"/>
              </a:solidFill>
              <a:effectLst/>
            </a:rPr>
            <a:t>E-mail</a:t>
          </a:r>
          <a:r>
            <a:rPr lang="ja-JP" altLang="en-US" sz="900">
              <a:solidFill>
                <a:sysClr val="windowText" lastClr="000000"/>
              </a:solidFill>
              <a:effectLst/>
            </a:rPr>
            <a:t>の最大文字数は</a:t>
          </a:r>
          <a:r>
            <a:rPr lang="en-US" altLang="ja-JP" sz="900">
              <a:solidFill>
                <a:sysClr val="windowText" lastClr="000000"/>
              </a:solidFill>
              <a:effectLst/>
            </a:rPr>
            <a:t>64</a:t>
          </a:r>
          <a:r>
            <a:rPr lang="ja-JP" altLang="en-US" sz="900">
              <a:solidFill>
                <a:sysClr val="windowText" lastClr="000000"/>
              </a:solidFill>
              <a:effectLst/>
            </a:rPr>
            <a:t>文字となります。</a:t>
          </a:r>
          <a:endParaRPr lang="en-US" altLang="ja-JP" sz="900">
            <a:solidFill>
              <a:sysClr val="windowText" lastClr="000000"/>
            </a:solidFill>
            <a:effectLst/>
          </a:endParaRPr>
        </a:p>
      </xdr:txBody>
    </xdr:sp>
    <xdr:clientData/>
  </xdr:twoCellAnchor>
  <xdr:twoCellAnchor>
    <xdr:from>
      <xdr:col>137</xdr:col>
      <xdr:colOff>57150</xdr:colOff>
      <xdr:row>52</xdr:row>
      <xdr:rowOff>76200</xdr:rowOff>
    </xdr:from>
    <xdr:to>
      <xdr:col>143</xdr:col>
      <xdr:colOff>57151</xdr:colOff>
      <xdr:row>54</xdr:row>
      <xdr:rowOff>57150</xdr:rowOff>
    </xdr:to>
    <xdr:sp macro="" textlink="">
      <xdr:nvSpPr>
        <xdr:cNvPr id="32" name="フローチャート : 結合子 26">
          <a:extLst>
            <a:ext uri="{FF2B5EF4-FFF2-40B4-BE49-F238E27FC236}">
              <a16:creationId xmlns:a16="http://schemas.microsoft.com/office/drawing/2014/main" id="{C4AE229C-99A7-4DFB-AA02-983BAC708660}"/>
            </a:ext>
          </a:extLst>
        </xdr:cNvPr>
        <xdr:cNvSpPr/>
      </xdr:nvSpPr>
      <xdr:spPr>
        <a:xfrm>
          <a:off x="13735050" y="5029200"/>
          <a:ext cx="571501" cy="17145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8-2</a:t>
          </a:r>
        </a:p>
      </xdr:txBody>
    </xdr:sp>
    <xdr:clientData/>
  </xdr:twoCellAnchor>
  <xdr:twoCellAnchor>
    <xdr:from>
      <xdr:col>117</xdr:col>
      <xdr:colOff>76199</xdr:colOff>
      <xdr:row>52</xdr:row>
      <xdr:rowOff>57150</xdr:rowOff>
    </xdr:from>
    <xdr:to>
      <xdr:col>118</xdr:col>
      <xdr:colOff>28575</xdr:colOff>
      <xdr:row>54</xdr:row>
      <xdr:rowOff>47625</xdr:rowOff>
    </xdr:to>
    <xdr:sp macro="" textlink="">
      <xdr:nvSpPr>
        <xdr:cNvPr id="33" name="フローチャート : 結合子 26">
          <a:extLst>
            <a:ext uri="{FF2B5EF4-FFF2-40B4-BE49-F238E27FC236}">
              <a16:creationId xmlns:a16="http://schemas.microsoft.com/office/drawing/2014/main" id="{B328B162-4313-416E-BD6D-31E8F72D74FF}"/>
            </a:ext>
          </a:extLst>
        </xdr:cNvPr>
        <xdr:cNvSpPr/>
      </xdr:nvSpPr>
      <xdr:spPr>
        <a:xfrm>
          <a:off x="11325224" y="5010150"/>
          <a:ext cx="571501" cy="180975"/>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8-1</a:t>
          </a:r>
        </a:p>
      </xdr:txBody>
    </xdr:sp>
    <xdr:clientData/>
  </xdr:twoCellAnchor>
  <xdr:twoCellAnchor>
    <xdr:from>
      <xdr:col>0</xdr:col>
      <xdr:colOff>0</xdr:colOff>
      <xdr:row>68</xdr:row>
      <xdr:rowOff>76199</xdr:rowOff>
    </xdr:from>
    <xdr:to>
      <xdr:col>1</xdr:col>
      <xdr:colOff>51975</xdr:colOff>
      <xdr:row>71</xdr:row>
      <xdr:rowOff>42449</xdr:rowOff>
    </xdr:to>
    <xdr:sp macro="" textlink="">
      <xdr:nvSpPr>
        <xdr:cNvPr id="34" name="フローチャート : 結合子 10">
          <a:extLst>
            <a:ext uri="{FF2B5EF4-FFF2-40B4-BE49-F238E27FC236}">
              <a16:creationId xmlns:a16="http://schemas.microsoft.com/office/drawing/2014/main" id="{4D96C6FC-1EDA-4DCB-8198-42F68118C822}"/>
            </a:ext>
          </a:extLst>
        </xdr:cNvPr>
        <xdr:cNvSpPr/>
      </xdr:nvSpPr>
      <xdr:spPr>
        <a:xfrm>
          <a:off x="0" y="668654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0</xdr:col>
      <xdr:colOff>25400</xdr:colOff>
      <xdr:row>72</xdr:row>
      <xdr:rowOff>25401</xdr:rowOff>
    </xdr:from>
    <xdr:to>
      <xdr:col>3</xdr:col>
      <xdr:colOff>54044</xdr:colOff>
      <xdr:row>74</xdr:row>
      <xdr:rowOff>52917</xdr:rowOff>
    </xdr:to>
    <xdr:sp macro="" textlink="">
      <xdr:nvSpPr>
        <xdr:cNvPr id="35" name="フローチャート : 結合子 26">
          <a:extLst>
            <a:ext uri="{FF2B5EF4-FFF2-40B4-BE49-F238E27FC236}">
              <a16:creationId xmlns:a16="http://schemas.microsoft.com/office/drawing/2014/main" id="{560AFE57-68C9-4AA5-9581-E8531F7B38F5}"/>
            </a:ext>
          </a:extLst>
        </xdr:cNvPr>
        <xdr:cNvSpPr/>
      </xdr:nvSpPr>
      <xdr:spPr>
        <a:xfrm>
          <a:off x="25400" y="7105651"/>
          <a:ext cx="377894" cy="218016"/>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8-1</a:t>
          </a:r>
        </a:p>
      </xdr:txBody>
    </xdr:sp>
    <xdr:clientData/>
  </xdr:twoCellAnchor>
  <xdr:twoCellAnchor>
    <xdr:from>
      <xdr:col>0</xdr:col>
      <xdr:colOff>25399</xdr:colOff>
      <xdr:row>75</xdr:row>
      <xdr:rowOff>38100</xdr:rowOff>
    </xdr:from>
    <xdr:to>
      <xdr:col>3</xdr:col>
      <xdr:colOff>50374</xdr:colOff>
      <xdr:row>77</xdr:row>
      <xdr:rowOff>63499</xdr:rowOff>
    </xdr:to>
    <xdr:sp macro="" textlink="">
      <xdr:nvSpPr>
        <xdr:cNvPr id="36" name="フローチャート : 結合子 26">
          <a:extLst>
            <a:ext uri="{FF2B5EF4-FFF2-40B4-BE49-F238E27FC236}">
              <a16:creationId xmlns:a16="http://schemas.microsoft.com/office/drawing/2014/main" id="{B9F01C67-666D-4EFB-8E48-C3CF7BD7CDC0}"/>
            </a:ext>
          </a:extLst>
        </xdr:cNvPr>
        <xdr:cNvSpPr/>
      </xdr:nvSpPr>
      <xdr:spPr>
        <a:xfrm>
          <a:off x="25399" y="7404100"/>
          <a:ext cx="374225" cy="215899"/>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8-2</a:t>
          </a:r>
        </a:p>
      </xdr:txBody>
    </xdr:sp>
    <xdr:clientData/>
  </xdr:twoCellAnchor>
  <xdr:twoCellAnchor>
    <xdr:from>
      <xdr:col>117</xdr:col>
      <xdr:colOff>175532</xdr:colOff>
      <xdr:row>69</xdr:row>
      <xdr:rowOff>38100</xdr:rowOff>
    </xdr:from>
    <xdr:to>
      <xdr:col>160</xdr:col>
      <xdr:colOff>55907</xdr:colOff>
      <xdr:row>74</xdr:row>
      <xdr:rowOff>28575</xdr:rowOff>
    </xdr:to>
    <xdr:sp macro="" textlink="">
      <xdr:nvSpPr>
        <xdr:cNvPr id="39" name="正方形/長方形 38">
          <a:extLst>
            <a:ext uri="{FF2B5EF4-FFF2-40B4-BE49-F238E27FC236}">
              <a16:creationId xmlns:a16="http://schemas.microsoft.com/office/drawing/2014/main" id="{A9258E6E-4938-47BD-A532-AB99A2F1B4E1}"/>
            </a:ext>
          </a:extLst>
        </xdr:cNvPr>
        <xdr:cNvSpPr/>
      </xdr:nvSpPr>
      <xdr:spPr>
        <a:xfrm>
          <a:off x="11424557" y="6743700"/>
          <a:ext cx="4500000" cy="466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1">
              <a:solidFill>
                <a:srgbClr val="FF0000"/>
              </a:solidFill>
              <a:effectLst/>
              <a:latin typeface="+mn-lt"/>
              <a:ea typeface="+mn-ea"/>
              <a:cs typeface="+mn-cs"/>
            </a:rPr>
            <a:t>続いて購入する製品の申請欄に進みます。</a:t>
          </a:r>
          <a:endParaRPr lang="en-US" altLang="ja-JP" sz="900" b="1">
            <a:solidFill>
              <a:srgbClr val="FF0000"/>
            </a:solidFill>
            <a:effectLst/>
            <a:latin typeface="+mn-lt"/>
            <a:ea typeface="+mn-ea"/>
            <a:cs typeface="+mn-cs"/>
          </a:endParaRPr>
        </a:p>
        <a:p>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以下はご購入製品により、入力箇所が異なります。</a:t>
          </a:r>
        </a:p>
      </xdr:txBody>
    </xdr:sp>
    <xdr:clientData/>
  </xdr:twoCellAnchor>
  <xdr:twoCellAnchor>
    <xdr:from>
      <xdr:col>135</xdr:col>
      <xdr:colOff>19047</xdr:colOff>
      <xdr:row>61</xdr:row>
      <xdr:rowOff>74158</xdr:rowOff>
    </xdr:from>
    <xdr:to>
      <xdr:col>136</xdr:col>
      <xdr:colOff>91907</xdr:colOff>
      <xdr:row>69</xdr:row>
      <xdr:rowOff>38100</xdr:rowOff>
    </xdr:to>
    <xdr:cxnSp macro="">
      <xdr:nvCxnSpPr>
        <xdr:cNvPr id="40" name="カギ線コネクタ 4">
          <a:extLst>
            <a:ext uri="{FF2B5EF4-FFF2-40B4-BE49-F238E27FC236}">
              <a16:creationId xmlns:a16="http://schemas.microsoft.com/office/drawing/2014/main" id="{96FF8F49-5FF6-4CFF-8777-C600D35B6472}"/>
            </a:ext>
          </a:extLst>
        </xdr:cNvPr>
        <xdr:cNvCxnSpPr>
          <a:stCxn id="31" idx="3"/>
          <a:endCxn id="39" idx="0"/>
        </xdr:cNvCxnSpPr>
      </xdr:nvCxnSpPr>
      <xdr:spPr>
        <a:xfrm>
          <a:off x="13506447" y="5884408"/>
          <a:ext cx="168110" cy="859292"/>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91907</xdr:colOff>
      <xdr:row>59</xdr:row>
      <xdr:rowOff>69740</xdr:rowOff>
    </xdr:from>
    <xdr:to>
      <xdr:col>138</xdr:col>
      <xdr:colOff>66675</xdr:colOff>
      <xdr:row>69</xdr:row>
      <xdr:rowOff>38099</xdr:rowOff>
    </xdr:to>
    <xdr:cxnSp macro="">
      <xdr:nvCxnSpPr>
        <xdr:cNvPr id="41" name="カギ線コネクタ 63">
          <a:extLst>
            <a:ext uri="{FF2B5EF4-FFF2-40B4-BE49-F238E27FC236}">
              <a16:creationId xmlns:a16="http://schemas.microsoft.com/office/drawing/2014/main" id="{EBB154B0-188B-4B9D-8A2F-01DEBB055B13}"/>
            </a:ext>
          </a:extLst>
        </xdr:cNvPr>
        <xdr:cNvCxnSpPr>
          <a:stCxn id="30" idx="1"/>
          <a:endCxn id="39" idx="0"/>
        </xdr:cNvCxnSpPr>
      </xdr:nvCxnSpPr>
      <xdr:spPr>
        <a:xfrm rot="10800000" flipV="1">
          <a:off x="13674557" y="5689490"/>
          <a:ext cx="165268" cy="1054209"/>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0</xdr:colOff>
      <xdr:row>51</xdr:row>
      <xdr:rowOff>85725</xdr:rowOff>
    </xdr:from>
    <xdr:to>
      <xdr:col>121</xdr:col>
      <xdr:colOff>9525</xdr:colOff>
      <xdr:row>54</xdr:row>
      <xdr:rowOff>21300</xdr:rowOff>
    </xdr:to>
    <xdr:cxnSp macro="">
      <xdr:nvCxnSpPr>
        <xdr:cNvPr id="42" name="直線矢印コネクタ 41">
          <a:extLst>
            <a:ext uri="{FF2B5EF4-FFF2-40B4-BE49-F238E27FC236}">
              <a16:creationId xmlns:a16="http://schemas.microsoft.com/office/drawing/2014/main" id="{E18006FD-77E0-480E-A922-B9C74CFE0427}"/>
            </a:ext>
          </a:extLst>
        </xdr:cNvPr>
        <xdr:cNvCxnSpPr/>
      </xdr:nvCxnSpPr>
      <xdr:spPr>
        <a:xfrm>
          <a:off x="12153900" y="4943475"/>
          <a:ext cx="9525" cy="221325"/>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xdr:col>
      <xdr:colOff>32657</xdr:colOff>
      <xdr:row>52</xdr:row>
      <xdr:rowOff>0</xdr:rowOff>
    </xdr:from>
    <xdr:to>
      <xdr:col>149</xdr:col>
      <xdr:colOff>38100</xdr:colOff>
      <xdr:row>54</xdr:row>
      <xdr:rowOff>7694</xdr:rowOff>
    </xdr:to>
    <xdr:cxnSp macro="">
      <xdr:nvCxnSpPr>
        <xdr:cNvPr id="44" name="直線矢印コネクタ 43">
          <a:extLst>
            <a:ext uri="{FF2B5EF4-FFF2-40B4-BE49-F238E27FC236}">
              <a16:creationId xmlns:a16="http://schemas.microsoft.com/office/drawing/2014/main" id="{D0B08890-A6EB-4F71-B3D3-C39C94823A17}"/>
            </a:ext>
          </a:extLst>
        </xdr:cNvPr>
        <xdr:cNvCxnSpPr/>
      </xdr:nvCxnSpPr>
      <xdr:spPr>
        <a:xfrm flipH="1">
          <a:off x="14853557" y="4953000"/>
          <a:ext cx="5443" cy="198194"/>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28991</xdr:colOff>
      <xdr:row>80</xdr:row>
      <xdr:rowOff>31749</xdr:rowOff>
    </xdr:from>
    <xdr:to>
      <xdr:col>116</xdr:col>
      <xdr:colOff>82550</xdr:colOff>
      <xdr:row>82</xdr:row>
      <xdr:rowOff>31750</xdr:rowOff>
    </xdr:to>
    <xdr:sp macro="" textlink="">
      <xdr:nvSpPr>
        <xdr:cNvPr id="47" name="フローチャート : 結合子 10">
          <a:extLst>
            <a:ext uri="{FF2B5EF4-FFF2-40B4-BE49-F238E27FC236}">
              <a16:creationId xmlns:a16="http://schemas.microsoft.com/office/drawing/2014/main" id="{8956012E-9BCE-4AD0-80B8-6E8C278E13C8}"/>
            </a:ext>
          </a:extLst>
        </xdr:cNvPr>
        <xdr:cNvSpPr/>
      </xdr:nvSpPr>
      <xdr:spPr>
        <a:xfrm>
          <a:off x="9606908" y="7831666"/>
          <a:ext cx="392225" cy="190501"/>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9-2</a:t>
          </a:r>
        </a:p>
      </xdr:txBody>
    </xdr:sp>
    <xdr:clientData/>
  </xdr:twoCellAnchor>
  <xdr:twoCellAnchor>
    <xdr:from>
      <xdr:col>117</xdr:col>
      <xdr:colOff>127906</xdr:colOff>
      <xdr:row>79</xdr:row>
      <xdr:rowOff>38100</xdr:rowOff>
    </xdr:from>
    <xdr:to>
      <xdr:col>169</xdr:col>
      <xdr:colOff>66675</xdr:colOff>
      <xdr:row>91</xdr:row>
      <xdr:rowOff>0</xdr:rowOff>
    </xdr:to>
    <xdr:sp macro="" textlink="">
      <xdr:nvSpPr>
        <xdr:cNvPr id="49" name="正方形/長方形 48">
          <a:extLst>
            <a:ext uri="{FF2B5EF4-FFF2-40B4-BE49-F238E27FC236}">
              <a16:creationId xmlns:a16="http://schemas.microsoft.com/office/drawing/2014/main" id="{75378388-7BCB-4981-B4F0-8EEBC7D77726}"/>
            </a:ext>
          </a:extLst>
        </xdr:cNvPr>
        <xdr:cNvSpPr/>
      </xdr:nvSpPr>
      <xdr:spPr>
        <a:xfrm>
          <a:off x="11606503" y="7852488"/>
          <a:ext cx="5517698" cy="1089349"/>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Desk</a:t>
          </a:r>
          <a:r>
            <a:rPr lang="ja-JP" altLang="en-US" sz="900">
              <a:solidFill>
                <a:sysClr val="windowText" lastClr="000000"/>
              </a:solidFill>
              <a:effectLst/>
              <a:latin typeface="+mn-lt"/>
              <a:ea typeface="+mn-ea"/>
              <a:cs typeface="+mn-cs"/>
            </a:rPr>
            <a:t>）</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「製品区分」や「申請区分」および必要な申請内容（</a:t>
          </a:r>
          <a:r>
            <a:rPr lang="ja-JP" altLang="en-US" sz="900" b="1">
              <a:solidFill>
                <a:sysClr val="windowText" lastClr="000000"/>
              </a:solidFill>
              <a:effectLst/>
              <a:latin typeface="+mn-lt"/>
              <a:ea typeface="+mn-ea"/>
              <a:cs typeface="+mn-cs"/>
            </a:rPr>
            <a:t>赤くなるセルの箇所</a:t>
          </a:r>
          <a:r>
            <a:rPr lang="ja-JP" altLang="en-US" sz="900">
              <a:solidFill>
                <a:sysClr val="windowText" lastClr="000000"/>
              </a:solidFill>
              <a:effectLst/>
              <a:latin typeface="+mn-lt"/>
              <a:ea typeface="+mn-ea"/>
              <a:cs typeface="+mn-cs"/>
            </a:rPr>
            <a:t>）をご入力ください。</a:t>
          </a:r>
        </a:p>
        <a:p>
          <a:endParaRPr lang="en-US" altLang="ja-JP" sz="900">
            <a:solidFill>
              <a:sysClr val="windowText" lastClr="000000"/>
            </a:solidFill>
            <a:effectLst/>
            <a:latin typeface="+mn-lt"/>
            <a:ea typeface="+mn-ea"/>
            <a:cs typeface="+mn-cs"/>
          </a:endParaRPr>
        </a:p>
        <a:p>
          <a:endParaRPr lang="en-US" altLang="ja-JP" sz="900">
            <a:solidFill>
              <a:sysClr val="windowText" lastClr="000000"/>
            </a:solidFill>
            <a:effectLst/>
            <a:latin typeface="+mn-lt"/>
            <a:ea typeface="+mn-ea"/>
            <a:cs typeface="+mn-cs"/>
          </a:endParaRPr>
        </a:p>
      </xdr:txBody>
    </xdr:sp>
    <xdr:clientData/>
  </xdr:twoCellAnchor>
  <xdr:twoCellAnchor>
    <xdr:from>
      <xdr:col>117</xdr:col>
      <xdr:colOff>57149</xdr:colOff>
      <xdr:row>79</xdr:row>
      <xdr:rowOff>0</xdr:rowOff>
    </xdr:from>
    <xdr:to>
      <xdr:col>117</xdr:col>
      <xdr:colOff>466725</xdr:colOff>
      <xdr:row>80</xdr:row>
      <xdr:rowOff>94274</xdr:rowOff>
    </xdr:to>
    <xdr:sp macro="" textlink="">
      <xdr:nvSpPr>
        <xdr:cNvPr id="50" name="フローチャート : 結合子 10">
          <a:extLst>
            <a:ext uri="{FF2B5EF4-FFF2-40B4-BE49-F238E27FC236}">
              <a16:creationId xmlns:a16="http://schemas.microsoft.com/office/drawing/2014/main" id="{BBA4E275-F723-4A37-AD98-53CBFACBE8AD}"/>
            </a:ext>
          </a:extLst>
        </xdr:cNvPr>
        <xdr:cNvSpPr/>
      </xdr:nvSpPr>
      <xdr:spPr>
        <a:xfrm>
          <a:off x="11306174" y="14401799"/>
          <a:ext cx="409576" cy="18000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9-2</a:t>
          </a:r>
        </a:p>
      </xdr:txBody>
    </xdr:sp>
    <xdr:clientData/>
  </xdr:twoCellAnchor>
  <xdr:twoCellAnchor>
    <xdr:from>
      <xdr:col>112</xdr:col>
      <xdr:colOff>42333</xdr:colOff>
      <xdr:row>92</xdr:row>
      <xdr:rowOff>4233</xdr:rowOff>
    </xdr:from>
    <xdr:to>
      <xdr:col>116</xdr:col>
      <xdr:colOff>82550</xdr:colOff>
      <xdr:row>93</xdr:row>
      <xdr:rowOff>95637</xdr:rowOff>
    </xdr:to>
    <xdr:sp macro="" textlink="">
      <xdr:nvSpPr>
        <xdr:cNvPr id="37" name="フローチャート : 結合子 10">
          <a:extLst>
            <a:ext uri="{FF2B5EF4-FFF2-40B4-BE49-F238E27FC236}">
              <a16:creationId xmlns:a16="http://schemas.microsoft.com/office/drawing/2014/main" id="{01FDF09E-F353-4F33-9773-0075A081CF65}"/>
            </a:ext>
          </a:extLst>
        </xdr:cNvPr>
        <xdr:cNvSpPr/>
      </xdr:nvSpPr>
      <xdr:spPr>
        <a:xfrm>
          <a:off x="9620250" y="8904816"/>
          <a:ext cx="378883" cy="197238"/>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6</xdr:row>
      <xdr:rowOff>0</xdr:rowOff>
    </xdr:from>
    <xdr:to>
      <xdr:col>88</xdr:col>
      <xdr:colOff>62468</xdr:colOff>
      <xdr:row>7</xdr:row>
      <xdr:rowOff>38757</xdr:rowOff>
    </xdr:to>
    <xdr:sp macro="" textlink="">
      <xdr:nvSpPr>
        <xdr:cNvPr id="2" name="テキスト ボックス 1">
          <a:extLst>
            <a:ext uri="{FF2B5EF4-FFF2-40B4-BE49-F238E27FC236}">
              <a16:creationId xmlns:a16="http://schemas.microsoft.com/office/drawing/2014/main" id="{A7A765CD-9190-4CA1-9BA9-15DE8EE5E6FA}"/>
            </a:ext>
          </a:extLst>
        </xdr:cNvPr>
        <xdr:cNvSpPr txBox="1"/>
      </xdr:nvSpPr>
      <xdr:spPr bwMode="auto">
        <a:xfrm>
          <a:off x="184150" y="571500"/>
          <a:ext cx="7796768" cy="134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9525</xdr:colOff>
      <xdr:row>18</xdr:row>
      <xdr:rowOff>0</xdr:rowOff>
    </xdr:to>
    <xdr:sp macro="" textlink="">
      <xdr:nvSpPr>
        <xdr:cNvPr id="3" name="テキスト ボックス 2">
          <a:extLst>
            <a:ext uri="{FF2B5EF4-FFF2-40B4-BE49-F238E27FC236}">
              <a16:creationId xmlns:a16="http://schemas.microsoft.com/office/drawing/2014/main" id="{2A3BEC6C-54D0-4292-965B-03413AA3F300}"/>
            </a:ext>
          </a:extLst>
        </xdr:cNvPr>
        <xdr:cNvSpPr txBox="1"/>
      </xdr:nvSpPr>
      <xdr:spPr bwMode="auto">
        <a:xfrm>
          <a:off x="184150" y="762000"/>
          <a:ext cx="95218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78</xdr:col>
      <xdr:colOff>0</xdr:colOff>
      <xdr:row>14</xdr:row>
      <xdr:rowOff>9525</xdr:rowOff>
    </xdr:from>
    <xdr:to>
      <xdr:col>109</xdr:col>
      <xdr:colOff>24493</xdr:colOff>
      <xdr:row>17</xdr:row>
      <xdr:rowOff>33107</xdr:rowOff>
    </xdr:to>
    <xdr:sp macro="" textlink="">
      <xdr:nvSpPr>
        <xdr:cNvPr id="4" name="テキスト ボックス 3">
          <a:extLst>
            <a:ext uri="{FF2B5EF4-FFF2-40B4-BE49-F238E27FC236}">
              <a16:creationId xmlns:a16="http://schemas.microsoft.com/office/drawing/2014/main" id="{5EE542A0-D56C-4464-AF47-01883BB74A50}"/>
            </a:ext>
          </a:extLst>
        </xdr:cNvPr>
        <xdr:cNvSpPr txBox="1"/>
      </xdr:nvSpPr>
      <xdr:spPr bwMode="auto">
        <a:xfrm>
          <a:off x="7029450" y="1343025"/>
          <a:ext cx="2780393" cy="309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56</xdr:col>
      <xdr:colOff>47627</xdr:colOff>
      <xdr:row>22</xdr:row>
      <xdr:rowOff>28575</xdr:rowOff>
    </xdr:from>
    <xdr:to>
      <xdr:col>59</xdr:col>
      <xdr:colOff>13877</xdr:colOff>
      <xdr:row>24</xdr:row>
      <xdr:rowOff>90075</xdr:rowOff>
    </xdr:to>
    <xdr:sp macro="" textlink="">
      <xdr:nvSpPr>
        <xdr:cNvPr id="5" name="フローチャート : 結合子 5">
          <a:extLst>
            <a:ext uri="{FF2B5EF4-FFF2-40B4-BE49-F238E27FC236}">
              <a16:creationId xmlns:a16="http://schemas.microsoft.com/office/drawing/2014/main" id="{DE7A1B80-2A3A-4FFF-8A64-59B0D9EAEF90}"/>
            </a:ext>
          </a:extLst>
        </xdr:cNvPr>
        <xdr:cNvSpPr/>
      </xdr:nvSpPr>
      <xdr:spPr>
        <a:xfrm>
          <a:off x="5121277" y="2124075"/>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47626</xdr:colOff>
      <xdr:row>26</xdr:row>
      <xdr:rowOff>66673</xdr:rowOff>
    </xdr:from>
    <xdr:to>
      <xdr:col>59</xdr:col>
      <xdr:colOff>13876</xdr:colOff>
      <xdr:row>29</xdr:row>
      <xdr:rowOff>32923</xdr:rowOff>
    </xdr:to>
    <xdr:sp macro="" textlink="">
      <xdr:nvSpPr>
        <xdr:cNvPr id="6" name="フローチャート : 結合子 10">
          <a:extLst>
            <a:ext uri="{FF2B5EF4-FFF2-40B4-BE49-F238E27FC236}">
              <a16:creationId xmlns:a16="http://schemas.microsoft.com/office/drawing/2014/main" id="{E1400F4C-65E3-4DBE-8130-4A3A0C8AD0DE}"/>
            </a:ext>
          </a:extLst>
        </xdr:cNvPr>
        <xdr:cNvSpPr/>
      </xdr:nvSpPr>
      <xdr:spPr>
        <a:xfrm>
          <a:off x="5121276" y="2543173"/>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9526</xdr:colOff>
      <xdr:row>44</xdr:row>
      <xdr:rowOff>28573</xdr:rowOff>
    </xdr:from>
    <xdr:to>
      <xdr:col>59</xdr:col>
      <xdr:colOff>71026</xdr:colOff>
      <xdr:row>46</xdr:row>
      <xdr:rowOff>90073</xdr:rowOff>
    </xdr:to>
    <xdr:sp macro="" textlink="">
      <xdr:nvSpPr>
        <xdr:cNvPr id="7" name="フローチャート : 結合子 10">
          <a:extLst>
            <a:ext uri="{FF2B5EF4-FFF2-40B4-BE49-F238E27FC236}">
              <a16:creationId xmlns:a16="http://schemas.microsoft.com/office/drawing/2014/main" id="{49B701BE-8CD0-43D8-A544-94BC14E0E758}"/>
            </a:ext>
          </a:extLst>
        </xdr:cNvPr>
        <xdr:cNvSpPr/>
      </xdr:nvSpPr>
      <xdr:spPr>
        <a:xfrm>
          <a:off x="5172076" y="4219573"/>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56</xdr:col>
      <xdr:colOff>57151</xdr:colOff>
      <xdr:row>40</xdr:row>
      <xdr:rowOff>9523</xdr:rowOff>
    </xdr:from>
    <xdr:to>
      <xdr:col>59</xdr:col>
      <xdr:colOff>23401</xdr:colOff>
      <xdr:row>42</xdr:row>
      <xdr:rowOff>71023</xdr:rowOff>
    </xdr:to>
    <xdr:sp macro="" textlink="">
      <xdr:nvSpPr>
        <xdr:cNvPr id="8" name="フローチャート : 結合子 10">
          <a:extLst>
            <a:ext uri="{FF2B5EF4-FFF2-40B4-BE49-F238E27FC236}">
              <a16:creationId xmlns:a16="http://schemas.microsoft.com/office/drawing/2014/main" id="{AFFBD18F-1127-40B7-AC5E-F146CB33B589}"/>
            </a:ext>
          </a:extLst>
        </xdr:cNvPr>
        <xdr:cNvSpPr/>
      </xdr:nvSpPr>
      <xdr:spPr>
        <a:xfrm>
          <a:off x="5130801" y="3819523"/>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38100</xdr:colOff>
      <xdr:row>58</xdr:row>
      <xdr:rowOff>38099</xdr:rowOff>
    </xdr:from>
    <xdr:to>
      <xdr:col>59</xdr:col>
      <xdr:colOff>4350</xdr:colOff>
      <xdr:row>61</xdr:row>
      <xdr:rowOff>4349</xdr:rowOff>
    </xdr:to>
    <xdr:sp macro="" textlink="">
      <xdr:nvSpPr>
        <xdr:cNvPr id="9" name="フローチャート : 結合子 10">
          <a:extLst>
            <a:ext uri="{FF2B5EF4-FFF2-40B4-BE49-F238E27FC236}">
              <a16:creationId xmlns:a16="http://schemas.microsoft.com/office/drawing/2014/main" id="{61E166A8-B217-42AF-A0F9-83B60FECA6E0}"/>
            </a:ext>
          </a:extLst>
        </xdr:cNvPr>
        <xdr:cNvSpPr/>
      </xdr:nvSpPr>
      <xdr:spPr>
        <a:xfrm>
          <a:off x="5111750" y="5562599"/>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113</xdr:col>
      <xdr:colOff>95249</xdr:colOff>
      <xdr:row>45</xdr:row>
      <xdr:rowOff>66675</xdr:rowOff>
    </xdr:from>
    <xdr:to>
      <xdr:col>116</xdr:col>
      <xdr:colOff>61499</xdr:colOff>
      <xdr:row>48</xdr:row>
      <xdr:rowOff>32925</xdr:rowOff>
    </xdr:to>
    <xdr:sp macro="" textlink="">
      <xdr:nvSpPr>
        <xdr:cNvPr id="10" name="フローチャート : 結合子 10">
          <a:extLst>
            <a:ext uri="{FF2B5EF4-FFF2-40B4-BE49-F238E27FC236}">
              <a16:creationId xmlns:a16="http://schemas.microsoft.com/office/drawing/2014/main" id="{C13E61FB-5D56-4177-BB76-EAAA858DF45D}"/>
            </a:ext>
          </a:extLst>
        </xdr:cNvPr>
        <xdr:cNvSpPr/>
      </xdr:nvSpPr>
      <xdr:spPr>
        <a:xfrm>
          <a:off x="10229849" y="4352925"/>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9525</xdr:colOff>
      <xdr:row>16</xdr:row>
      <xdr:rowOff>57150</xdr:rowOff>
    </xdr:from>
    <xdr:to>
      <xdr:col>115</xdr:col>
      <xdr:colOff>71025</xdr:colOff>
      <xdr:row>19</xdr:row>
      <xdr:rowOff>23400</xdr:rowOff>
    </xdr:to>
    <xdr:sp macro="" textlink="">
      <xdr:nvSpPr>
        <xdr:cNvPr id="11" name="フローチャート : 結合子 10">
          <a:extLst>
            <a:ext uri="{FF2B5EF4-FFF2-40B4-BE49-F238E27FC236}">
              <a16:creationId xmlns:a16="http://schemas.microsoft.com/office/drawing/2014/main" id="{D34E9F2E-A3B3-485E-9A2B-D854677779B1}"/>
            </a:ext>
          </a:extLst>
        </xdr:cNvPr>
        <xdr:cNvSpPr/>
      </xdr:nvSpPr>
      <xdr:spPr>
        <a:xfrm>
          <a:off x="10150475" y="1581150"/>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117</xdr:col>
      <xdr:colOff>175532</xdr:colOff>
      <xdr:row>36</xdr:row>
      <xdr:rowOff>66676</xdr:rowOff>
    </xdr:from>
    <xdr:to>
      <xdr:col>160</xdr:col>
      <xdr:colOff>55907</xdr:colOff>
      <xdr:row>46</xdr:row>
      <xdr:rowOff>28576</xdr:rowOff>
    </xdr:to>
    <xdr:sp macro="" textlink="">
      <xdr:nvSpPr>
        <xdr:cNvPr id="12" name="正方形/長方形 11">
          <a:extLst>
            <a:ext uri="{FF2B5EF4-FFF2-40B4-BE49-F238E27FC236}">
              <a16:creationId xmlns:a16="http://schemas.microsoft.com/office/drawing/2014/main" id="{B99B48B9-A1F7-4C7B-8E61-FACD93400D94}"/>
            </a:ext>
          </a:extLst>
        </xdr:cNvPr>
        <xdr:cNvSpPr/>
      </xdr:nvSpPr>
      <xdr:spPr>
        <a:xfrm>
          <a:off x="10672082" y="3495676"/>
          <a:ext cx="4179325" cy="91440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endParaRPr lang="en-US" altLang="ja-JP" sz="900" b="1">
            <a:solidFill>
              <a:srgbClr val="FF0000"/>
            </a:solidFill>
            <a:effectLst/>
          </a:endParaRPr>
        </a:p>
      </xdr:txBody>
    </xdr:sp>
    <xdr:clientData/>
  </xdr:twoCellAnchor>
  <xdr:twoCellAnchor>
    <xdr:from>
      <xdr:col>117</xdr:col>
      <xdr:colOff>114300</xdr:colOff>
      <xdr:row>35</xdr:row>
      <xdr:rowOff>0</xdr:rowOff>
    </xdr:from>
    <xdr:to>
      <xdr:col>117</xdr:col>
      <xdr:colOff>366300</xdr:colOff>
      <xdr:row>37</xdr:row>
      <xdr:rowOff>61500</xdr:rowOff>
    </xdr:to>
    <xdr:sp macro="" textlink="">
      <xdr:nvSpPr>
        <xdr:cNvPr id="13" name="フローチャート : 結合子 26">
          <a:extLst>
            <a:ext uri="{FF2B5EF4-FFF2-40B4-BE49-F238E27FC236}">
              <a16:creationId xmlns:a16="http://schemas.microsoft.com/office/drawing/2014/main" id="{7B4DBB08-1457-42F4-B11A-CD245BC370CD}"/>
            </a:ext>
          </a:extLst>
        </xdr:cNvPr>
        <xdr:cNvSpPr/>
      </xdr:nvSpPr>
      <xdr:spPr>
        <a:xfrm>
          <a:off x="10610850" y="3333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117</xdr:col>
      <xdr:colOff>175532</xdr:colOff>
      <xdr:row>47</xdr:row>
      <xdr:rowOff>19051</xdr:rowOff>
    </xdr:from>
    <xdr:to>
      <xdr:col>160</xdr:col>
      <xdr:colOff>55907</xdr:colOff>
      <xdr:row>51</xdr:row>
      <xdr:rowOff>66675</xdr:rowOff>
    </xdr:to>
    <xdr:sp macro="" textlink="">
      <xdr:nvSpPr>
        <xdr:cNvPr id="14" name="正方形/長方形 13">
          <a:extLst>
            <a:ext uri="{FF2B5EF4-FFF2-40B4-BE49-F238E27FC236}">
              <a16:creationId xmlns:a16="http://schemas.microsoft.com/office/drawing/2014/main" id="{722B3C7B-D9AA-4591-A5B4-0FFBC579AE00}"/>
            </a:ext>
          </a:extLst>
        </xdr:cNvPr>
        <xdr:cNvSpPr/>
      </xdr:nvSpPr>
      <xdr:spPr>
        <a:xfrm>
          <a:off x="10672082" y="4495801"/>
          <a:ext cx="4179325" cy="4286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a-FILTER</a:t>
          </a:r>
          <a:r>
            <a:rPr lang="ja-JP" altLang="en-US" sz="900">
              <a:solidFill>
                <a:sysClr val="windowText" lastClr="000000"/>
              </a:solidFill>
              <a:effectLst/>
              <a:latin typeface="+mn-lt"/>
              <a:ea typeface="+mn-ea"/>
              <a:cs typeface="+mn-cs"/>
            </a:rPr>
            <a:t>ご注文の場合、</a:t>
          </a:r>
          <a:r>
            <a:rPr lang="en-US" altLang="ja-JP" sz="900">
              <a:solidFill>
                <a:sysClr val="windowText" lastClr="000000"/>
              </a:solidFill>
              <a:effectLst/>
              <a:latin typeface="+mn-lt"/>
              <a:ea typeface="+mn-ea"/>
              <a:cs typeface="+mn-cs"/>
            </a:rPr>
            <a:t>DigitalArts@Cloud</a:t>
          </a:r>
          <a:r>
            <a:rPr lang="ja-JP" altLang="en-US" sz="900">
              <a:solidFill>
                <a:sysClr val="windowText" lastClr="000000"/>
              </a:solidFill>
              <a:effectLst/>
              <a:latin typeface="+mn-lt"/>
              <a:ea typeface="+mn-ea"/>
              <a:cs typeface="+mn-cs"/>
            </a:rPr>
            <a:t>もしくは</a:t>
          </a:r>
          <a:r>
            <a:rPr lang="en-US" altLang="ja-JP" sz="900">
              <a:solidFill>
                <a:sysClr val="windowText" lastClr="000000"/>
              </a:solidFill>
              <a:effectLst/>
              <a:latin typeface="+mn-lt"/>
              <a:ea typeface="+mn-ea"/>
              <a:cs typeface="+mn-cs"/>
            </a:rPr>
            <a:t>Desk</a:t>
          </a:r>
          <a:r>
            <a:rPr lang="ja-JP" altLang="en-US" sz="900">
              <a:solidFill>
                <a:sysClr val="windowText" lastClr="000000"/>
              </a:solidFill>
              <a:effectLst/>
              <a:latin typeface="+mn-lt"/>
              <a:ea typeface="+mn-ea"/>
              <a:cs typeface="+mn-cs"/>
            </a:rPr>
            <a:t>シリーズ の既存のご契約</a:t>
          </a:r>
          <a:br>
            <a:rPr lang="en-US" altLang="ja-JP" sz="900">
              <a:solidFill>
                <a:sysClr val="windowText" lastClr="000000"/>
              </a:solidFill>
              <a:effectLst/>
              <a:latin typeface="+mn-lt"/>
              <a:ea typeface="+mn-ea"/>
              <a:cs typeface="+mn-cs"/>
            </a:rPr>
          </a:br>
          <a:r>
            <a:rPr lang="ja-JP" altLang="en-US" sz="900">
              <a:solidFill>
                <a:sysClr val="windowText" lastClr="000000"/>
              </a:solidFill>
              <a:effectLst/>
              <a:latin typeface="+mn-lt"/>
              <a:ea typeface="+mn-ea"/>
              <a:cs typeface="+mn-cs"/>
            </a:rPr>
            <a:t>（試用版は対象外）の有無をご選択ください。</a:t>
          </a:r>
          <a:endParaRPr lang="ja-JP" altLang="ja-JP" sz="900">
            <a:solidFill>
              <a:sysClr val="windowText" lastClr="000000"/>
            </a:solidFill>
            <a:effectLst/>
          </a:endParaRPr>
        </a:p>
      </xdr:txBody>
    </xdr:sp>
    <xdr:clientData/>
  </xdr:twoCellAnchor>
  <xdr:twoCellAnchor>
    <xdr:from>
      <xdr:col>117</xdr:col>
      <xdr:colOff>76200</xdr:colOff>
      <xdr:row>45</xdr:row>
      <xdr:rowOff>57150</xdr:rowOff>
    </xdr:from>
    <xdr:to>
      <xdr:col>117</xdr:col>
      <xdr:colOff>328200</xdr:colOff>
      <xdr:row>48</xdr:row>
      <xdr:rowOff>23400</xdr:rowOff>
    </xdr:to>
    <xdr:sp macro="" textlink="">
      <xdr:nvSpPr>
        <xdr:cNvPr id="15" name="フローチャート : 結合子 26">
          <a:extLst>
            <a:ext uri="{FF2B5EF4-FFF2-40B4-BE49-F238E27FC236}">
              <a16:creationId xmlns:a16="http://schemas.microsoft.com/office/drawing/2014/main" id="{0A0530E4-C718-4064-A1AB-62E0EC297D4D}"/>
            </a:ext>
          </a:extLst>
        </xdr:cNvPr>
        <xdr:cNvSpPr/>
      </xdr:nvSpPr>
      <xdr:spPr>
        <a:xfrm>
          <a:off x="10572750" y="43434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117</xdr:col>
      <xdr:colOff>175532</xdr:colOff>
      <xdr:row>2</xdr:row>
      <xdr:rowOff>38102</xdr:rowOff>
    </xdr:from>
    <xdr:to>
      <xdr:col>160</xdr:col>
      <xdr:colOff>55907</xdr:colOff>
      <xdr:row>5</xdr:row>
      <xdr:rowOff>66675</xdr:rowOff>
    </xdr:to>
    <xdr:sp macro="" textlink="">
      <xdr:nvSpPr>
        <xdr:cNvPr id="16" name="正方形/長方形 15">
          <a:extLst>
            <a:ext uri="{FF2B5EF4-FFF2-40B4-BE49-F238E27FC236}">
              <a16:creationId xmlns:a16="http://schemas.microsoft.com/office/drawing/2014/main" id="{951B9A33-3890-4E32-9A0F-200174E21041}"/>
            </a:ext>
          </a:extLst>
        </xdr:cNvPr>
        <xdr:cNvSpPr/>
      </xdr:nvSpPr>
      <xdr:spPr>
        <a:xfrm>
          <a:off x="10672082" y="228602"/>
          <a:ext cx="4179325" cy="314323"/>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となります。必ずご記入ください。</a:t>
          </a:r>
        </a:p>
      </xdr:txBody>
    </xdr:sp>
    <xdr:clientData/>
  </xdr:twoCellAnchor>
  <xdr:twoCellAnchor>
    <xdr:from>
      <xdr:col>117</xdr:col>
      <xdr:colOff>66675</xdr:colOff>
      <xdr:row>0</xdr:row>
      <xdr:rowOff>66675</xdr:rowOff>
    </xdr:from>
    <xdr:to>
      <xdr:col>117</xdr:col>
      <xdr:colOff>318675</xdr:colOff>
      <xdr:row>3</xdr:row>
      <xdr:rowOff>32925</xdr:rowOff>
    </xdr:to>
    <xdr:sp macro="" textlink="">
      <xdr:nvSpPr>
        <xdr:cNvPr id="17" name="フローチャート : 結合子 24">
          <a:extLst>
            <a:ext uri="{FF2B5EF4-FFF2-40B4-BE49-F238E27FC236}">
              <a16:creationId xmlns:a16="http://schemas.microsoft.com/office/drawing/2014/main" id="{416F42DD-6EF1-4057-98D9-A4A173662C41}"/>
            </a:ext>
          </a:extLst>
        </xdr:cNvPr>
        <xdr:cNvSpPr/>
      </xdr:nvSpPr>
      <xdr:spPr>
        <a:xfrm>
          <a:off x="10563225" y="66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117</xdr:col>
      <xdr:colOff>175532</xdr:colOff>
      <xdr:row>7</xdr:row>
      <xdr:rowOff>72119</xdr:rowOff>
    </xdr:from>
    <xdr:to>
      <xdr:col>160</xdr:col>
      <xdr:colOff>55907</xdr:colOff>
      <xdr:row>11</xdr:row>
      <xdr:rowOff>28575</xdr:rowOff>
    </xdr:to>
    <xdr:sp macro="" textlink="">
      <xdr:nvSpPr>
        <xdr:cNvPr id="18" name="正方形/長方形 17">
          <a:extLst>
            <a:ext uri="{FF2B5EF4-FFF2-40B4-BE49-F238E27FC236}">
              <a16:creationId xmlns:a16="http://schemas.microsoft.com/office/drawing/2014/main" id="{50D5AB86-4334-4368-ABD8-D1DB39361AEF}"/>
            </a:ext>
          </a:extLst>
        </xdr:cNvPr>
        <xdr:cNvSpPr/>
      </xdr:nvSpPr>
      <xdr:spPr>
        <a:xfrm>
          <a:off x="10672082" y="738869"/>
          <a:ext cx="4179325"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117</xdr:col>
      <xdr:colOff>95250</xdr:colOff>
      <xdr:row>6</xdr:row>
      <xdr:rowOff>38100</xdr:rowOff>
    </xdr:from>
    <xdr:to>
      <xdr:col>117</xdr:col>
      <xdr:colOff>347250</xdr:colOff>
      <xdr:row>9</xdr:row>
      <xdr:rowOff>4350</xdr:rowOff>
    </xdr:to>
    <xdr:sp macro="" textlink="">
      <xdr:nvSpPr>
        <xdr:cNvPr id="19" name="フローチャート : 結合子 26">
          <a:extLst>
            <a:ext uri="{FF2B5EF4-FFF2-40B4-BE49-F238E27FC236}">
              <a16:creationId xmlns:a16="http://schemas.microsoft.com/office/drawing/2014/main" id="{249D788C-D696-430F-AA33-B2C942D59122}"/>
            </a:ext>
          </a:extLst>
        </xdr:cNvPr>
        <xdr:cNvSpPr/>
      </xdr:nvSpPr>
      <xdr:spPr>
        <a:xfrm>
          <a:off x="10591800" y="609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117</xdr:col>
      <xdr:colOff>175532</xdr:colOff>
      <xdr:row>13</xdr:row>
      <xdr:rowOff>34018</xdr:rowOff>
    </xdr:from>
    <xdr:to>
      <xdr:col>160</xdr:col>
      <xdr:colOff>55907</xdr:colOff>
      <xdr:row>17</xdr:row>
      <xdr:rowOff>9525</xdr:rowOff>
    </xdr:to>
    <xdr:sp macro="" textlink="">
      <xdr:nvSpPr>
        <xdr:cNvPr id="20" name="正方形/長方形 19">
          <a:extLst>
            <a:ext uri="{FF2B5EF4-FFF2-40B4-BE49-F238E27FC236}">
              <a16:creationId xmlns:a16="http://schemas.microsoft.com/office/drawing/2014/main" id="{403F3AC2-4C1A-421E-B123-D8A78F8D8919}"/>
            </a:ext>
          </a:extLst>
        </xdr:cNvPr>
        <xdr:cNvSpPr/>
      </xdr:nvSpPr>
      <xdr:spPr>
        <a:xfrm>
          <a:off x="10672082" y="1272268"/>
          <a:ext cx="4179325"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117</xdr:col>
      <xdr:colOff>85725</xdr:colOff>
      <xdr:row>11</xdr:row>
      <xdr:rowOff>76200</xdr:rowOff>
    </xdr:from>
    <xdr:to>
      <xdr:col>117</xdr:col>
      <xdr:colOff>337725</xdr:colOff>
      <xdr:row>14</xdr:row>
      <xdr:rowOff>42450</xdr:rowOff>
    </xdr:to>
    <xdr:sp macro="" textlink="">
      <xdr:nvSpPr>
        <xdr:cNvPr id="21" name="フローチャート : 結合子 26">
          <a:extLst>
            <a:ext uri="{FF2B5EF4-FFF2-40B4-BE49-F238E27FC236}">
              <a16:creationId xmlns:a16="http://schemas.microsoft.com/office/drawing/2014/main" id="{56A196DD-D540-4183-B50C-6CD7CBA88A43}"/>
            </a:ext>
          </a:extLst>
        </xdr:cNvPr>
        <xdr:cNvSpPr/>
      </xdr:nvSpPr>
      <xdr:spPr>
        <a:xfrm>
          <a:off x="10582275" y="11239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117</xdr:col>
      <xdr:colOff>175532</xdr:colOff>
      <xdr:row>19</xdr:row>
      <xdr:rowOff>24493</xdr:rowOff>
    </xdr:from>
    <xdr:to>
      <xdr:col>160</xdr:col>
      <xdr:colOff>55907</xdr:colOff>
      <xdr:row>24</xdr:row>
      <xdr:rowOff>19050</xdr:rowOff>
    </xdr:to>
    <xdr:sp macro="" textlink="">
      <xdr:nvSpPr>
        <xdr:cNvPr id="22" name="正方形/長方形 21">
          <a:extLst>
            <a:ext uri="{FF2B5EF4-FFF2-40B4-BE49-F238E27FC236}">
              <a16:creationId xmlns:a16="http://schemas.microsoft.com/office/drawing/2014/main" id="{88A5555E-A5FB-4445-9185-632D0D45E8B2}"/>
            </a:ext>
          </a:extLst>
        </xdr:cNvPr>
        <xdr:cNvSpPr/>
      </xdr:nvSpPr>
      <xdr:spPr>
        <a:xfrm>
          <a:off x="10672082" y="1834243"/>
          <a:ext cx="4179325"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入力された担当者アドレスへ更新案内</a:t>
          </a:r>
          <a:r>
            <a:rPr kumimoji="1" lang="ja-JP" altLang="en-US" sz="900">
              <a:solidFill>
                <a:sysClr val="windowText" lastClr="000000"/>
              </a:solidFill>
              <a:effectLst/>
              <a:latin typeface="+mn-lt"/>
              <a:ea typeface="+mn-ea"/>
              <a:cs typeface="+mn-cs"/>
            </a:rPr>
            <a:t>や各種情報のご案内</a:t>
          </a:r>
          <a:r>
            <a:rPr kumimoji="1" lang="ja-JP" altLang="ja-JP" sz="900">
              <a:solidFill>
                <a:sysClr val="windowText" lastClr="000000"/>
              </a:solidFill>
              <a:effectLst/>
              <a:latin typeface="+mn-lt"/>
              <a:ea typeface="+mn-ea"/>
              <a:cs typeface="+mn-cs"/>
            </a:rPr>
            <a:t>が行われます。</a:t>
          </a:r>
          <a:endParaRPr kumimoji="1" lang="en-US" altLang="ja-JP" sz="900">
            <a:solidFill>
              <a:sysClr val="windowText" lastClr="000000"/>
            </a:solidFill>
            <a:effectLst/>
            <a:latin typeface="+mn-lt"/>
            <a:ea typeface="+mn-ea"/>
            <a:cs typeface="+mn-cs"/>
          </a:endParaRPr>
        </a:p>
        <a:p>
          <a:r>
            <a:rPr kumimoji="1" lang="ja-JP" altLang="en-US" sz="900">
              <a:solidFill>
                <a:sysClr val="windowText" lastClr="000000"/>
              </a:solidFill>
              <a:effectLst/>
              <a:latin typeface="+mn-lt"/>
              <a:ea typeface="+mn-ea"/>
              <a:cs typeface="+mn-cs"/>
            </a:rPr>
            <a:t>ご案内を</a:t>
          </a:r>
          <a:r>
            <a:rPr kumimoji="1" lang="ja-JP" altLang="ja-JP" sz="900">
              <a:solidFill>
                <a:sysClr val="windowText" lastClr="000000"/>
              </a:solidFill>
              <a:effectLst/>
              <a:latin typeface="+mn-lt"/>
              <a:ea typeface="+mn-ea"/>
              <a:cs typeface="+mn-cs"/>
            </a:rPr>
            <a:t>望まない場合</a:t>
          </a:r>
          <a:r>
            <a:rPr kumimoji="1" lang="ja-JP" altLang="en-US" sz="900">
              <a:solidFill>
                <a:sysClr val="windowText" lastClr="000000"/>
              </a:solidFill>
              <a:effectLst/>
              <a:latin typeface="+mn-lt"/>
              <a:ea typeface="+mn-ea"/>
              <a:cs typeface="+mn-cs"/>
            </a:rPr>
            <a:t>は</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endParaRPr lang="ja-JP" altLang="ja-JP" sz="900">
            <a:solidFill>
              <a:sysClr val="windowText" lastClr="000000"/>
            </a:solidFill>
            <a:effectLst/>
          </a:endParaRPr>
        </a:p>
      </xdr:txBody>
    </xdr:sp>
    <xdr:clientData/>
  </xdr:twoCellAnchor>
  <xdr:twoCellAnchor>
    <xdr:from>
      <xdr:col>117</xdr:col>
      <xdr:colOff>95250</xdr:colOff>
      <xdr:row>17</xdr:row>
      <xdr:rowOff>66675</xdr:rowOff>
    </xdr:from>
    <xdr:to>
      <xdr:col>117</xdr:col>
      <xdr:colOff>347250</xdr:colOff>
      <xdr:row>20</xdr:row>
      <xdr:rowOff>32925</xdr:rowOff>
    </xdr:to>
    <xdr:sp macro="" textlink="">
      <xdr:nvSpPr>
        <xdr:cNvPr id="23" name="フローチャート : 結合子 26">
          <a:extLst>
            <a:ext uri="{FF2B5EF4-FFF2-40B4-BE49-F238E27FC236}">
              <a16:creationId xmlns:a16="http://schemas.microsoft.com/office/drawing/2014/main" id="{E0504D56-1984-4C19-BC5A-352507BCC150}"/>
            </a:ext>
          </a:extLst>
        </xdr:cNvPr>
        <xdr:cNvSpPr/>
      </xdr:nvSpPr>
      <xdr:spPr>
        <a:xfrm>
          <a:off x="10591800" y="16859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117</xdr:col>
      <xdr:colOff>175532</xdr:colOff>
      <xdr:row>26</xdr:row>
      <xdr:rowOff>24493</xdr:rowOff>
    </xdr:from>
    <xdr:to>
      <xdr:col>160</xdr:col>
      <xdr:colOff>55907</xdr:colOff>
      <xdr:row>34</xdr:row>
      <xdr:rowOff>57150</xdr:rowOff>
    </xdr:to>
    <xdr:sp macro="" textlink="">
      <xdr:nvSpPr>
        <xdr:cNvPr id="24" name="正方形/長方形 23">
          <a:extLst>
            <a:ext uri="{FF2B5EF4-FFF2-40B4-BE49-F238E27FC236}">
              <a16:creationId xmlns:a16="http://schemas.microsoft.com/office/drawing/2014/main" id="{F455FB92-CFB1-4258-A47B-8B0A990E2AF7}"/>
            </a:ext>
          </a:extLst>
        </xdr:cNvPr>
        <xdr:cNvSpPr/>
      </xdr:nvSpPr>
      <xdr:spPr>
        <a:xfrm>
          <a:off x="10672082" y="2500993"/>
          <a:ext cx="4179325"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117</xdr:col>
      <xdr:colOff>95250</xdr:colOff>
      <xdr:row>24</xdr:row>
      <xdr:rowOff>66675</xdr:rowOff>
    </xdr:from>
    <xdr:to>
      <xdr:col>117</xdr:col>
      <xdr:colOff>347250</xdr:colOff>
      <xdr:row>27</xdr:row>
      <xdr:rowOff>32925</xdr:rowOff>
    </xdr:to>
    <xdr:sp macro="" textlink="">
      <xdr:nvSpPr>
        <xdr:cNvPr id="25" name="フローチャート : 結合子 26">
          <a:extLst>
            <a:ext uri="{FF2B5EF4-FFF2-40B4-BE49-F238E27FC236}">
              <a16:creationId xmlns:a16="http://schemas.microsoft.com/office/drawing/2014/main" id="{F864E2B2-66D1-4AE9-A07D-E4625E6F31F8}"/>
            </a:ext>
          </a:extLst>
        </xdr:cNvPr>
        <xdr:cNvSpPr/>
      </xdr:nvSpPr>
      <xdr:spPr>
        <a:xfrm>
          <a:off x="10591800" y="2352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138</xdr:col>
      <xdr:colOff>66674</xdr:colOff>
      <xdr:row>53</xdr:row>
      <xdr:rowOff>91857</xdr:rowOff>
    </xdr:from>
    <xdr:to>
      <xdr:col>179</xdr:col>
      <xdr:colOff>14110</xdr:colOff>
      <xdr:row>68</xdr:row>
      <xdr:rowOff>28222</xdr:rowOff>
    </xdr:to>
    <xdr:sp macro="" textlink="">
      <xdr:nvSpPr>
        <xdr:cNvPr id="26" name="正方形/長方形 25">
          <a:extLst>
            <a:ext uri="{FF2B5EF4-FFF2-40B4-BE49-F238E27FC236}">
              <a16:creationId xmlns:a16="http://schemas.microsoft.com/office/drawing/2014/main" id="{1FD308AD-32DD-4240-9254-511E96749252}"/>
            </a:ext>
          </a:extLst>
        </xdr:cNvPr>
        <xdr:cNvSpPr/>
      </xdr:nvSpPr>
      <xdr:spPr>
        <a:xfrm>
          <a:off x="13288785" y="5327079"/>
          <a:ext cx="3708047" cy="1530921"/>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注意事項をご確認の上、</a:t>
          </a:r>
          <a:endParaRPr lang="en-US" altLang="ja-JP" sz="900">
            <a:solidFill>
              <a:sysClr val="windowText" lastClr="000000"/>
            </a:solidFill>
            <a:effectLst/>
          </a:endParaRPr>
        </a:p>
        <a:p>
          <a:r>
            <a:rPr lang="ja-JP" altLang="en-US" sz="900">
              <a:solidFill>
                <a:sysClr val="windowText" lastClr="000000"/>
              </a:solidFill>
              <a:effectLst/>
            </a:rPr>
            <a:t>既にご契約されている</a:t>
          </a:r>
          <a:endParaRPr lang="en-US" altLang="ja-JP" sz="900">
            <a:solidFill>
              <a:sysClr val="windowText" lastClr="000000"/>
            </a:solidFill>
            <a:effectLst/>
          </a:endParaRPr>
        </a:p>
        <a:p>
          <a:r>
            <a:rPr lang="en-US" altLang="ja-JP" sz="900">
              <a:solidFill>
                <a:sysClr val="windowText" lastClr="000000"/>
              </a:solidFill>
              <a:effectLst/>
            </a:rPr>
            <a:t>DigitalArts@Cloud</a:t>
          </a:r>
          <a:r>
            <a:rPr lang="ja-JP" altLang="en-US" sz="900">
              <a:solidFill>
                <a:sysClr val="windowText" lastClr="000000"/>
              </a:solidFill>
              <a:effectLst/>
            </a:rPr>
            <a:t> もしくは</a:t>
          </a:r>
          <a:r>
            <a:rPr lang="en-US" altLang="ja-JP" sz="900">
              <a:solidFill>
                <a:sysClr val="windowText" lastClr="000000"/>
              </a:solidFill>
              <a:effectLst/>
            </a:rPr>
            <a:t>Desk</a:t>
          </a:r>
          <a:r>
            <a:rPr lang="ja-JP" altLang="en-US" sz="900">
              <a:solidFill>
                <a:sysClr val="windowText" lastClr="000000"/>
              </a:solidFill>
              <a:effectLst/>
            </a:rPr>
            <a:t>シリーズのシリアルをいずれか１つご入力ください。</a:t>
          </a:r>
          <a:endParaRPr lang="en-US" altLang="ja-JP" sz="900">
            <a:solidFill>
              <a:sysClr val="windowText" lastClr="000000"/>
            </a:solidFill>
            <a:effectLst/>
          </a:endParaRPr>
        </a:p>
        <a:p>
          <a:r>
            <a:rPr lang="ja-JP" altLang="en-US" sz="900">
              <a:solidFill>
                <a:sysClr val="windowText" lastClr="000000"/>
              </a:solidFill>
              <a:effectLst/>
            </a:rPr>
            <a:t>また、ユーザー価格の対象製品を複数利用している場合は、</a:t>
          </a:r>
          <a:r>
            <a:rPr lang="ja-JP" altLang="en-US" sz="900" b="1">
              <a:solidFill>
                <a:sysClr val="windowText" lastClr="000000"/>
              </a:solidFill>
              <a:effectLst/>
            </a:rPr>
            <a:t>ライセンス数が最も多い製品</a:t>
          </a:r>
          <a:r>
            <a:rPr lang="ja-JP" altLang="en-US" sz="900">
              <a:solidFill>
                <a:sysClr val="windowText" lastClr="000000"/>
              </a:solidFill>
              <a:effectLst/>
            </a:rPr>
            <a:t>のシリアルを記入してください。</a:t>
          </a:r>
          <a:endParaRPr lang="en-US" altLang="ja-JP" sz="900">
            <a:solidFill>
              <a:sysClr val="windowText" lastClr="000000"/>
            </a:solidFill>
            <a:effectLst/>
          </a:endParaRPr>
        </a:p>
        <a:p>
          <a:r>
            <a:rPr lang="ja-JP" altLang="en-US" sz="900">
              <a:solidFill>
                <a:sysClr val="windowText" lastClr="000000"/>
              </a:solidFill>
              <a:effectLst/>
            </a:rPr>
            <a:t>（例）</a:t>
          </a:r>
          <a:r>
            <a:rPr lang="en-US" altLang="ja-JP" sz="900">
              <a:solidFill>
                <a:sysClr val="windowText" lastClr="000000"/>
              </a:solidFill>
              <a:effectLst/>
            </a:rPr>
            <a:t>i-FILTER</a:t>
          </a:r>
          <a:r>
            <a:rPr lang="ja-JP" altLang="en-US" sz="900">
              <a:solidFill>
                <a:sysClr val="windowText" lastClr="000000"/>
              </a:solidFill>
              <a:effectLst/>
            </a:rPr>
            <a:t>＠</a:t>
          </a:r>
          <a:r>
            <a:rPr lang="en-US" altLang="ja-JP" sz="900">
              <a:solidFill>
                <a:sysClr val="windowText" lastClr="000000"/>
              </a:solidFill>
              <a:effectLst/>
            </a:rPr>
            <a:t>Cloud</a:t>
          </a:r>
          <a:r>
            <a:rPr lang="ja-JP" altLang="en-US" sz="900">
              <a:solidFill>
                <a:sysClr val="windowText" lastClr="000000"/>
              </a:solidFill>
              <a:effectLst/>
            </a:rPr>
            <a:t>：</a:t>
          </a:r>
          <a:r>
            <a:rPr lang="en-US" altLang="ja-JP" sz="900">
              <a:solidFill>
                <a:sysClr val="windowText" lastClr="000000"/>
              </a:solidFill>
              <a:effectLst/>
            </a:rPr>
            <a:t>100</a:t>
          </a:r>
          <a:r>
            <a:rPr lang="ja-JP" altLang="en-US" sz="900">
              <a:solidFill>
                <a:sysClr val="windowText" lastClr="000000"/>
              </a:solidFill>
              <a:effectLst/>
            </a:rPr>
            <a:t>ライセンス　</a:t>
          </a:r>
          <a:r>
            <a:rPr lang="en-US" altLang="ja-JP" sz="900">
              <a:solidFill>
                <a:sysClr val="windowText" lastClr="000000"/>
              </a:solidFill>
              <a:effectLst/>
            </a:rPr>
            <a:t>m-FILTER</a:t>
          </a:r>
          <a:r>
            <a:rPr lang="ja-JP" altLang="en-US" sz="900">
              <a:solidFill>
                <a:sysClr val="windowText" lastClr="000000"/>
              </a:solidFill>
              <a:effectLst/>
            </a:rPr>
            <a:t>＠</a:t>
          </a:r>
          <a:r>
            <a:rPr lang="en-US" altLang="ja-JP" sz="900">
              <a:solidFill>
                <a:sysClr val="windowText" lastClr="000000"/>
              </a:solidFill>
              <a:effectLst/>
            </a:rPr>
            <a:t>Cloud</a:t>
          </a:r>
          <a:r>
            <a:rPr lang="ja-JP" altLang="en-US" sz="900">
              <a:solidFill>
                <a:sysClr val="windowText" lastClr="000000"/>
              </a:solidFill>
              <a:effectLst/>
            </a:rPr>
            <a:t>：</a:t>
          </a:r>
          <a:r>
            <a:rPr lang="en-US" altLang="ja-JP" sz="900">
              <a:solidFill>
                <a:sysClr val="windowText" lastClr="000000"/>
              </a:solidFill>
              <a:effectLst/>
            </a:rPr>
            <a:t>150</a:t>
          </a:r>
          <a:r>
            <a:rPr lang="ja-JP" altLang="en-US" sz="900">
              <a:solidFill>
                <a:sysClr val="windowText" lastClr="000000"/>
              </a:solidFill>
              <a:effectLst/>
            </a:rPr>
            <a:t>ライセンスをご利用中の場合</a:t>
          </a:r>
          <a:r>
            <a:rPr lang="en-US" altLang="ja-JP" sz="900">
              <a:solidFill>
                <a:sysClr val="windowText" lastClr="000000"/>
              </a:solidFill>
              <a:effectLst/>
            </a:rPr>
            <a:t>m-FILTER</a:t>
          </a:r>
          <a:r>
            <a:rPr lang="ja-JP" altLang="en-US" sz="900">
              <a:solidFill>
                <a:sysClr val="windowText" lastClr="000000"/>
              </a:solidFill>
              <a:effectLst/>
            </a:rPr>
            <a:t>＠</a:t>
          </a:r>
          <a:r>
            <a:rPr lang="en-US" altLang="ja-JP" sz="900">
              <a:solidFill>
                <a:sysClr val="windowText" lastClr="000000"/>
              </a:solidFill>
              <a:effectLst/>
            </a:rPr>
            <a:t>Cloud</a:t>
          </a:r>
          <a:r>
            <a:rPr lang="ja-JP" altLang="en-US" sz="900">
              <a:solidFill>
                <a:sysClr val="windowText" lastClr="000000"/>
              </a:solidFill>
              <a:effectLst/>
            </a:rPr>
            <a:t>のシリアルを記入</a:t>
          </a:r>
          <a:endParaRPr lang="en-US" altLang="ja-JP" sz="900">
            <a:solidFill>
              <a:sysClr val="windowText" lastClr="000000"/>
            </a:solidFill>
            <a:effectLst/>
          </a:endParaRPr>
        </a:p>
      </xdr:txBody>
    </xdr:sp>
    <xdr:clientData/>
  </xdr:twoCellAnchor>
  <xdr:twoCellAnchor>
    <xdr:from>
      <xdr:col>117</xdr:col>
      <xdr:colOff>175532</xdr:colOff>
      <xdr:row>53</xdr:row>
      <xdr:rowOff>91165</xdr:rowOff>
    </xdr:from>
    <xdr:to>
      <xdr:col>135</xdr:col>
      <xdr:colOff>19047</xdr:colOff>
      <xdr:row>68</xdr:row>
      <xdr:rowOff>19050</xdr:rowOff>
    </xdr:to>
    <xdr:sp macro="" textlink="">
      <xdr:nvSpPr>
        <xdr:cNvPr id="27" name="正方形/長方形 26">
          <a:extLst>
            <a:ext uri="{FF2B5EF4-FFF2-40B4-BE49-F238E27FC236}">
              <a16:creationId xmlns:a16="http://schemas.microsoft.com/office/drawing/2014/main" id="{FB3CDF26-95F2-4A81-B980-EEF0C096488F}"/>
            </a:ext>
          </a:extLst>
        </xdr:cNvPr>
        <xdr:cNvSpPr/>
      </xdr:nvSpPr>
      <xdr:spPr>
        <a:xfrm>
          <a:off x="10672082" y="5139415"/>
          <a:ext cx="1919965" cy="148363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試用版のご利用がない場合、</a:t>
          </a:r>
          <a:endParaRPr lang="en-US" altLang="ja-JP" sz="900">
            <a:solidFill>
              <a:sysClr val="windowText" lastClr="000000"/>
            </a:solidFill>
            <a:effectLst/>
          </a:endParaRPr>
        </a:p>
        <a:p>
          <a:r>
            <a:rPr lang="en-US" altLang="ja-JP" sz="900">
              <a:solidFill>
                <a:sysClr val="windowText" lastClr="000000"/>
              </a:solidFill>
              <a:effectLst/>
            </a:rPr>
            <a:t>a-FILTER</a:t>
          </a:r>
          <a:r>
            <a:rPr lang="ja-JP" altLang="en-US" sz="900">
              <a:solidFill>
                <a:sysClr val="windowText" lastClr="000000"/>
              </a:solidFill>
              <a:effectLst/>
            </a:rPr>
            <a:t>の管理者となるメールアドレスをご入力ください。</a:t>
          </a:r>
          <a:endParaRPr lang="en-US" altLang="ja-JP" sz="900">
            <a:solidFill>
              <a:sysClr val="windowText" lastClr="000000"/>
            </a:solidFill>
            <a:effectLst/>
          </a:endParaRPr>
        </a:p>
        <a:p>
          <a:endParaRPr lang="en-US" altLang="ja-JP" sz="300">
            <a:solidFill>
              <a:sysClr val="windowText" lastClr="000000"/>
            </a:solidFill>
            <a:effectLst/>
          </a:endParaRPr>
        </a:p>
        <a:p>
          <a:r>
            <a:rPr lang="ja-JP" altLang="en-US" sz="900">
              <a:solidFill>
                <a:sysClr val="windowText" lastClr="000000"/>
              </a:solidFill>
              <a:effectLst/>
            </a:rPr>
            <a:t>試用版のご利用がある場合は、</a:t>
          </a:r>
          <a:endParaRPr lang="en-US" altLang="ja-JP" sz="900">
            <a:solidFill>
              <a:sysClr val="windowText" lastClr="000000"/>
            </a:solidFill>
            <a:effectLst/>
          </a:endParaRPr>
        </a:p>
        <a:p>
          <a:r>
            <a:rPr lang="ja-JP" altLang="en-US" sz="900">
              <a:solidFill>
                <a:sysClr val="windowText" lastClr="000000"/>
              </a:solidFill>
              <a:effectLst/>
            </a:rPr>
            <a:t>この欄は入力せず、各製品申請欄に</a:t>
          </a:r>
          <a:endParaRPr lang="en-US" altLang="ja-JP" sz="900">
            <a:solidFill>
              <a:sysClr val="windowText" lastClr="000000"/>
            </a:solidFill>
            <a:effectLst/>
          </a:endParaRPr>
        </a:p>
        <a:p>
          <a:r>
            <a:rPr lang="ja-JP" altLang="en-US" sz="900">
              <a:solidFill>
                <a:sysClr val="windowText" lastClr="000000"/>
              </a:solidFill>
              <a:effectLst/>
            </a:rPr>
            <a:t>お進みください。</a:t>
          </a:r>
          <a:endParaRPr lang="en-US" altLang="ja-JP" sz="900">
            <a:solidFill>
              <a:sysClr val="windowText" lastClr="000000"/>
            </a:solidFill>
            <a:effectLst/>
          </a:endParaRPr>
        </a:p>
        <a:p>
          <a:r>
            <a:rPr lang="ja-JP" altLang="en-US" sz="900">
              <a:solidFill>
                <a:sysClr val="windowText" lastClr="000000"/>
              </a:solidFill>
              <a:effectLst/>
            </a:rPr>
            <a:t>管理者</a:t>
          </a:r>
          <a:r>
            <a:rPr lang="en-US" altLang="ja-JP" sz="900">
              <a:solidFill>
                <a:sysClr val="windowText" lastClr="000000"/>
              </a:solidFill>
              <a:effectLst/>
            </a:rPr>
            <a:t>E-mail</a:t>
          </a:r>
          <a:r>
            <a:rPr lang="ja-JP" altLang="en-US" sz="900">
              <a:solidFill>
                <a:sysClr val="windowText" lastClr="000000"/>
              </a:solidFill>
              <a:effectLst/>
            </a:rPr>
            <a:t>の最大文字数は</a:t>
          </a:r>
          <a:r>
            <a:rPr lang="en-US" altLang="ja-JP" sz="900">
              <a:solidFill>
                <a:sysClr val="windowText" lastClr="000000"/>
              </a:solidFill>
              <a:effectLst/>
            </a:rPr>
            <a:t>64</a:t>
          </a:r>
          <a:r>
            <a:rPr lang="ja-JP" altLang="en-US" sz="900">
              <a:solidFill>
                <a:sysClr val="windowText" lastClr="000000"/>
              </a:solidFill>
              <a:effectLst/>
            </a:rPr>
            <a:t>文字となります。</a:t>
          </a:r>
          <a:endParaRPr lang="en-US" altLang="ja-JP" sz="900">
            <a:solidFill>
              <a:sysClr val="windowText" lastClr="000000"/>
            </a:solidFill>
            <a:effectLst/>
          </a:endParaRPr>
        </a:p>
      </xdr:txBody>
    </xdr:sp>
    <xdr:clientData/>
  </xdr:twoCellAnchor>
  <xdr:twoCellAnchor>
    <xdr:from>
      <xdr:col>137</xdr:col>
      <xdr:colOff>57150</xdr:colOff>
      <xdr:row>52</xdr:row>
      <xdr:rowOff>76200</xdr:rowOff>
    </xdr:from>
    <xdr:to>
      <xdr:col>143</xdr:col>
      <xdr:colOff>57151</xdr:colOff>
      <xdr:row>54</xdr:row>
      <xdr:rowOff>57150</xdr:rowOff>
    </xdr:to>
    <xdr:sp macro="" textlink="">
      <xdr:nvSpPr>
        <xdr:cNvPr id="28" name="フローチャート : 結合子 26">
          <a:extLst>
            <a:ext uri="{FF2B5EF4-FFF2-40B4-BE49-F238E27FC236}">
              <a16:creationId xmlns:a16="http://schemas.microsoft.com/office/drawing/2014/main" id="{29EA39D3-49FF-438C-8A6D-5C3872213E1A}"/>
            </a:ext>
          </a:extLst>
        </xdr:cNvPr>
        <xdr:cNvSpPr/>
      </xdr:nvSpPr>
      <xdr:spPr>
        <a:xfrm>
          <a:off x="12807950" y="5029200"/>
          <a:ext cx="533401" cy="17145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8-2</a:t>
          </a:r>
        </a:p>
      </xdr:txBody>
    </xdr:sp>
    <xdr:clientData/>
  </xdr:twoCellAnchor>
  <xdr:twoCellAnchor>
    <xdr:from>
      <xdr:col>117</xdr:col>
      <xdr:colOff>76199</xdr:colOff>
      <xdr:row>52</xdr:row>
      <xdr:rowOff>57150</xdr:rowOff>
    </xdr:from>
    <xdr:to>
      <xdr:col>118</xdr:col>
      <xdr:colOff>28575</xdr:colOff>
      <xdr:row>54</xdr:row>
      <xdr:rowOff>47625</xdr:rowOff>
    </xdr:to>
    <xdr:sp macro="" textlink="">
      <xdr:nvSpPr>
        <xdr:cNvPr id="29" name="フローチャート : 結合子 26">
          <a:extLst>
            <a:ext uri="{FF2B5EF4-FFF2-40B4-BE49-F238E27FC236}">
              <a16:creationId xmlns:a16="http://schemas.microsoft.com/office/drawing/2014/main" id="{79DF4C22-8E8D-4F0A-8D06-6A3196BEACB0}"/>
            </a:ext>
          </a:extLst>
        </xdr:cNvPr>
        <xdr:cNvSpPr/>
      </xdr:nvSpPr>
      <xdr:spPr>
        <a:xfrm>
          <a:off x="10572749" y="5010150"/>
          <a:ext cx="517526" cy="180975"/>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8-1</a:t>
          </a:r>
        </a:p>
      </xdr:txBody>
    </xdr:sp>
    <xdr:clientData/>
  </xdr:twoCellAnchor>
  <xdr:twoCellAnchor>
    <xdr:from>
      <xdr:col>0</xdr:col>
      <xdr:colOff>0</xdr:colOff>
      <xdr:row>68</xdr:row>
      <xdr:rowOff>76199</xdr:rowOff>
    </xdr:from>
    <xdr:to>
      <xdr:col>1</xdr:col>
      <xdr:colOff>51975</xdr:colOff>
      <xdr:row>71</xdr:row>
      <xdr:rowOff>42449</xdr:rowOff>
    </xdr:to>
    <xdr:sp macro="" textlink="">
      <xdr:nvSpPr>
        <xdr:cNvPr id="30" name="フローチャート : 結合子 10">
          <a:extLst>
            <a:ext uri="{FF2B5EF4-FFF2-40B4-BE49-F238E27FC236}">
              <a16:creationId xmlns:a16="http://schemas.microsoft.com/office/drawing/2014/main" id="{A1F915B7-D459-41A7-8B83-1037E7D1723C}"/>
            </a:ext>
          </a:extLst>
        </xdr:cNvPr>
        <xdr:cNvSpPr/>
      </xdr:nvSpPr>
      <xdr:spPr>
        <a:xfrm>
          <a:off x="0" y="6680199"/>
          <a:ext cx="236125" cy="2901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0</xdr:col>
      <xdr:colOff>25399</xdr:colOff>
      <xdr:row>72</xdr:row>
      <xdr:rowOff>4642</xdr:rowOff>
    </xdr:from>
    <xdr:to>
      <xdr:col>3</xdr:col>
      <xdr:colOff>42332</xdr:colOff>
      <xdr:row>74</xdr:row>
      <xdr:rowOff>25401</xdr:rowOff>
    </xdr:to>
    <xdr:sp macro="" textlink="">
      <xdr:nvSpPr>
        <xdr:cNvPr id="31" name="フローチャート : 結合子 26">
          <a:extLst>
            <a:ext uri="{FF2B5EF4-FFF2-40B4-BE49-F238E27FC236}">
              <a16:creationId xmlns:a16="http://schemas.microsoft.com/office/drawing/2014/main" id="{8D2163E5-73AD-4871-9D38-3DC763261FB8}"/>
            </a:ext>
          </a:extLst>
        </xdr:cNvPr>
        <xdr:cNvSpPr/>
      </xdr:nvSpPr>
      <xdr:spPr>
        <a:xfrm>
          <a:off x="25399" y="7084892"/>
          <a:ext cx="366183" cy="211259"/>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8-1</a:t>
          </a:r>
        </a:p>
      </xdr:txBody>
    </xdr:sp>
    <xdr:clientData/>
  </xdr:twoCellAnchor>
  <xdr:twoCellAnchor>
    <xdr:from>
      <xdr:col>0</xdr:col>
      <xdr:colOff>31749</xdr:colOff>
      <xdr:row>75</xdr:row>
      <xdr:rowOff>20390</xdr:rowOff>
    </xdr:from>
    <xdr:to>
      <xdr:col>3</xdr:col>
      <xdr:colOff>42333</xdr:colOff>
      <xdr:row>77</xdr:row>
      <xdr:rowOff>38101</xdr:rowOff>
    </xdr:to>
    <xdr:sp macro="" textlink="">
      <xdr:nvSpPr>
        <xdr:cNvPr id="32" name="フローチャート : 結合子 26">
          <a:extLst>
            <a:ext uri="{FF2B5EF4-FFF2-40B4-BE49-F238E27FC236}">
              <a16:creationId xmlns:a16="http://schemas.microsoft.com/office/drawing/2014/main" id="{1A4F9D45-0743-4393-881B-1D4D98947FA9}"/>
            </a:ext>
          </a:extLst>
        </xdr:cNvPr>
        <xdr:cNvSpPr/>
      </xdr:nvSpPr>
      <xdr:spPr>
        <a:xfrm>
          <a:off x="31749" y="7386390"/>
          <a:ext cx="359834" cy="208211"/>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8-2</a:t>
          </a:r>
        </a:p>
      </xdr:txBody>
    </xdr:sp>
    <xdr:clientData/>
  </xdr:twoCellAnchor>
  <xdr:twoCellAnchor>
    <xdr:from>
      <xdr:col>117</xdr:col>
      <xdr:colOff>175532</xdr:colOff>
      <xdr:row>69</xdr:row>
      <xdr:rowOff>38100</xdr:rowOff>
    </xdr:from>
    <xdr:to>
      <xdr:col>160</xdr:col>
      <xdr:colOff>55907</xdr:colOff>
      <xdr:row>74</xdr:row>
      <xdr:rowOff>28575</xdr:rowOff>
    </xdr:to>
    <xdr:sp macro="" textlink="">
      <xdr:nvSpPr>
        <xdr:cNvPr id="33" name="正方形/長方形 32">
          <a:extLst>
            <a:ext uri="{FF2B5EF4-FFF2-40B4-BE49-F238E27FC236}">
              <a16:creationId xmlns:a16="http://schemas.microsoft.com/office/drawing/2014/main" id="{246DE26B-ECA0-4091-A129-7AD05C12C8C1}"/>
            </a:ext>
          </a:extLst>
        </xdr:cNvPr>
        <xdr:cNvSpPr/>
      </xdr:nvSpPr>
      <xdr:spPr>
        <a:xfrm>
          <a:off x="10672082" y="6737350"/>
          <a:ext cx="4179325" cy="5302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1">
              <a:solidFill>
                <a:srgbClr val="FF0000"/>
              </a:solidFill>
              <a:effectLst/>
              <a:latin typeface="+mn-lt"/>
              <a:ea typeface="+mn-ea"/>
              <a:cs typeface="+mn-cs"/>
            </a:rPr>
            <a:t>続いて購入する製品の申請欄に進みます。</a:t>
          </a:r>
          <a:endParaRPr lang="en-US" altLang="ja-JP" sz="900" b="1">
            <a:solidFill>
              <a:srgbClr val="FF0000"/>
            </a:solidFill>
            <a:effectLst/>
            <a:latin typeface="+mn-lt"/>
            <a:ea typeface="+mn-ea"/>
            <a:cs typeface="+mn-cs"/>
          </a:endParaRPr>
        </a:p>
        <a:p>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以下はご購入製品により、入力箇所が異なります。</a:t>
          </a:r>
        </a:p>
      </xdr:txBody>
    </xdr:sp>
    <xdr:clientData/>
  </xdr:twoCellAnchor>
  <xdr:twoCellAnchor>
    <xdr:from>
      <xdr:col>135</xdr:col>
      <xdr:colOff>19047</xdr:colOff>
      <xdr:row>61</xdr:row>
      <xdr:rowOff>74158</xdr:rowOff>
    </xdr:from>
    <xdr:to>
      <xdr:col>136</xdr:col>
      <xdr:colOff>91907</xdr:colOff>
      <xdr:row>69</xdr:row>
      <xdr:rowOff>38100</xdr:rowOff>
    </xdr:to>
    <xdr:cxnSp macro="">
      <xdr:nvCxnSpPr>
        <xdr:cNvPr id="34" name="カギ線コネクタ 4">
          <a:extLst>
            <a:ext uri="{FF2B5EF4-FFF2-40B4-BE49-F238E27FC236}">
              <a16:creationId xmlns:a16="http://schemas.microsoft.com/office/drawing/2014/main" id="{DFAAE331-2B51-4ECB-BA42-1A1C3072F007}"/>
            </a:ext>
          </a:extLst>
        </xdr:cNvPr>
        <xdr:cNvCxnSpPr>
          <a:stCxn id="27" idx="3"/>
          <a:endCxn id="33" idx="0"/>
        </xdr:cNvCxnSpPr>
      </xdr:nvCxnSpPr>
      <xdr:spPr>
        <a:xfrm>
          <a:off x="12592047" y="5884408"/>
          <a:ext cx="161760" cy="852942"/>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16942</xdr:colOff>
      <xdr:row>61</xdr:row>
      <xdr:rowOff>67096</xdr:rowOff>
    </xdr:from>
    <xdr:to>
      <xdr:col>138</xdr:col>
      <xdr:colOff>66674</xdr:colOff>
      <xdr:row>69</xdr:row>
      <xdr:rowOff>38100</xdr:rowOff>
    </xdr:to>
    <xdr:cxnSp macro="">
      <xdr:nvCxnSpPr>
        <xdr:cNvPr id="35" name="カギ線コネクタ 63">
          <a:extLst>
            <a:ext uri="{FF2B5EF4-FFF2-40B4-BE49-F238E27FC236}">
              <a16:creationId xmlns:a16="http://schemas.microsoft.com/office/drawing/2014/main" id="{8FF307F4-B666-40D1-9312-355B9F74A1E7}"/>
            </a:ext>
          </a:extLst>
        </xdr:cNvPr>
        <xdr:cNvCxnSpPr>
          <a:stCxn id="26" idx="1"/>
          <a:endCxn id="33" idx="0"/>
        </xdr:cNvCxnSpPr>
      </xdr:nvCxnSpPr>
      <xdr:spPr>
        <a:xfrm rot="10800000" flipV="1">
          <a:off x="13147331" y="6092540"/>
          <a:ext cx="141454" cy="874116"/>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0</xdr:colOff>
      <xdr:row>51</xdr:row>
      <xdr:rowOff>85725</xdr:rowOff>
    </xdr:from>
    <xdr:to>
      <xdr:col>121</xdr:col>
      <xdr:colOff>9525</xdr:colOff>
      <xdr:row>54</xdr:row>
      <xdr:rowOff>21300</xdr:rowOff>
    </xdr:to>
    <xdr:cxnSp macro="">
      <xdr:nvCxnSpPr>
        <xdr:cNvPr id="36" name="直線矢印コネクタ 35">
          <a:extLst>
            <a:ext uri="{FF2B5EF4-FFF2-40B4-BE49-F238E27FC236}">
              <a16:creationId xmlns:a16="http://schemas.microsoft.com/office/drawing/2014/main" id="{8715FCA1-4684-4972-A3F2-5070FC17E811}"/>
            </a:ext>
          </a:extLst>
        </xdr:cNvPr>
        <xdr:cNvCxnSpPr/>
      </xdr:nvCxnSpPr>
      <xdr:spPr>
        <a:xfrm>
          <a:off x="11328400" y="4943475"/>
          <a:ext cx="9525" cy="221325"/>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xdr:col>
      <xdr:colOff>32657</xdr:colOff>
      <xdr:row>52</xdr:row>
      <xdr:rowOff>0</xdr:rowOff>
    </xdr:from>
    <xdr:to>
      <xdr:col>149</xdr:col>
      <xdr:colOff>38100</xdr:colOff>
      <xdr:row>54</xdr:row>
      <xdr:rowOff>7694</xdr:rowOff>
    </xdr:to>
    <xdr:cxnSp macro="">
      <xdr:nvCxnSpPr>
        <xdr:cNvPr id="37" name="直線矢印コネクタ 36">
          <a:extLst>
            <a:ext uri="{FF2B5EF4-FFF2-40B4-BE49-F238E27FC236}">
              <a16:creationId xmlns:a16="http://schemas.microsoft.com/office/drawing/2014/main" id="{B65F3501-256D-40F2-8BAD-630B108113FA}"/>
            </a:ext>
          </a:extLst>
        </xdr:cNvPr>
        <xdr:cNvCxnSpPr/>
      </xdr:nvCxnSpPr>
      <xdr:spPr>
        <a:xfrm flipH="1">
          <a:off x="13850257" y="4953000"/>
          <a:ext cx="5443" cy="198194"/>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21167</xdr:colOff>
      <xdr:row>80</xdr:row>
      <xdr:rowOff>28574</xdr:rowOff>
    </xdr:from>
    <xdr:to>
      <xdr:col>117</xdr:col>
      <xdr:colOff>1059</xdr:colOff>
      <xdr:row>82</xdr:row>
      <xdr:rowOff>35551</xdr:rowOff>
    </xdr:to>
    <xdr:sp macro="" textlink="">
      <xdr:nvSpPr>
        <xdr:cNvPr id="38" name="フローチャート : 結合子 10">
          <a:extLst>
            <a:ext uri="{FF2B5EF4-FFF2-40B4-BE49-F238E27FC236}">
              <a16:creationId xmlns:a16="http://schemas.microsoft.com/office/drawing/2014/main" id="{F222621F-44A2-48CC-A4E4-0127D8267B4A}"/>
            </a:ext>
          </a:extLst>
        </xdr:cNvPr>
        <xdr:cNvSpPr/>
      </xdr:nvSpPr>
      <xdr:spPr>
        <a:xfrm>
          <a:off x="9599084" y="7828491"/>
          <a:ext cx="403225" cy="197477"/>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9-2</a:t>
          </a:r>
        </a:p>
      </xdr:txBody>
    </xdr:sp>
    <xdr:clientData/>
  </xdr:twoCellAnchor>
  <xdr:twoCellAnchor>
    <xdr:from>
      <xdr:col>117</xdr:col>
      <xdr:colOff>127906</xdr:colOff>
      <xdr:row>79</xdr:row>
      <xdr:rowOff>38100</xdr:rowOff>
    </xdr:from>
    <xdr:to>
      <xdr:col>169</xdr:col>
      <xdr:colOff>66675</xdr:colOff>
      <xdr:row>85</xdr:row>
      <xdr:rowOff>0</xdr:rowOff>
    </xdr:to>
    <xdr:sp macro="" textlink="">
      <xdr:nvSpPr>
        <xdr:cNvPr id="39" name="正方形/長方形 38">
          <a:extLst>
            <a:ext uri="{FF2B5EF4-FFF2-40B4-BE49-F238E27FC236}">
              <a16:creationId xmlns:a16="http://schemas.microsoft.com/office/drawing/2014/main" id="{45A86DBC-55EE-4BA8-A867-957E4CE9DE46}"/>
            </a:ext>
          </a:extLst>
        </xdr:cNvPr>
        <xdr:cNvSpPr/>
      </xdr:nvSpPr>
      <xdr:spPr>
        <a:xfrm>
          <a:off x="10624456" y="7854950"/>
          <a:ext cx="5037819" cy="57150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「製品区分」や「申請区分」および必要な申請内容（</a:t>
          </a:r>
          <a:r>
            <a:rPr lang="ja-JP" altLang="en-US" sz="900" b="1">
              <a:solidFill>
                <a:sysClr val="windowText" lastClr="000000"/>
              </a:solidFill>
              <a:effectLst/>
              <a:latin typeface="+mn-lt"/>
              <a:ea typeface="+mn-ea"/>
              <a:cs typeface="+mn-cs"/>
            </a:rPr>
            <a:t>赤くなるセルの箇所</a:t>
          </a:r>
          <a:r>
            <a:rPr lang="ja-JP" altLang="en-US" sz="900">
              <a:solidFill>
                <a:sysClr val="windowText" lastClr="000000"/>
              </a:solidFill>
              <a:effectLst/>
              <a:latin typeface="+mn-lt"/>
              <a:ea typeface="+mn-ea"/>
              <a:cs typeface="+mn-cs"/>
            </a:rPr>
            <a:t>）をご入力ください。</a:t>
          </a:r>
        </a:p>
        <a:p>
          <a:r>
            <a:rPr lang="ja-JP" altLang="en-US" sz="900">
              <a:solidFill>
                <a:sysClr val="windowText" lastClr="000000"/>
              </a:solidFill>
              <a:effectLst/>
              <a:latin typeface="+mn-lt"/>
              <a:ea typeface="+mn-ea"/>
              <a:cs typeface="+mn-cs"/>
            </a:rPr>
            <a:t>「ライセンス数」を入力すると、</a:t>
          </a:r>
          <a:r>
            <a:rPr lang="en-US" altLang="ja-JP" sz="900">
              <a:solidFill>
                <a:sysClr val="windowText" lastClr="000000"/>
              </a:solidFill>
              <a:effectLst/>
              <a:latin typeface="+mn-lt"/>
              <a:ea typeface="+mn-ea"/>
              <a:cs typeface="+mn-cs"/>
            </a:rPr>
            <a:t>130</a:t>
          </a:r>
          <a:r>
            <a:rPr lang="ja-JP" altLang="en-US" sz="900">
              <a:solidFill>
                <a:sysClr val="windowText" lastClr="000000"/>
              </a:solidFill>
              <a:effectLst/>
              <a:latin typeface="+mn-lt"/>
              <a:ea typeface="+mn-ea"/>
              <a:cs typeface="+mn-cs"/>
            </a:rPr>
            <a:t>％の値が「登録ユーザー数」として自動で表示されます。</a:t>
          </a:r>
          <a:endParaRPr lang="en-US" altLang="ja-JP" sz="900">
            <a:solidFill>
              <a:sysClr val="windowText" lastClr="000000"/>
            </a:solidFill>
            <a:effectLst/>
            <a:latin typeface="+mn-lt"/>
            <a:ea typeface="+mn-ea"/>
            <a:cs typeface="+mn-cs"/>
          </a:endParaRPr>
        </a:p>
      </xdr:txBody>
    </xdr:sp>
    <xdr:clientData/>
  </xdr:twoCellAnchor>
  <xdr:twoCellAnchor>
    <xdr:from>
      <xdr:col>117</xdr:col>
      <xdr:colOff>57149</xdr:colOff>
      <xdr:row>79</xdr:row>
      <xdr:rowOff>0</xdr:rowOff>
    </xdr:from>
    <xdr:to>
      <xdr:col>117</xdr:col>
      <xdr:colOff>466725</xdr:colOff>
      <xdr:row>80</xdr:row>
      <xdr:rowOff>94274</xdr:rowOff>
    </xdr:to>
    <xdr:sp macro="" textlink="">
      <xdr:nvSpPr>
        <xdr:cNvPr id="40" name="フローチャート : 結合子 10">
          <a:extLst>
            <a:ext uri="{FF2B5EF4-FFF2-40B4-BE49-F238E27FC236}">
              <a16:creationId xmlns:a16="http://schemas.microsoft.com/office/drawing/2014/main" id="{C4B3E39A-5C29-458C-B09D-D00857460EE3}"/>
            </a:ext>
          </a:extLst>
        </xdr:cNvPr>
        <xdr:cNvSpPr/>
      </xdr:nvSpPr>
      <xdr:spPr>
        <a:xfrm>
          <a:off x="10553699" y="7715250"/>
          <a:ext cx="409576" cy="151424"/>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xdr:row>
      <xdr:rowOff>0</xdr:rowOff>
    </xdr:from>
    <xdr:to>
      <xdr:col>88</xdr:col>
      <xdr:colOff>62468</xdr:colOff>
      <xdr:row>7</xdr:row>
      <xdr:rowOff>38757</xdr:rowOff>
    </xdr:to>
    <xdr:sp macro="" textlink="">
      <xdr:nvSpPr>
        <xdr:cNvPr id="2" name="テキスト ボックス 1">
          <a:extLst>
            <a:ext uri="{FF2B5EF4-FFF2-40B4-BE49-F238E27FC236}">
              <a16:creationId xmlns:a16="http://schemas.microsoft.com/office/drawing/2014/main" id="{FB335135-94C1-4337-B535-60AF64842A40}"/>
            </a:ext>
          </a:extLst>
        </xdr:cNvPr>
        <xdr:cNvSpPr txBox="1"/>
      </xdr:nvSpPr>
      <xdr:spPr bwMode="auto">
        <a:xfrm>
          <a:off x="184150" y="571500"/>
          <a:ext cx="7796768" cy="134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9525</xdr:colOff>
      <xdr:row>18</xdr:row>
      <xdr:rowOff>0</xdr:rowOff>
    </xdr:to>
    <xdr:sp macro="" textlink="">
      <xdr:nvSpPr>
        <xdr:cNvPr id="3" name="テキスト ボックス 2">
          <a:extLst>
            <a:ext uri="{FF2B5EF4-FFF2-40B4-BE49-F238E27FC236}">
              <a16:creationId xmlns:a16="http://schemas.microsoft.com/office/drawing/2014/main" id="{FEF44CC5-DC79-485B-B3D1-A6FD72F19C68}"/>
            </a:ext>
          </a:extLst>
        </xdr:cNvPr>
        <xdr:cNvSpPr txBox="1"/>
      </xdr:nvSpPr>
      <xdr:spPr bwMode="auto">
        <a:xfrm>
          <a:off x="184150" y="762000"/>
          <a:ext cx="95218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78</xdr:col>
      <xdr:colOff>0</xdr:colOff>
      <xdr:row>14</xdr:row>
      <xdr:rowOff>9525</xdr:rowOff>
    </xdr:from>
    <xdr:to>
      <xdr:col>109</xdr:col>
      <xdr:colOff>24493</xdr:colOff>
      <xdr:row>17</xdr:row>
      <xdr:rowOff>33107</xdr:rowOff>
    </xdr:to>
    <xdr:sp macro="" textlink="">
      <xdr:nvSpPr>
        <xdr:cNvPr id="4" name="テキスト ボックス 3">
          <a:extLst>
            <a:ext uri="{FF2B5EF4-FFF2-40B4-BE49-F238E27FC236}">
              <a16:creationId xmlns:a16="http://schemas.microsoft.com/office/drawing/2014/main" id="{BDAF0063-B894-4892-9731-36D5D20DDD70}"/>
            </a:ext>
          </a:extLst>
        </xdr:cNvPr>
        <xdr:cNvSpPr txBox="1"/>
      </xdr:nvSpPr>
      <xdr:spPr bwMode="auto">
        <a:xfrm>
          <a:off x="7029450" y="1343025"/>
          <a:ext cx="2780393" cy="309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56</xdr:col>
      <xdr:colOff>47627</xdr:colOff>
      <xdr:row>22</xdr:row>
      <xdr:rowOff>28575</xdr:rowOff>
    </xdr:from>
    <xdr:to>
      <xdr:col>59</xdr:col>
      <xdr:colOff>13877</xdr:colOff>
      <xdr:row>24</xdr:row>
      <xdr:rowOff>90075</xdr:rowOff>
    </xdr:to>
    <xdr:sp macro="" textlink="">
      <xdr:nvSpPr>
        <xdr:cNvPr id="5" name="フローチャート : 結合子 5">
          <a:extLst>
            <a:ext uri="{FF2B5EF4-FFF2-40B4-BE49-F238E27FC236}">
              <a16:creationId xmlns:a16="http://schemas.microsoft.com/office/drawing/2014/main" id="{0DF3A2CD-EBB8-4D47-867D-BCF4934370C6}"/>
            </a:ext>
          </a:extLst>
        </xdr:cNvPr>
        <xdr:cNvSpPr/>
      </xdr:nvSpPr>
      <xdr:spPr>
        <a:xfrm>
          <a:off x="5121277" y="2124075"/>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47626</xdr:colOff>
      <xdr:row>26</xdr:row>
      <xdr:rowOff>66673</xdr:rowOff>
    </xdr:from>
    <xdr:to>
      <xdr:col>59</xdr:col>
      <xdr:colOff>13876</xdr:colOff>
      <xdr:row>29</xdr:row>
      <xdr:rowOff>32923</xdr:rowOff>
    </xdr:to>
    <xdr:sp macro="" textlink="">
      <xdr:nvSpPr>
        <xdr:cNvPr id="6" name="フローチャート : 結合子 10">
          <a:extLst>
            <a:ext uri="{FF2B5EF4-FFF2-40B4-BE49-F238E27FC236}">
              <a16:creationId xmlns:a16="http://schemas.microsoft.com/office/drawing/2014/main" id="{41E39197-6324-413E-B5C2-52197D014CE2}"/>
            </a:ext>
          </a:extLst>
        </xdr:cNvPr>
        <xdr:cNvSpPr/>
      </xdr:nvSpPr>
      <xdr:spPr>
        <a:xfrm>
          <a:off x="5121276" y="2543173"/>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9526</xdr:colOff>
      <xdr:row>44</xdr:row>
      <xdr:rowOff>28573</xdr:rowOff>
    </xdr:from>
    <xdr:to>
      <xdr:col>59</xdr:col>
      <xdr:colOff>71026</xdr:colOff>
      <xdr:row>46</xdr:row>
      <xdr:rowOff>90073</xdr:rowOff>
    </xdr:to>
    <xdr:sp macro="" textlink="">
      <xdr:nvSpPr>
        <xdr:cNvPr id="7" name="フローチャート : 結合子 10">
          <a:extLst>
            <a:ext uri="{FF2B5EF4-FFF2-40B4-BE49-F238E27FC236}">
              <a16:creationId xmlns:a16="http://schemas.microsoft.com/office/drawing/2014/main" id="{B3A26F46-BA4F-4183-9BDA-374762B70385}"/>
            </a:ext>
          </a:extLst>
        </xdr:cNvPr>
        <xdr:cNvSpPr/>
      </xdr:nvSpPr>
      <xdr:spPr>
        <a:xfrm>
          <a:off x="5172076" y="4219573"/>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56</xdr:col>
      <xdr:colOff>57151</xdr:colOff>
      <xdr:row>40</xdr:row>
      <xdr:rowOff>9523</xdr:rowOff>
    </xdr:from>
    <xdr:to>
      <xdr:col>59</xdr:col>
      <xdr:colOff>23401</xdr:colOff>
      <xdr:row>42</xdr:row>
      <xdr:rowOff>71023</xdr:rowOff>
    </xdr:to>
    <xdr:sp macro="" textlink="">
      <xdr:nvSpPr>
        <xdr:cNvPr id="8" name="フローチャート : 結合子 10">
          <a:extLst>
            <a:ext uri="{FF2B5EF4-FFF2-40B4-BE49-F238E27FC236}">
              <a16:creationId xmlns:a16="http://schemas.microsoft.com/office/drawing/2014/main" id="{7D9A9350-852F-4D75-8EC7-6E0E566A0D98}"/>
            </a:ext>
          </a:extLst>
        </xdr:cNvPr>
        <xdr:cNvSpPr/>
      </xdr:nvSpPr>
      <xdr:spPr>
        <a:xfrm>
          <a:off x="5130801" y="3819523"/>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38100</xdr:colOff>
      <xdr:row>58</xdr:row>
      <xdr:rowOff>38099</xdr:rowOff>
    </xdr:from>
    <xdr:to>
      <xdr:col>59</xdr:col>
      <xdr:colOff>4350</xdr:colOff>
      <xdr:row>61</xdr:row>
      <xdr:rowOff>4349</xdr:rowOff>
    </xdr:to>
    <xdr:sp macro="" textlink="">
      <xdr:nvSpPr>
        <xdr:cNvPr id="9" name="フローチャート : 結合子 10">
          <a:extLst>
            <a:ext uri="{FF2B5EF4-FFF2-40B4-BE49-F238E27FC236}">
              <a16:creationId xmlns:a16="http://schemas.microsoft.com/office/drawing/2014/main" id="{A22868E9-C6BE-4DE2-9BF9-645CB4A4B0A5}"/>
            </a:ext>
          </a:extLst>
        </xdr:cNvPr>
        <xdr:cNvSpPr/>
      </xdr:nvSpPr>
      <xdr:spPr>
        <a:xfrm>
          <a:off x="5111750" y="5562599"/>
          <a:ext cx="2329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113</xdr:col>
      <xdr:colOff>95249</xdr:colOff>
      <xdr:row>45</xdr:row>
      <xdr:rowOff>66675</xdr:rowOff>
    </xdr:from>
    <xdr:to>
      <xdr:col>116</xdr:col>
      <xdr:colOff>61499</xdr:colOff>
      <xdr:row>48</xdr:row>
      <xdr:rowOff>32925</xdr:rowOff>
    </xdr:to>
    <xdr:sp macro="" textlink="">
      <xdr:nvSpPr>
        <xdr:cNvPr id="10" name="フローチャート : 結合子 10">
          <a:extLst>
            <a:ext uri="{FF2B5EF4-FFF2-40B4-BE49-F238E27FC236}">
              <a16:creationId xmlns:a16="http://schemas.microsoft.com/office/drawing/2014/main" id="{E4E84772-08F6-484A-A128-E26D0F676364}"/>
            </a:ext>
          </a:extLst>
        </xdr:cNvPr>
        <xdr:cNvSpPr/>
      </xdr:nvSpPr>
      <xdr:spPr>
        <a:xfrm>
          <a:off x="10229849" y="4352925"/>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9525</xdr:colOff>
      <xdr:row>16</xdr:row>
      <xdr:rowOff>57150</xdr:rowOff>
    </xdr:from>
    <xdr:to>
      <xdr:col>115</xdr:col>
      <xdr:colOff>71025</xdr:colOff>
      <xdr:row>19</xdr:row>
      <xdr:rowOff>23400</xdr:rowOff>
    </xdr:to>
    <xdr:sp macro="" textlink="">
      <xdr:nvSpPr>
        <xdr:cNvPr id="11" name="フローチャート : 結合子 10">
          <a:extLst>
            <a:ext uri="{FF2B5EF4-FFF2-40B4-BE49-F238E27FC236}">
              <a16:creationId xmlns:a16="http://schemas.microsoft.com/office/drawing/2014/main" id="{3B3DC806-89E6-48C2-97D1-AAE4FF0012BC}"/>
            </a:ext>
          </a:extLst>
        </xdr:cNvPr>
        <xdr:cNvSpPr/>
      </xdr:nvSpPr>
      <xdr:spPr>
        <a:xfrm>
          <a:off x="10150475" y="1581150"/>
          <a:ext cx="2393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117</xdr:col>
      <xdr:colOff>175532</xdr:colOff>
      <xdr:row>36</xdr:row>
      <xdr:rowOff>66676</xdr:rowOff>
    </xdr:from>
    <xdr:to>
      <xdr:col>160</xdr:col>
      <xdr:colOff>55907</xdr:colOff>
      <xdr:row>46</xdr:row>
      <xdr:rowOff>28576</xdr:rowOff>
    </xdr:to>
    <xdr:sp macro="" textlink="">
      <xdr:nvSpPr>
        <xdr:cNvPr id="12" name="正方形/長方形 11">
          <a:extLst>
            <a:ext uri="{FF2B5EF4-FFF2-40B4-BE49-F238E27FC236}">
              <a16:creationId xmlns:a16="http://schemas.microsoft.com/office/drawing/2014/main" id="{B560E8CC-5D4A-4551-B840-A224634D35CC}"/>
            </a:ext>
          </a:extLst>
        </xdr:cNvPr>
        <xdr:cNvSpPr/>
      </xdr:nvSpPr>
      <xdr:spPr>
        <a:xfrm>
          <a:off x="10672082" y="3495676"/>
          <a:ext cx="4179325" cy="91440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endParaRPr lang="en-US" altLang="ja-JP" sz="900" b="1">
            <a:solidFill>
              <a:srgbClr val="FF0000"/>
            </a:solidFill>
            <a:effectLst/>
          </a:endParaRPr>
        </a:p>
      </xdr:txBody>
    </xdr:sp>
    <xdr:clientData/>
  </xdr:twoCellAnchor>
  <xdr:twoCellAnchor>
    <xdr:from>
      <xdr:col>117</xdr:col>
      <xdr:colOff>114300</xdr:colOff>
      <xdr:row>35</xdr:row>
      <xdr:rowOff>0</xdr:rowOff>
    </xdr:from>
    <xdr:to>
      <xdr:col>117</xdr:col>
      <xdr:colOff>366300</xdr:colOff>
      <xdr:row>37</xdr:row>
      <xdr:rowOff>61500</xdr:rowOff>
    </xdr:to>
    <xdr:sp macro="" textlink="">
      <xdr:nvSpPr>
        <xdr:cNvPr id="13" name="フローチャート : 結合子 26">
          <a:extLst>
            <a:ext uri="{FF2B5EF4-FFF2-40B4-BE49-F238E27FC236}">
              <a16:creationId xmlns:a16="http://schemas.microsoft.com/office/drawing/2014/main" id="{255E36F5-4E44-4263-9D03-BB819DF5DD5B}"/>
            </a:ext>
          </a:extLst>
        </xdr:cNvPr>
        <xdr:cNvSpPr/>
      </xdr:nvSpPr>
      <xdr:spPr>
        <a:xfrm>
          <a:off x="10610850" y="3333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117</xdr:col>
      <xdr:colOff>175532</xdr:colOff>
      <xdr:row>47</xdr:row>
      <xdr:rowOff>19051</xdr:rowOff>
    </xdr:from>
    <xdr:to>
      <xdr:col>160</xdr:col>
      <xdr:colOff>55907</xdr:colOff>
      <xdr:row>51</xdr:row>
      <xdr:rowOff>66675</xdr:rowOff>
    </xdr:to>
    <xdr:sp macro="" textlink="">
      <xdr:nvSpPr>
        <xdr:cNvPr id="14" name="正方形/長方形 13">
          <a:extLst>
            <a:ext uri="{FF2B5EF4-FFF2-40B4-BE49-F238E27FC236}">
              <a16:creationId xmlns:a16="http://schemas.microsoft.com/office/drawing/2014/main" id="{4D5C77FE-2937-4073-AE8E-B07E03210307}"/>
            </a:ext>
          </a:extLst>
        </xdr:cNvPr>
        <xdr:cNvSpPr/>
      </xdr:nvSpPr>
      <xdr:spPr>
        <a:xfrm>
          <a:off x="10672082" y="4495801"/>
          <a:ext cx="4179325" cy="4286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f-FILTER</a:t>
          </a:r>
          <a:r>
            <a:rPr lang="ja-JP" altLang="en-US" sz="900">
              <a:solidFill>
                <a:sysClr val="windowText" lastClr="000000"/>
              </a:solidFill>
              <a:effectLst/>
              <a:latin typeface="+mn-lt"/>
              <a:ea typeface="+mn-ea"/>
              <a:cs typeface="+mn-cs"/>
            </a:rPr>
            <a:t>ご注文の場合、</a:t>
          </a:r>
          <a:r>
            <a:rPr lang="en-US" altLang="ja-JP" sz="900">
              <a:solidFill>
                <a:sysClr val="windowText" lastClr="000000"/>
              </a:solidFill>
              <a:effectLst/>
              <a:latin typeface="+mn-lt"/>
              <a:ea typeface="+mn-ea"/>
              <a:cs typeface="+mn-cs"/>
            </a:rPr>
            <a:t>DigitalArts@Cloud</a:t>
          </a:r>
          <a:r>
            <a:rPr lang="ja-JP" altLang="en-US" sz="900">
              <a:solidFill>
                <a:sysClr val="windowText" lastClr="000000"/>
              </a:solidFill>
              <a:effectLst/>
              <a:latin typeface="+mn-lt"/>
              <a:ea typeface="+mn-ea"/>
              <a:cs typeface="+mn-cs"/>
            </a:rPr>
            <a:t>もしくは、</a:t>
          </a:r>
          <a:r>
            <a:rPr lang="en-US" altLang="ja-JP" sz="900">
              <a:solidFill>
                <a:sysClr val="windowText" lastClr="000000"/>
              </a:solidFill>
              <a:effectLst/>
              <a:latin typeface="+mn-lt"/>
              <a:ea typeface="+mn-ea"/>
              <a:cs typeface="+mn-cs"/>
            </a:rPr>
            <a:t>StartIn</a:t>
          </a:r>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Desk</a:t>
          </a:r>
          <a:r>
            <a:rPr lang="ja-JP" altLang="en-US" sz="900">
              <a:solidFill>
                <a:sysClr val="windowText" lastClr="000000"/>
              </a:solidFill>
              <a:effectLst/>
              <a:latin typeface="+mn-lt"/>
              <a:ea typeface="+mn-ea"/>
              <a:cs typeface="+mn-cs"/>
            </a:rPr>
            <a:t>シリーズ の既存のご契約</a:t>
          </a:r>
          <a:br>
            <a:rPr lang="en-US" altLang="ja-JP" sz="900">
              <a:solidFill>
                <a:sysClr val="windowText" lastClr="000000"/>
              </a:solidFill>
              <a:effectLst/>
              <a:latin typeface="+mn-lt"/>
              <a:ea typeface="+mn-ea"/>
              <a:cs typeface="+mn-cs"/>
            </a:rPr>
          </a:br>
          <a:r>
            <a:rPr lang="ja-JP" altLang="en-US" sz="900">
              <a:solidFill>
                <a:sysClr val="windowText" lastClr="000000"/>
              </a:solidFill>
              <a:effectLst/>
              <a:latin typeface="+mn-lt"/>
              <a:ea typeface="+mn-ea"/>
              <a:cs typeface="+mn-cs"/>
            </a:rPr>
            <a:t>（試用版は対象外）の有無をご選択ください。</a:t>
          </a:r>
          <a:endParaRPr lang="ja-JP" altLang="ja-JP" sz="900">
            <a:solidFill>
              <a:sysClr val="windowText" lastClr="000000"/>
            </a:solidFill>
            <a:effectLst/>
          </a:endParaRPr>
        </a:p>
      </xdr:txBody>
    </xdr:sp>
    <xdr:clientData/>
  </xdr:twoCellAnchor>
  <xdr:twoCellAnchor>
    <xdr:from>
      <xdr:col>117</xdr:col>
      <xdr:colOff>76200</xdr:colOff>
      <xdr:row>45</xdr:row>
      <xdr:rowOff>57150</xdr:rowOff>
    </xdr:from>
    <xdr:to>
      <xdr:col>117</xdr:col>
      <xdr:colOff>328200</xdr:colOff>
      <xdr:row>48</xdr:row>
      <xdr:rowOff>23400</xdr:rowOff>
    </xdr:to>
    <xdr:sp macro="" textlink="">
      <xdr:nvSpPr>
        <xdr:cNvPr id="15" name="フローチャート : 結合子 26">
          <a:extLst>
            <a:ext uri="{FF2B5EF4-FFF2-40B4-BE49-F238E27FC236}">
              <a16:creationId xmlns:a16="http://schemas.microsoft.com/office/drawing/2014/main" id="{E3051468-6BA4-4047-8273-2E7E105EA48A}"/>
            </a:ext>
          </a:extLst>
        </xdr:cNvPr>
        <xdr:cNvSpPr/>
      </xdr:nvSpPr>
      <xdr:spPr>
        <a:xfrm>
          <a:off x="10572750" y="43434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117</xdr:col>
      <xdr:colOff>175532</xdr:colOff>
      <xdr:row>2</xdr:row>
      <xdr:rowOff>38102</xdr:rowOff>
    </xdr:from>
    <xdr:to>
      <xdr:col>160</xdr:col>
      <xdr:colOff>55907</xdr:colOff>
      <xdr:row>5</xdr:row>
      <xdr:rowOff>66675</xdr:rowOff>
    </xdr:to>
    <xdr:sp macro="" textlink="">
      <xdr:nvSpPr>
        <xdr:cNvPr id="16" name="正方形/長方形 15">
          <a:extLst>
            <a:ext uri="{FF2B5EF4-FFF2-40B4-BE49-F238E27FC236}">
              <a16:creationId xmlns:a16="http://schemas.microsoft.com/office/drawing/2014/main" id="{FB56A67A-1D42-447C-8409-3755E36479F9}"/>
            </a:ext>
          </a:extLst>
        </xdr:cNvPr>
        <xdr:cNvSpPr/>
      </xdr:nvSpPr>
      <xdr:spPr>
        <a:xfrm>
          <a:off x="10672082" y="228602"/>
          <a:ext cx="4179325" cy="314323"/>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となります。必ずご記入ください。</a:t>
          </a:r>
        </a:p>
      </xdr:txBody>
    </xdr:sp>
    <xdr:clientData/>
  </xdr:twoCellAnchor>
  <xdr:twoCellAnchor>
    <xdr:from>
      <xdr:col>117</xdr:col>
      <xdr:colOff>66675</xdr:colOff>
      <xdr:row>0</xdr:row>
      <xdr:rowOff>66675</xdr:rowOff>
    </xdr:from>
    <xdr:to>
      <xdr:col>117</xdr:col>
      <xdr:colOff>318675</xdr:colOff>
      <xdr:row>3</xdr:row>
      <xdr:rowOff>32925</xdr:rowOff>
    </xdr:to>
    <xdr:sp macro="" textlink="">
      <xdr:nvSpPr>
        <xdr:cNvPr id="17" name="フローチャート : 結合子 24">
          <a:extLst>
            <a:ext uri="{FF2B5EF4-FFF2-40B4-BE49-F238E27FC236}">
              <a16:creationId xmlns:a16="http://schemas.microsoft.com/office/drawing/2014/main" id="{E2F9E402-DCD4-46D1-A933-CC810B2011E5}"/>
            </a:ext>
          </a:extLst>
        </xdr:cNvPr>
        <xdr:cNvSpPr/>
      </xdr:nvSpPr>
      <xdr:spPr>
        <a:xfrm>
          <a:off x="10563225" y="66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117</xdr:col>
      <xdr:colOff>175532</xdr:colOff>
      <xdr:row>7</xdr:row>
      <xdr:rowOff>72119</xdr:rowOff>
    </xdr:from>
    <xdr:to>
      <xdr:col>160</xdr:col>
      <xdr:colOff>55907</xdr:colOff>
      <xdr:row>11</xdr:row>
      <xdr:rowOff>28575</xdr:rowOff>
    </xdr:to>
    <xdr:sp macro="" textlink="">
      <xdr:nvSpPr>
        <xdr:cNvPr id="18" name="正方形/長方形 17">
          <a:extLst>
            <a:ext uri="{FF2B5EF4-FFF2-40B4-BE49-F238E27FC236}">
              <a16:creationId xmlns:a16="http://schemas.microsoft.com/office/drawing/2014/main" id="{54211D23-5567-4A28-8120-F1B3E614D012}"/>
            </a:ext>
          </a:extLst>
        </xdr:cNvPr>
        <xdr:cNvSpPr/>
      </xdr:nvSpPr>
      <xdr:spPr>
        <a:xfrm>
          <a:off x="10672082" y="738869"/>
          <a:ext cx="4179325"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117</xdr:col>
      <xdr:colOff>95250</xdr:colOff>
      <xdr:row>6</xdr:row>
      <xdr:rowOff>38100</xdr:rowOff>
    </xdr:from>
    <xdr:to>
      <xdr:col>117</xdr:col>
      <xdr:colOff>347250</xdr:colOff>
      <xdr:row>9</xdr:row>
      <xdr:rowOff>4350</xdr:rowOff>
    </xdr:to>
    <xdr:sp macro="" textlink="">
      <xdr:nvSpPr>
        <xdr:cNvPr id="19" name="フローチャート : 結合子 26">
          <a:extLst>
            <a:ext uri="{FF2B5EF4-FFF2-40B4-BE49-F238E27FC236}">
              <a16:creationId xmlns:a16="http://schemas.microsoft.com/office/drawing/2014/main" id="{ECA19717-1AB2-4CE2-805C-5B64043FE772}"/>
            </a:ext>
          </a:extLst>
        </xdr:cNvPr>
        <xdr:cNvSpPr/>
      </xdr:nvSpPr>
      <xdr:spPr>
        <a:xfrm>
          <a:off x="10591800" y="6096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117</xdr:col>
      <xdr:colOff>175532</xdr:colOff>
      <xdr:row>13</xdr:row>
      <xdr:rowOff>34018</xdr:rowOff>
    </xdr:from>
    <xdr:to>
      <xdr:col>160</xdr:col>
      <xdr:colOff>55907</xdr:colOff>
      <xdr:row>17</xdr:row>
      <xdr:rowOff>9525</xdr:rowOff>
    </xdr:to>
    <xdr:sp macro="" textlink="">
      <xdr:nvSpPr>
        <xdr:cNvPr id="20" name="正方形/長方形 19">
          <a:extLst>
            <a:ext uri="{FF2B5EF4-FFF2-40B4-BE49-F238E27FC236}">
              <a16:creationId xmlns:a16="http://schemas.microsoft.com/office/drawing/2014/main" id="{97B3F4ED-85D2-4181-87EF-F2CF0BCFEFBB}"/>
            </a:ext>
          </a:extLst>
        </xdr:cNvPr>
        <xdr:cNvSpPr/>
      </xdr:nvSpPr>
      <xdr:spPr>
        <a:xfrm>
          <a:off x="10672082" y="1272268"/>
          <a:ext cx="4179325"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117</xdr:col>
      <xdr:colOff>85725</xdr:colOff>
      <xdr:row>11</xdr:row>
      <xdr:rowOff>76200</xdr:rowOff>
    </xdr:from>
    <xdr:to>
      <xdr:col>117</xdr:col>
      <xdr:colOff>337725</xdr:colOff>
      <xdr:row>14</xdr:row>
      <xdr:rowOff>42450</xdr:rowOff>
    </xdr:to>
    <xdr:sp macro="" textlink="">
      <xdr:nvSpPr>
        <xdr:cNvPr id="21" name="フローチャート : 結合子 26">
          <a:extLst>
            <a:ext uri="{FF2B5EF4-FFF2-40B4-BE49-F238E27FC236}">
              <a16:creationId xmlns:a16="http://schemas.microsoft.com/office/drawing/2014/main" id="{029D7323-250D-4DA8-8EC5-12749F136309}"/>
            </a:ext>
          </a:extLst>
        </xdr:cNvPr>
        <xdr:cNvSpPr/>
      </xdr:nvSpPr>
      <xdr:spPr>
        <a:xfrm>
          <a:off x="10582275" y="11239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117</xdr:col>
      <xdr:colOff>175532</xdr:colOff>
      <xdr:row>19</xdr:row>
      <xdr:rowOff>24493</xdr:rowOff>
    </xdr:from>
    <xdr:to>
      <xdr:col>160</xdr:col>
      <xdr:colOff>55907</xdr:colOff>
      <xdr:row>24</xdr:row>
      <xdr:rowOff>19050</xdr:rowOff>
    </xdr:to>
    <xdr:sp macro="" textlink="">
      <xdr:nvSpPr>
        <xdr:cNvPr id="22" name="正方形/長方形 21">
          <a:extLst>
            <a:ext uri="{FF2B5EF4-FFF2-40B4-BE49-F238E27FC236}">
              <a16:creationId xmlns:a16="http://schemas.microsoft.com/office/drawing/2014/main" id="{89C2CEC2-F51D-4E82-93C8-29D2AD39E0DB}"/>
            </a:ext>
          </a:extLst>
        </xdr:cNvPr>
        <xdr:cNvSpPr/>
      </xdr:nvSpPr>
      <xdr:spPr>
        <a:xfrm>
          <a:off x="10672082" y="1834243"/>
          <a:ext cx="4179325"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入力された担当者アドレスへ更新案内</a:t>
          </a:r>
          <a:r>
            <a:rPr kumimoji="1" lang="ja-JP" altLang="en-US" sz="900">
              <a:solidFill>
                <a:sysClr val="windowText" lastClr="000000"/>
              </a:solidFill>
              <a:effectLst/>
              <a:latin typeface="+mn-lt"/>
              <a:ea typeface="+mn-ea"/>
              <a:cs typeface="+mn-cs"/>
            </a:rPr>
            <a:t>や各種情報のご案内</a:t>
          </a:r>
          <a:r>
            <a:rPr kumimoji="1" lang="ja-JP" altLang="ja-JP" sz="900">
              <a:solidFill>
                <a:sysClr val="windowText" lastClr="000000"/>
              </a:solidFill>
              <a:effectLst/>
              <a:latin typeface="+mn-lt"/>
              <a:ea typeface="+mn-ea"/>
              <a:cs typeface="+mn-cs"/>
            </a:rPr>
            <a:t>が行われます。</a:t>
          </a:r>
          <a:endParaRPr kumimoji="1" lang="en-US" altLang="ja-JP" sz="900">
            <a:solidFill>
              <a:sysClr val="windowText" lastClr="000000"/>
            </a:solidFill>
            <a:effectLst/>
            <a:latin typeface="+mn-lt"/>
            <a:ea typeface="+mn-ea"/>
            <a:cs typeface="+mn-cs"/>
          </a:endParaRPr>
        </a:p>
        <a:p>
          <a:r>
            <a:rPr kumimoji="1" lang="ja-JP" altLang="en-US" sz="900">
              <a:solidFill>
                <a:sysClr val="windowText" lastClr="000000"/>
              </a:solidFill>
              <a:effectLst/>
              <a:latin typeface="+mn-lt"/>
              <a:ea typeface="+mn-ea"/>
              <a:cs typeface="+mn-cs"/>
            </a:rPr>
            <a:t>ご案内を</a:t>
          </a:r>
          <a:r>
            <a:rPr kumimoji="1" lang="ja-JP" altLang="ja-JP" sz="900">
              <a:solidFill>
                <a:sysClr val="windowText" lastClr="000000"/>
              </a:solidFill>
              <a:effectLst/>
              <a:latin typeface="+mn-lt"/>
              <a:ea typeface="+mn-ea"/>
              <a:cs typeface="+mn-cs"/>
            </a:rPr>
            <a:t>望まない場合</a:t>
          </a:r>
          <a:r>
            <a:rPr kumimoji="1" lang="ja-JP" altLang="en-US" sz="900">
              <a:solidFill>
                <a:sysClr val="windowText" lastClr="000000"/>
              </a:solidFill>
              <a:effectLst/>
              <a:latin typeface="+mn-lt"/>
              <a:ea typeface="+mn-ea"/>
              <a:cs typeface="+mn-cs"/>
            </a:rPr>
            <a:t>は</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endParaRPr lang="ja-JP" altLang="ja-JP" sz="900">
            <a:solidFill>
              <a:sysClr val="windowText" lastClr="000000"/>
            </a:solidFill>
            <a:effectLst/>
          </a:endParaRPr>
        </a:p>
      </xdr:txBody>
    </xdr:sp>
    <xdr:clientData/>
  </xdr:twoCellAnchor>
  <xdr:twoCellAnchor>
    <xdr:from>
      <xdr:col>117</xdr:col>
      <xdr:colOff>95250</xdr:colOff>
      <xdr:row>17</xdr:row>
      <xdr:rowOff>66675</xdr:rowOff>
    </xdr:from>
    <xdr:to>
      <xdr:col>117</xdr:col>
      <xdr:colOff>347250</xdr:colOff>
      <xdr:row>20</xdr:row>
      <xdr:rowOff>32925</xdr:rowOff>
    </xdr:to>
    <xdr:sp macro="" textlink="">
      <xdr:nvSpPr>
        <xdr:cNvPr id="23" name="フローチャート : 結合子 26">
          <a:extLst>
            <a:ext uri="{FF2B5EF4-FFF2-40B4-BE49-F238E27FC236}">
              <a16:creationId xmlns:a16="http://schemas.microsoft.com/office/drawing/2014/main" id="{64F02C0C-F12C-444B-B965-32D5B5EEB964}"/>
            </a:ext>
          </a:extLst>
        </xdr:cNvPr>
        <xdr:cNvSpPr/>
      </xdr:nvSpPr>
      <xdr:spPr>
        <a:xfrm>
          <a:off x="10591800" y="16859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117</xdr:col>
      <xdr:colOff>175532</xdr:colOff>
      <xdr:row>26</xdr:row>
      <xdr:rowOff>24493</xdr:rowOff>
    </xdr:from>
    <xdr:to>
      <xdr:col>160</xdr:col>
      <xdr:colOff>55907</xdr:colOff>
      <xdr:row>34</xdr:row>
      <xdr:rowOff>57150</xdr:rowOff>
    </xdr:to>
    <xdr:sp macro="" textlink="">
      <xdr:nvSpPr>
        <xdr:cNvPr id="24" name="正方形/長方形 23">
          <a:extLst>
            <a:ext uri="{FF2B5EF4-FFF2-40B4-BE49-F238E27FC236}">
              <a16:creationId xmlns:a16="http://schemas.microsoft.com/office/drawing/2014/main" id="{EC085286-484E-4331-A799-ADB47BC409AA}"/>
            </a:ext>
          </a:extLst>
        </xdr:cNvPr>
        <xdr:cNvSpPr/>
      </xdr:nvSpPr>
      <xdr:spPr>
        <a:xfrm>
          <a:off x="10672082" y="2500993"/>
          <a:ext cx="4179325"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117</xdr:col>
      <xdr:colOff>95250</xdr:colOff>
      <xdr:row>24</xdr:row>
      <xdr:rowOff>66675</xdr:rowOff>
    </xdr:from>
    <xdr:to>
      <xdr:col>117</xdr:col>
      <xdr:colOff>347250</xdr:colOff>
      <xdr:row>27</xdr:row>
      <xdr:rowOff>32925</xdr:rowOff>
    </xdr:to>
    <xdr:sp macro="" textlink="">
      <xdr:nvSpPr>
        <xdr:cNvPr id="25" name="フローチャート : 結合子 26">
          <a:extLst>
            <a:ext uri="{FF2B5EF4-FFF2-40B4-BE49-F238E27FC236}">
              <a16:creationId xmlns:a16="http://schemas.microsoft.com/office/drawing/2014/main" id="{7ABF4124-6FF2-4C38-A50D-24D2141B2EF7}"/>
            </a:ext>
          </a:extLst>
        </xdr:cNvPr>
        <xdr:cNvSpPr/>
      </xdr:nvSpPr>
      <xdr:spPr>
        <a:xfrm>
          <a:off x="10591800" y="23526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138</xdr:col>
      <xdr:colOff>66674</xdr:colOff>
      <xdr:row>53</xdr:row>
      <xdr:rowOff>91857</xdr:rowOff>
    </xdr:from>
    <xdr:to>
      <xdr:col>179</xdr:col>
      <xdr:colOff>14110</xdr:colOff>
      <xdr:row>68</xdr:row>
      <xdr:rowOff>28222</xdr:rowOff>
    </xdr:to>
    <xdr:sp macro="" textlink="">
      <xdr:nvSpPr>
        <xdr:cNvPr id="26" name="正方形/長方形 25">
          <a:extLst>
            <a:ext uri="{FF2B5EF4-FFF2-40B4-BE49-F238E27FC236}">
              <a16:creationId xmlns:a16="http://schemas.microsoft.com/office/drawing/2014/main" id="{3B9A7041-1149-439A-A09E-31CEC612AC55}"/>
            </a:ext>
          </a:extLst>
        </xdr:cNvPr>
        <xdr:cNvSpPr/>
      </xdr:nvSpPr>
      <xdr:spPr>
        <a:xfrm>
          <a:off x="12906374" y="5140107"/>
          <a:ext cx="3592336" cy="149211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注意事項をご確認の上、</a:t>
          </a:r>
          <a:endParaRPr lang="en-US" altLang="ja-JP" sz="900">
            <a:solidFill>
              <a:sysClr val="windowText" lastClr="000000"/>
            </a:solidFill>
            <a:effectLst/>
          </a:endParaRPr>
        </a:p>
        <a:p>
          <a:r>
            <a:rPr lang="ja-JP" altLang="en-US" sz="900">
              <a:solidFill>
                <a:sysClr val="windowText" lastClr="000000"/>
              </a:solidFill>
              <a:effectLst/>
            </a:rPr>
            <a:t>既にご契約されている</a:t>
          </a:r>
          <a:endParaRPr lang="en-US" altLang="ja-JP" sz="900">
            <a:solidFill>
              <a:sysClr val="windowText" lastClr="000000"/>
            </a:solidFill>
            <a:effectLst/>
          </a:endParaRPr>
        </a:p>
        <a:p>
          <a:r>
            <a:rPr lang="en-US" altLang="ja-JP" sz="900">
              <a:solidFill>
                <a:sysClr val="windowText" lastClr="000000"/>
              </a:solidFill>
              <a:effectLst/>
            </a:rPr>
            <a:t>DigitalArts@Cloud</a:t>
          </a:r>
          <a:r>
            <a:rPr lang="ja-JP" altLang="en-US" sz="900">
              <a:solidFill>
                <a:sysClr val="windowText" lastClr="000000"/>
              </a:solidFill>
              <a:effectLst/>
            </a:rPr>
            <a:t> もしくは</a:t>
          </a:r>
          <a:r>
            <a:rPr lang="en-US" altLang="ja-JP" sz="900">
              <a:solidFill>
                <a:sysClr val="windowText" lastClr="000000"/>
              </a:solidFill>
              <a:effectLst/>
            </a:rPr>
            <a:t>StartIn</a:t>
          </a:r>
          <a:r>
            <a:rPr lang="ja-JP" altLang="en-US" sz="900">
              <a:solidFill>
                <a:sysClr val="windowText" lastClr="000000"/>
              </a:solidFill>
              <a:effectLst/>
            </a:rPr>
            <a:t>、</a:t>
          </a:r>
          <a:r>
            <a:rPr lang="en-US" altLang="ja-JP" sz="900">
              <a:solidFill>
                <a:sysClr val="windowText" lastClr="000000"/>
              </a:solidFill>
              <a:effectLst/>
            </a:rPr>
            <a:t>Desk</a:t>
          </a:r>
          <a:r>
            <a:rPr lang="ja-JP" altLang="en-US" sz="900">
              <a:solidFill>
                <a:sysClr val="windowText" lastClr="000000"/>
              </a:solidFill>
              <a:effectLst/>
            </a:rPr>
            <a:t>シリーズのシリアルをいずれか１つご入力ください。</a:t>
          </a:r>
          <a:endParaRPr lang="en-US" altLang="ja-JP" sz="900">
            <a:solidFill>
              <a:sysClr val="windowText" lastClr="000000"/>
            </a:solidFill>
            <a:effectLst/>
          </a:endParaRPr>
        </a:p>
        <a:p>
          <a:r>
            <a:rPr lang="ja-JP" altLang="en-US" sz="900">
              <a:solidFill>
                <a:sysClr val="windowText" lastClr="000000"/>
              </a:solidFill>
              <a:effectLst/>
            </a:rPr>
            <a:t>また、ユーザー価格の対象製品を複数利用している場合は、</a:t>
          </a:r>
          <a:r>
            <a:rPr lang="ja-JP" altLang="en-US" sz="900" b="1">
              <a:solidFill>
                <a:sysClr val="windowText" lastClr="000000"/>
              </a:solidFill>
              <a:effectLst/>
            </a:rPr>
            <a:t>ライセンス数が最も多い製品</a:t>
          </a:r>
          <a:r>
            <a:rPr lang="ja-JP" altLang="en-US" sz="900">
              <a:solidFill>
                <a:sysClr val="windowText" lastClr="000000"/>
              </a:solidFill>
              <a:effectLst/>
            </a:rPr>
            <a:t>のシリアルを記入してください。</a:t>
          </a:r>
          <a:endParaRPr lang="en-US" altLang="ja-JP" sz="900">
            <a:solidFill>
              <a:sysClr val="windowText" lastClr="000000"/>
            </a:solidFill>
            <a:effectLst/>
          </a:endParaRPr>
        </a:p>
        <a:p>
          <a:r>
            <a:rPr lang="ja-JP" altLang="en-US" sz="900">
              <a:solidFill>
                <a:sysClr val="windowText" lastClr="000000"/>
              </a:solidFill>
              <a:effectLst/>
            </a:rPr>
            <a:t>（例）</a:t>
          </a:r>
          <a:r>
            <a:rPr lang="en-US" altLang="ja-JP" sz="900">
              <a:solidFill>
                <a:sysClr val="windowText" lastClr="000000"/>
              </a:solidFill>
              <a:effectLst/>
            </a:rPr>
            <a:t>i-FILTER</a:t>
          </a:r>
          <a:r>
            <a:rPr lang="ja-JP" altLang="en-US" sz="900">
              <a:solidFill>
                <a:sysClr val="windowText" lastClr="000000"/>
              </a:solidFill>
              <a:effectLst/>
            </a:rPr>
            <a:t>＠</a:t>
          </a:r>
          <a:r>
            <a:rPr lang="en-US" altLang="ja-JP" sz="900">
              <a:solidFill>
                <a:sysClr val="windowText" lastClr="000000"/>
              </a:solidFill>
              <a:effectLst/>
            </a:rPr>
            <a:t>Cloud</a:t>
          </a:r>
          <a:r>
            <a:rPr lang="ja-JP" altLang="en-US" sz="900">
              <a:solidFill>
                <a:sysClr val="windowText" lastClr="000000"/>
              </a:solidFill>
              <a:effectLst/>
            </a:rPr>
            <a:t>：</a:t>
          </a:r>
          <a:r>
            <a:rPr lang="en-US" altLang="ja-JP" sz="900">
              <a:solidFill>
                <a:sysClr val="windowText" lastClr="000000"/>
              </a:solidFill>
              <a:effectLst/>
            </a:rPr>
            <a:t>100</a:t>
          </a:r>
          <a:r>
            <a:rPr lang="ja-JP" altLang="en-US" sz="900">
              <a:solidFill>
                <a:sysClr val="windowText" lastClr="000000"/>
              </a:solidFill>
              <a:effectLst/>
            </a:rPr>
            <a:t>ライセンス　</a:t>
          </a:r>
          <a:r>
            <a:rPr lang="en-US" altLang="ja-JP" sz="900">
              <a:solidFill>
                <a:sysClr val="windowText" lastClr="000000"/>
              </a:solidFill>
              <a:effectLst/>
            </a:rPr>
            <a:t>m-FILTER</a:t>
          </a:r>
          <a:r>
            <a:rPr lang="ja-JP" altLang="en-US" sz="900">
              <a:solidFill>
                <a:sysClr val="windowText" lastClr="000000"/>
              </a:solidFill>
              <a:effectLst/>
            </a:rPr>
            <a:t>＠</a:t>
          </a:r>
          <a:r>
            <a:rPr lang="en-US" altLang="ja-JP" sz="900">
              <a:solidFill>
                <a:sysClr val="windowText" lastClr="000000"/>
              </a:solidFill>
              <a:effectLst/>
            </a:rPr>
            <a:t>Cloud</a:t>
          </a:r>
          <a:r>
            <a:rPr lang="ja-JP" altLang="en-US" sz="900">
              <a:solidFill>
                <a:sysClr val="windowText" lastClr="000000"/>
              </a:solidFill>
              <a:effectLst/>
            </a:rPr>
            <a:t>：</a:t>
          </a:r>
          <a:r>
            <a:rPr lang="en-US" altLang="ja-JP" sz="900">
              <a:solidFill>
                <a:sysClr val="windowText" lastClr="000000"/>
              </a:solidFill>
              <a:effectLst/>
            </a:rPr>
            <a:t>150</a:t>
          </a:r>
          <a:r>
            <a:rPr lang="ja-JP" altLang="en-US" sz="900">
              <a:solidFill>
                <a:sysClr val="windowText" lastClr="000000"/>
              </a:solidFill>
              <a:effectLst/>
            </a:rPr>
            <a:t>ライセンスをご利用中の場合</a:t>
          </a:r>
          <a:r>
            <a:rPr lang="en-US" altLang="ja-JP" sz="900">
              <a:solidFill>
                <a:sysClr val="windowText" lastClr="000000"/>
              </a:solidFill>
              <a:effectLst/>
            </a:rPr>
            <a:t>m-FILTER</a:t>
          </a:r>
          <a:r>
            <a:rPr lang="ja-JP" altLang="en-US" sz="900">
              <a:solidFill>
                <a:sysClr val="windowText" lastClr="000000"/>
              </a:solidFill>
              <a:effectLst/>
            </a:rPr>
            <a:t>＠</a:t>
          </a:r>
          <a:r>
            <a:rPr lang="en-US" altLang="ja-JP" sz="900">
              <a:solidFill>
                <a:sysClr val="windowText" lastClr="000000"/>
              </a:solidFill>
              <a:effectLst/>
            </a:rPr>
            <a:t>Cloud</a:t>
          </a:r>
          <a:r>
            <a:rPr lang="ja-JP" altLang="en-US" sz="900">
              <a:solidFill>
                <a:sysClr val="windowText" lastClr="000000"/>
              </a:solidFill>
              <a:effectLst/>
            </a:rPr>
            <a:t>のシリアルを記入</a:t>
          </a:r>
          <a:endParaRPr lang="en-US" altLang="ja-JP" sz="900">
            <a:solidFill>
              <a:sysClr val="windowText" lastClr="000000"/>
            </a:solidFill>
            <a:effectLst/>
          </a:endParaRPr>
        </a:p>
      </xdr:txBody>
    </xdr:sp>
    <xdr:clientData/>
  </xdr:twoCellAnchor>
  <xdr:twoCellAnchor>
    <xdr:from>
      <xdr:col>117</xdr:col>
      <xdr:colOff>175532</xdr:colOff>
      <xdr:row>53</xdr:row>
      <xdr:rowOff>91165</xdr:rowOff>
    </xdr:from>
    <xdr:to>
      <xdr:col>135</xdr:col>
      <xdr:colOff>19047</xdr:colOff>
      <xdr:row>68</xdr:row>
      <xdr:rowOff>19050</xdr:rowOff>
    </xdr:to>
    <xdr:sp macro="" textlink="">
      <xdr:nvSpPr>
        <xdr:cNvPr id="27" name="正方形/長方形 26">
          <a:extLst>
            <a:ext uri="{FF2B5EF4-FFF2-40B4-BE49-F238E27FC236}">
              <a16:creationId xmlns:a16="http://schemas.microsoft.com/office/drawing/2014/main" id="{A507B0D9-433D-43E7-8F42-86D4B8F2DEE4}"/>
            </a:ext>
          </a:extLst>
        </xdr:cNvPr>
        <xdr:cNvSpPr/>
      </xdr:nvSpPr>
      <xdr:spPr>
        <a:xfrm>
          <a:off x="10672082" y="5139415"/>
          <a:ext cx="1919965" cy="148363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rPr>
            <a:t>試用版のご利用がない場合、</a:t>
          </a:r>
          <a:endParaRPr lang="en-US" altLang="ja-JP" sz="900">
            <a:solidFill>
              <a:sysClr val="windowText" lastClr="000000"/>
            </a:solidFill>
            <a:effectLst/>
          </a:endParaRPr>
        </a:p>
        <a:p>
          <a:r>
            <a:rPr lang="en-US" altLang="ja-JP" sz="900">
              <a:solidFill>
                <a:sysClr val="windowText" lastClr="000000"/>
              </a:solidFill>
              <a:effectLst/>
            </a:rPr>
            <a:t>f-FILTER</a:t>
          </a:r>
          <a:r>
            <a:rPr lang="ja-JP" altLang="en-US" sz="900">
              <a:solidFill>
                <a:sysClr val="windowText" lastClr="000000"/>
              </a:solidFill>
              <a:effectLst/>
            </a:rPr>
            <a:t>の管理者となるメールアドレスをご入力ください。</a:t>
          </a:r>
          <a:endParaRPr lang="en-US" altLang="ja-JP" sz="900">
            <a:solidFill>
              <a:sysClr val="windowText" lastClr="000000"/>
            </a:solidFill>
            <a:effectLst/>
          </a:endParaRPr>
        </a:p>
        <a:p>
          <a:endParaRPr lang="en-US" altLang="ja-JP" sz="300">
            <a:solidFill>
              <a:sysClr val="windowText" lastClr="000000"/>
            </a:solidFill>
            <a:effectLst/>
          </a:endParaRPr>
        </a:p>
        <a:p>
          <a:r>
            <a:rPr lang="ja-JP" altLang="en-US" sz="900">
              <a:solidFill>
                <a:sysClr val="windowText" lastClr="000000"/>
              </a:solidFill>
              <a:effectLst/>
            </a:rPr>
            <a:t>試用版のご利用がある場合は、</a:t>
          </a:r>
          <a:endParaRPr lang="en-US" altLang="ja-JP" sz="900">
            <a:solidFill>
              <a:sysClr val="windowText" lastClr="000000"/>
            </a:solidFill>
            <a:effectLst/>
          </a:endParaRPr>
        </a:p>
        <a:p>
          <a:r>
            <a:rPr lang="ja-JP" altLang="en-US" sz="900">
              <a:solidFill>
                <a:sysClr val="windowText" lastClr="000000"/>
              </a:solidFill>
              <a:effectLst/>
            </a:rPr>
            <a:t>この欄は入力せず、各製品申請欄に</a:t>
          </a:r>
          <a:endParaRPr lang="en-US" altLang="ja-JP" sz="900">
            <a:solidFill>
              <a:sysClr val="windowText" lastClr="000000"/>
            </a:solidFill>
            <a:effectLst/>
          </a:endParaRPr>
        </a:p>
        <a:p>
          <a:r>
            <a:rPr lang="ja-JP" altLang="en-US" sz="900">
              <a:solidFill>
                <a:sysClr val="windowText" lastClr="000000"/>
              </a:solidFill>
              <a:effectLst/>
            </a:rPr>
            <a:t>お進みください。</a:t>
          </a:r>
          <a:endParaRPr lang="en-US" altLang="ja-JP" sz="900">
            <a:solidFill>
              <a:sysClr val="windowText" lastClr="000000"/>
            </a:solidFill>
            <a:effectLst/>
          </a:endParaRPr>
        </a:p>
        <a:p>
          <a:endParaRPr lang="en-US" altLang="ja-JP" sz="900">
            <a:solidFill>
              <a:sysClr val="windowText" lastClr="000000"/>
            </a:solidFill>
            <a:effectLst/>
          </a:endParaRPr>
        </a:p>
        <a:p>
          <a:r>
            <a:rPr lang="ja-JP" altLang="en-US" sz="900">
              <a:solidFill>
                <a:sysClr val="windowText" lastClr="000000"/>
              </a:solidFill>
              <a:effectLst/>
            </a:rPr>
            <a:t>管理者</a:t>
          </a:r>
          <a:r>
            <a:rPr lang="en-US" altLang="ja-JP" sz="900">
              <a:solidFill>
                <a:sysClr val="windowText" lastClr="000000"/>
              </a:solidFill>
              <a:effectLst/>
            </a:rPr>
            <a:t>E-mail</a:t>
          </a:r>
          <a:r>
            <a:rPr lang="ja-JP" altLang="en-US" sz="900">
              <a:solidFill>
                <a:sysClr val="windowText" lastClr="000000"/>
              </a:solidFill>
              <a:effectLst/>
            </a:rPr>
            <a:t>の最大文字数は</a:t>
          </a:r>
          <a:r>
            <a:rPr lang="en-US" altLang="ja-JP" sz="900">
              <a:solidFill>
                <a:sysClr val="windowText" lastClr="000000"/>
              </a:solidFill>
              <a:effectLst/>
            </a:rPr>
            <a:t>64</a:t>
          </a:r>
          <a:r>
            <a:rPr lang="ja-JP" altLang="en-US" sz="900">
              <a:solidFill>
                <a:sysClr val="windowText" lastClr="000000"/>
              </a:solidFill>
              <a:effectLst/>
            </a:rPr>
            <a:t>文字となります。</a:t>
          </a:r>
          <a:endParaRPr lang="en-US" altLang="ja-JP" sz="900">
            <a:solidFill>
              <a:sysClr val="windowText" lastClr="000000"/>
            </a:solidFill>
            <a:effectLst/>
          </a:endParaRPr>
        </a:p>
      </xdr:txBody>
    </xdr:sp>
    <xdr:clientData/>
  </xdr:twoCellAnchor>
  <xdr:twoCellAnchor>
    <xdr:from>
      <xdr:col>137</xdr:col>
      <xdr:colOff>57150</xdr:colOff>
      <xdr:row>52</xdr:row>
      <xdr:rowOff>76200</xdr:rowOff>
    </xdr:from>
    <xdr:to>
      <xdr:col>143</xdr:col>
      <xdr:colOff>57151</xdr:colOff>
      <xdr:row>54</xdr:row>
      <xdr:rowOff>57150</xdr:rowOff>
    </xdr:to>
    <xdr:sp macro="" textlink="">
      <xdr:nvSpPr>
        <xdr:cNvPr id="28" name="フローチャート : 結合子 26">
          <a:extLst>
            <a:ext uri="{FF2B5EF4-FFF2-40B4-BE49-F238E27FC236}">
              <a16:creationId xmlns:a16="http://schemas.microsoft.com/office/drawing/2014/main" id="{748D97B6-0DB5-416A-9DDC-3FC44CEE2DD4}"/>
            </a:ext>
          </a:extLst>
        </xdr:cNvPr>
        <xdr:cNvSpPr/>
      </xdr:nvSpPr>
      <xdr:spPr>
        <a:xfrm>
          <a:off x="12807950" y="5029200"/>
          <a:ext cx="533401" cy="171450"/>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8-2</a:t>
          </a:r>
        </a:p>
      </xdr:txBody>
    </xdr:sp>
    <xdr:clientData/>
  </xdr:twoCellAnchor>
  <xdr:twoCellAnchor>
    <xdr:from>
      <xdr:col>117</xdr:col>
      <xdr:colOff>76199</xdr:colOff>
      <xdr:row>52</xdr:row>
      <xdr:rowOff>57150</xdr:rowOff>
    </xdr:from>
    <xdr:to>
      <xdr:col>118</xdr:col>
      <xdr:colOff>28575</xdr:colOff>
      <xdr:row>54</xdr:row>
      <xdr:rowOff>47625</xdr:rowOff>
    </xdr:to>
    <xdr:sp macro="" textlink="">
      <xdr:nvSpPr>
        <xdr:cNvPr id="29" name="フローチャート : 結合子 26">
          <a:extLst>
            <a:ext uri="{FF2B5EF4-FFF2-40B4-BE49-F238E27FC236}">
              <a16:creationId xmlns:a16="http://schemas.microsoft.com/office/drawing/2014/main" id="{7A71E670-7A95-4ED5-BFAA-71164FF06322}"/>
            </a:ext>
          </a:extLst>
        </xdr:cNvPr>
        <xdr:cNvSpPr/>
      </xdr:nvSpPr>
      <xdr:spPr>
        <a:xfrm>
          <a:off x="10572749" y="5010150"/>
          <a:ext cx="517526" cy="180975"/>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8-1</a:t>
          </a:r>
        </a:p>
      </xdr:txBody>
    </xdr:sp>
    <xdr:clientData/>
  </xdr:twoCellAnchor>
  <xdr:twoCellAnchor>
    <xdr:from>
      <xdr:col>0</xdr:col>
      <xdr:colOff>0</xdr:colOff>
      <xdr:row>68</xdr:row>
      <xdr:rowOff>76199</xdr:rowOff>
    </xdr:from>
    <xdr:to>
      <xdr:col>1</xdr:col>
      <xdr:colOff>51975</xdr:colOff>
      <xdr:row>71</xdr:row>
      <xdr:rowOff>42449</xdr:rowOff>
    </xdr:to>
    <xdr:sp macro="" textlink="">
      <xdr:nvSpPr>
        <xdr:cNvPr id="30" name="フローチャート : 結合子 10">
          <a:extLst>
            <a:ext uri="{FF2B5EF4-FFF2-40B4-BE49-F238E27FC236}">
              <a16:creationId xmlns:a16="http://schemas.microsoft.com/office/drawing/2014/main" id="{D21E02A7-662F-40C2-9C1D-F05DE17959D9}"/>
            </a:ext>
          </a:extLst>
        </xdr:cNvPr>
        <xdr:cNvSpPr/>
      </xdr:nvSpPr>
      <xdr:spPr>
        <a:xfrm>
          <a:off x="0" y="6680199"/>
          <a:ext cx="236125" cy="2901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0</xdr:col>
      <xdr:colOff>25399</xdr:colOff>
      <xdr:row>72</xdr:row>
      <xdr:rowOff>4642</xdr:rowOff>
    </xdr:from>
    <xdr:to>
      <xdr:col>3</xdr:col>
      <xdr:colOff>42332</xdr:colOff>
      <xdr:row>74</xdr:row>
      <xdr:rowOff>25401</xdr:rowOff>
    </xdr:to>
    <xdr:sp macro="" textlink="">
      <xdr:nvSpPr>
        <xdr:cNvPr id="31" name="フローチャート : 結合子 26">
          <a:extLst>
            <a:ext uri="{FF2B5EF4-FFF2-40B4-BE49-F238E27FC236}">
              <a16:creationId xmlns:a16="http://schemas.microsoft.com/office/drawing/2014/main" id="{DCB3AF5A-5EE2-4F19-B6FE-FE83F3210221}"/>
            </a:ext>
          </a:extLst>
        </xdr:cNvPr>
        <xdr:cNvSpPr/>
      </xdr:nvSpPr>
      <xdr:spPr>
        <a:xfrm>
          <a:off x="25399" y="7053142"/>
          <a:ext cx="378883" cy="211259"/>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8-1</a:t>
          </a:r>
        </a:p>
      </xdr:txBody>
    </xdr:sp>
    <xdr:clientData/>
  </xdr:twoCellAnchor>
  <xdr:twoCellAnchor>
    <xdr:from>
      <xdr:col>0</xdr:col>
      <xdr:colOff>31749</xdr:colOff>
      <xdr:row>75</xdr:row>
      <xdr:rowOff>20390</xdr:rowOff>
    </xdr:from>
    <xdr:to>
      <xdr:col>3</xdr:col>
      <xdr:colOff>42333</xdr:colOff>
      <xdr:row>77</xdr:row>
      <xdr:rowOff>38101</xdr:rowOff>
    </xdr:to>
    <xdr:sp macro="" textlink="">
      <xdr:nvSpPr>
        <xdr:cNvPr id="32" name="フローチャート : 結合子 26">
          <a:extLst>
            <a:ext uri="{FF2B5EF4-FFF2-40B4-BE49-F238E27FC236}">
              <a16:creationId xmlns:a16="http://schemas.microsoft.com/office/drawing/2014/main" id="{4B414D19-E0B1-4529-853A-4FA0C709CDF1}"/>
            </a:ext>
          </a:extLst>
        </xdr:cNvPr>
        <xdr:cNvSpPr/>
      </xdr:nvSpPr>
      <xdr:spPr>
        <a:xfrm>
          <a:off x="31749" y="7354640"/>
          <a:ext cx="372534" cy="309811"/>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800" b="1">
              <a:solidFill>
                <a:sysClr val="windowText" lastClr="000000"/>
              </a:solidFill>
              <a:latin typeface="+mn-ea"/>
              <a:ea typeface="+mn-ea"/>
            </a:rPr>
            <a:t>8-2</a:t>
          </a:r>
        </a:p>
      </xdr:txBody>
    </xdr:sp>
    <xdr:clientData/>
  </xdr:twoCellAnchor>
  <xdr:twoCellAnchor>
    <xdr:from>
      <xdr:col>117</xdr:col>
      <xdr:colOff>175532</xdr:colOff>
      <xdr:row>69</xdr:row>
      <xdr:rowOff>38100</xdr:rowOff>
    </xdr:from>
    <xdr:to>
      <xdr:col>160</xdr:col>
      <xdr:colOff>55907</xdr:colOff>
      <xdr:row>74</xdr:row>
      <xdr:rowOff>28575</xdr:rowOff>
    </xdr:to>
    <xdr:sp macro="" textlink="">
      <xdr:nvSpPr>
        <xdr:cNvPr id="33" name="正方形/長方形 32">
          <a:extLst>
            <a:ext uri="{FF2B5EF4-FFF2-40B4-BE49-F238E27FC236}">
              <a16:creationId xmlns:a16="http://schemas.microsoft.com/office/drawing/2014/main" id="{7B30FE9E-1F18-4712-A2B0-56B4F5002CC0}"/>
            </a:ext>
          </a:extLst>
        </xdr:cNvPr>
        <xdr:cNvSpPr/>
      </xdr:nvSpPr>
      <xdr:spPr>
        <a:xfrm>
          <a:off x="10672082" y="6737350"/>
          <a:ext cx="4179325" cy="5302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b="1">
              <a:solidFill>
                <a:srgbClr val="FF0000"/>
              </a:solidFill>
              <a:effectLst/>
              <a:latin typeface="+mn-lt"/>
              <a:ea typeface="+mn-ea"/>
              <a:cs typeface="+mn-cs"/>
            </a:rPr>
            <a:t>続いて購入する製品の申請欄に進みます。</a:t>
          </a:r>
          <a:endParaRPr lang="en-US" altLang="ja-JP" sz="900" b="1">
            <a:solidFill>
              <a:srgbClr val="FF0000"/>
            </a:solidFill>
            <a:effectLst/>
            <a:latin typeface="+mn-lt"/>
            <a:ea typeface="+mn-ea"/>
            <a:cs typeface="+mn-cs"/>
          </a:endParaRPr>
        </a:p>
        <a:p>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以下はご購入製品により、入力箇所が異なります。</a:t>
          </a:r>
        </a:p>
      </xdr:txBody>
    </xdr:sp>
    <xdr:clientData/>
  </xdr:twoCellAnchor>
  <xdr:twoCellAnchor>
    <xdr:from>
      <xdr:col>135</xdr:col>
      <xdr:colOff>19047</xdr:colOff>
      <xdr:row>61</xdr:row>
      <xdr:rowOff>74158</xdr:rowOff>
    </xdr:from>
    <xdr:to>
      <xdr:col>136</xdr:col>
      <xdr:colOff>91907</xdr:colOff>
      <xdr:row>69</xdr:row>
      <xdr:rowOff>38100</xdr:rowOff>
    </xdr:to>
    <xdr:cxnSp macro="">
      <xdr:nvCxnSpPr>
        <xdr:cNvPr id="34" name="カギ線コネクタ 4">
          <a:extLst>
            <a:ext uri="{FF2B5EF4-FFF2-40B4-BE49-F238E27FC236}">
              <a16:creationId xmlns:a16="http://schemas.microsoft.com/office/drawing/2014/main" id="{FD607E59-A8DA-40A5-B3D5-EB162169DF96}"/>
            </a:ext>
          </a:extLst>
        </xdr:cNvPr>
        <xdr:cNvCxnSpPr>
          <a:stCxn id="27" idx="3"/>
          <a:endCxn id="33" idx="0"/>
        </xdr:cNvCxnSpPr>
      </xdr:nvCxnSpPr>
      <xdr:spPr>
        <a:xfrm>
          <a:off x="12592047" y="5884408"/>
          <a:ext cx="161760" cy="852942"/>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xdr:col>
      <xdr:colOff>16942</xdr:colOff>
      <xdr:row>61</xdr:row>
      <xdr:rowOff>67096</xdr:rowOff>
    </xdr:from>
    <xdr:to>
      <xdr:col>138</xdr:col>
      <xdr:colOff>66674</xdr:colOff>
      <xdr:row>69</xdr:row>
      <xdr:rowOff>38100</xdr:rowOff>
    </xdr:to>
    <xdr:cxnSp macro="">
      <xdr:nvCxnSpPr>
        <xdr:cNvPr id="35" name="カギ線コネクタ 63">
          <a:extLst>
            <a:ext uri="{FF2B5EF4-FFF2-40B4-BE49-F238E27FC236}">
              <a16:creationId xmlns:a16="http://schemas.microsoft.com/office/drawing/2014/main" id="{E3B4C755-EBEB-42D5-8B72-5FC04FB004A1}"/>
            </a:ext>
          </a:extLst>
        </xdr:cNvPr>
        <xdr:cNvCxnSpPr>
          <a:stCxn id="26" idx="1"/>
          <a:endCxn id="33" idx="0"/>
        </xdr:cNvCxnSpPr>
      </xdr:nvCxnSpPr>
      <xdr:spPr>
        <a:xfrm rot="10800000" flipV="1">
          <a:off x="12767742" y="5877346"/>
          <a:ext cx="138632" cy="860004"/>
        </a:xfrm>
        <a:prstGeom prst="bentConnector2">
          <a:avLst/>
        </a:prstGeom>
        <a:ln w="38100">
          <a:solidFill>
            <a:srgbClr val="F4A6DE"/>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0</xdr:colOff>
      <xdr:row>51</xdr:row>
      <xdr:rowOff>85725</xdr:rowOff>
    </xdr:from>
    <xdr:to>
      <xdr:col>121</xdr:col>
      <xdr:colOff>9525</xdr:colOff>
      <xdr:row>54</xdr:row>
      <xdr:rowOff>21300</xdr:rowOff>
    </xdr:to>
    <xdr:cxnSp macro="">
      <xdr:nvCxnSpPr>
        <xdr:cNvPr id="36" name="直線矢印コネクタ 35">
          <a:extLst>
            <a:ext uri="{FF2B5EF4-FFF2-40B4-BE49-F238E27FC236}">
              <a16:creationId xmlns:a16="http://schemas.microsoft.com/office/drawing/2014/main" id="{92BF1A58-7ACF-4FE8-929E-510431020820}"/>
            </a:ext>
          </a:extLst>
        </xdr:cNvPr>
        <xdr:cNvCxnSpPr/>
      </xdr:nvCxnSpPr>
      <xdr:spPr>
        <a:xfrm>
          <a:off x="11328400" y="4943475"/>
          <a:ext cx="9525" cy="221325"/>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xdr:col>
      <xdr:colOff>32657</xdr:colOff>
      <xdr:row>52</xdr:row>
      <xdr:rowOff>0</xdr:rowOff>
    </xdr:from>
    <xdr:to>
      <xdr:col>149</xdr:col>
      <xdr:colOff>38100</xdr:colOff>
      <xdr:row>54</xdr:row>
      <xdr:rowOff>7694</xdr:rowOff>
    </xdr:to>
    <xdr:cxnSp macro="">
      <xdr:nvCxnSpPr>
        <xdr:cNvPr id="37" name="直線矢印コネクタ 36">
          <a:extLst>
            <a:ext uri="{FF2B5EF4-FFF2-40B4-BE49-F238E27FC236}">
              <a16:creationId xmlns:a16="http://schemas.microsoft.com/office/drawing/2014/main" id="{846AD355-ADF4-4E36-B721-BD0FD770E69A}"/>
            </a:ext>
          </a:extLst>
        </xdr:cNvPr>
        <xdr:cNvCxnSpPr/>
      </xdr:nvCxnSpPr>
      <xdr:spPr>
        <a:xfrm flipH="1">
          <a:off x="13850257" y="4953000"/>
          <a:ext cx="5443" cy="198194"/>
        </a:xfrm>
        <a:prstGeom prst="straightConnector1">
          <a:avLst/>
        </a:prstGeom>
        <a:ln w="28575">
          <a:solidFill>
            <a:srgbClr val="F4A6D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21167</xdr:colOff>
      <xdr:row>80</xdr:row>
      <xdr:rowOff>28574</xdr:rowOff>
    </xdr:from>
    <xdr:to>
      <xdr:col>117</xdr:col>
      <xdr:colOff>1059</xdr:colOff>
      <xdr:row>82</xdr:row>
      <xdr:rowOff>35551</xdr:rowOff>
    </xdr:to>
    <xdr:sp macro="" textlink="">
      <xdr:nvSpPr>
        <xdr:cNvPr id="38" name="フローチャート : 結合子 10">
          <a:extLst>
            <a:ext uri="{FF2B5EF4-FFF2-40B4-BE49-F238E27FC236}">
              <a16:creationId xmlns:a16="http://schemas.microsoft.com/office/drawing/2014/main" id="{C6459212-9B42-4120-BDE7-46640E4EA120}"/>
            </a:ext>
          </a:extLst>
        </xdr:cNvPr>
        <xdr:cNvSpPr/>
      </xdr:nvSpPr>
      <xdr:spPr>
        <a:xfrm>
          <a:off x="10073217" y="7902574"/>
          <a:ext cx="424392" cy="197477"/>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9-2</a:t>
          </a:r>
        </a:p>
      </xdr:txBody>
    </xdr:sp>
    <xdr:clientData/>
  </xdr:twoCellAnchor>
  <xdr:twoCellAnchor>
    <xdr:from>
      <xdr:col>117</xdr:col>
      <xdr:colOff>127906</xdr:colOff>
      <xdr:row>79</xdr:row>
      <xdr:rowOff>38100</xdr:rowOff>
    </xdr:from>
    <xdr:to>
      <xdr:col>169</xdr:col>
      <xdr:colOff>66675</xdr:colOff>
      <xdr:row>88</xdr:row>
      <xdr:rowOff>0</xdr:rowOff>
    </xdr:to>
    <xdr:sp macro="" textlink="">
      <xdr:nvSpPr>
        <xdr:cNvPr id="39" name="正方形/長方形 38">
          <a:extLst>
            <a:ext uri="{FF2B5EF4-FFF2-40B4-BE49-F238E27FC236}">
              <a16:creationId xmlns:a16="http://schemas.microsoft.com/office/drawing/2014/main" id="{6E565322-A530-4CA1-B1CE-2579FD1439B2}"/>
            </a:ext>
          </a:extLst>
        </xdr:cNvPr>
        <xdr:cNvSpPr/>
      </xdr:nvSpPr>
      <xdr:spPr>
        <a:xfrm>
          <a:off x="10624456" y="7854950"/>
          <a:ext cx="5037819" cy="78105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「製品区分」や「申請区分」および必要な申請内容（</a:t>
          </a:r>
          <a:r>
            <a:rPr lang="ja-JP" altLang="en-US" sz="900" b="1">
              <a:solidFill>
                <a:sysClr val="windowText" lastClr="000000"/>
              </a:solidFill>
              <a:effectLst/>
              <a:latin typeface="+mn-lt"/>
              <a:ea typeface="+mn-ea"/>
              <a:cs typeface="+mn-cs"/>
            </a:rPr>
            <a:t>赤くなるセルの箇所</a:t>
          </a:r>
          <a:r>
            <a:rPr lang="ja-JP" altLang="en-US" sz="900">
              <a:solidFill>
                <a:sysClr val="windowText" lastClr="000000"/>
              </a:solidFill>
              <a:effectLst/>
              <a:latin typeface="+mn-lt"/>
              <a:ea typeface="+mn-ea"/>
              <a:cs typeface="+mn-cs"/>
            </a:rPr>
            <a:t>）をご入力ください。</a:t>
          </a:r>
        </a:p>
      </xdr:txBody>
    </xdr:sp>
    <xdr:clientData/>
  </xdr:twoCellAnchor>
  <xdr:twoCellAnchor>
    <xdr:from>
      <xdr:col>117</xdr:col>
      <xdr:colOff>57149</xdr:colOff>
      <xdr:row>79</xdr:row>
      <xdr:rowOff>0</xdr:rowOff>
    </xdr:from>
    <xdr:to>
      <xdr:col>117</xdr:col>
      <xdr:colOff>466725</xdr:colOff>
      <xdr:row>80</xdr:row>
      <xdr:rowOff>94274</xdr:rowOff>
    </xdr:to>
    <xdr:sp macro="" textlink="">
      <xdr:nvSpPr>
        <xdr:cNvPr id="40" name="フローチャート : 結合子 10">
          <a:extLst>
            <a:ext uri="{FF2B5EF4-FFF2-40B4-BE49-F238E27FC236}">
              <a16:creationId xmlns:a16="http://schemas.microsoft.com/office/drawing/2014/main" id="{0C428DFD-58F5-4301-96D4-563E561AB1B1}"/>
            </a:ext>
          </a:extLst>
        </xdr:cNvPr>
        <xdr:cNvSpPr/>
      </xdr:nvSpPr>
      <xdr:spPr>
        <a:xfrm>
          <a:off x="10553699" y="7816850"/>
          <a:ext cx="409576" cy="151424"/>
        </a:xfrm>
        <a:prstGeom prst="roundRect">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9-2</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6</xdr:row>
      <xdr:rowOff>0</xdr:rowOff>
    </xdr:from>
    <xdr:to>
      <xdr:col>91</xdr:col>
      <xdr:colOff>9525</xdr:colOff>
      <xdr:row>8</xdr:row>
      <xdr:rowOff>68067</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bwMode="auto">
        <a:xfrm>
          <a:off x="95250" y="571500"/>
          <a:ext cx="8639175" cy="258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に必要事項をご記入のうえ、上記宛先までお送りいただけますようお願い申し上げます。正確さを期するため、できるだけ</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でお願いいたします。</a:t>
          </a:r>
        </a:p>
        <a:p>
          <a:r>
            <a:rPr kumimoji="1" lang="ja-JP" altLang="en-US" sz="500">
              <a:latin typeface="ＭＳ Ｐ明朝" pitchFamily="18" charset="-128"/>
              <a:ea typeface="ＭＳ Ｐ明朝" pitchFamily="18" charset="-128"/>
            </a:rPr>
            <a:t>当申請書の太枠欄以外のご記入は、お客様の任意となっております。ただしご記入いただけない場合、正常なサービスを提供できない可能性があります。</a:t>
          </a:r>
        </a:p>
      </xdr:txBody>
    </xdr:sp>
    <xdr:clientData/>
  </xdr:twoCellAnchor>
  <xdr:twoCellAnchor>
    <xdr:from>
      <xdr:col>1</xdr:col>
      <xdr:colOff>0</xdr:colOff>
      <xdr:row>8</xdr:row>
      <xdr:rowOff>0</xdr:rowOff>
    </xdr:from>
    <xdr:to>
      <xdr:col>107</xdr:col>
      <xdr:colOff>47625</xdr:colOff>
      <xdr:row>17</xdr:row>
      <xdr:rowOff>85725</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bwMode="auto">
        <a:xfrm>
          <a:off x="95250" y="762000"/>
          <a:ext cx="102012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solidFill>
                <a:sysClr val="windowText" lastClr="000000"/>
              </a:solidFill>
              <a:latin typeface="ＭＳ Ｐ明朝" pitchFamily="18" charset="-128"/>
              <a:ea typeface="ＭＳ Ｐ明朝" pitchFamily="18" charset="-128"/>
            </a:rPr>
            <a:t>1.</a:t>
          </a:r>
          <a:r>
            <a:rPr kumimoji="1" lang="ja-JP" altLang="en-US" sz="400">
              <a:solidFill>
                <a:sysClr val="windowText" lastClr="000000"/>
              </a:solidFill>
              <a:latin typeface="ＭＳ Ｐ明朝" pitchFamily="18" charset="-128"/>
              <a:ea typeface="ＭＳ Ｐ明朝" pitchFamily="18" charset="-128"/>
            </a:rPr>
            <a:t>個人情報の取得・保有・利用</a:t>
          </a:r>
        </a:p>
        <a:p>
          <a:r>
            <a:rPr kumimoji="1" lang="ja-JP" altLang="en-US" sz="400">
              <a:solidFill>
                <a:sysClr val="windowText" lastClr="000000"/>
              </a:solidFill>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solidFill>
                <a:sysClr val="windowText" lastClr="000000"/>
              </a:solidFill>
              <a:latin typeface="ＭＳ Ｐ明朝" pitchFamily="18" charset="-128"/>
              <a:ea typeface="ＭＳ Ｐ明朝" pitchFamily="18" charset="-128"/>
            </a:rPr>
            <a:t>   (1)</a:t>
          </a:r>
          <a:r>
            <a:rPr kumimoji="1" lang="ja-JP" altLang="en-US" sz="400">
              <a:solidFill>
                <a:sysClr val="windowText" lastClr="000000"/>
              </a:solidFill>
              <a:latin typeface="ＭＳ Ｐ明朝" pitchFamily="18" charset="-128"/>
              <a:ea typeface="ＭＳ Ｐ明朝" pitchFamily="18" charset="-128"/>
            </a:rPr>
            <a:t>商品・サービスのご提供 　</a:t>
          </a:r>
          <a:r>
            <a:rPr kumimoji="1" lang="en-US" altLang="ja-JP" sz="400">
              <a:solidFill>
                <a:sysClr val="windowText" lastClr="000000"/>
              </a:solidFill>
              <a:latin typeface="ＭＳ Ｐ明朝" pitchFamily="18" charset="-128"/>
              <a:ea typeface="ＭＳ Ｐ明朝" pitchFamily="18" charset="-128"/>
            </a:rPr>
            <a:t>(2)</a:t>
          </a:r>
          <a:r>
            <a:rPr kumimoji="1" lang="ja-JP" altLang="en-US" sz="400">
              <a:solidFill>
                <a:sysClr val="windowText" lastClr="000000"/>
              </a:solidFill>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solidFill>
                <a:sysClr val="windowText" lastClr="000000"/>
              </a:solidFill>
              <a:latin typeface="ＭＳ Ｐ明朝" pitchFamily="18" charset="-128"/>
              <a:ea typeface="ＭＳ Ｐ明朝" pitchFamily="18" charset="-128"/>
            </a:rPr>
            <a:t>(3)</a:t>
          </a:r>
          <a:r>
            <a:rPr kumimoji="1" lang="ja-JP" altLang="en-US" sz="400">
              <a:solidFill>
                <a:sysClr val="windowText" lastClr="000000"/>
              </a:solidFill>
              <a:latin typeface="ＭＳ Ｐ明朝" pitchFamily="18" charset="-128"/>
              <a:ea typeface="ＭＳ Ｐ明朝" pitchFamily="18" charset="-128"/>
            </a:rPr>
            <a:t>より良い商品・サービス開発のための調査・分析　</a:t>
          </a:r>
          <a:r>
            <a:rPr kumimoji="1" lang="en-US" altLang="ja-JP" sz="400">
              <a:solidFill>
                <a:sysClr val="windowText" lastClr="000000"/>
              </a:solidFill>
              <a:latin typeface="ＭＳ Ｐ明朝" pitchFamily="18" charset="-128"/>
              <a:ea typeface="ＭＳ Ｐ明朝" pitchFamily="18" charset="-128"/>
            </a:rPr>
            <a:t>(4)</a:t>
          </a:r>
          <a:r>
            <a:rPr kumimoji="1" lang="ja-JP" altLang="en-US" sz="400">
              <a:solidFill>
                <a:sysClr val="windowText" lastClr="000000"/>
              </a:solidFill>
              <a:latin typeface="ＭＳ Ｐ明朝" pitchFamily="18" charset="-128"/>
              <a:ea typeface="ＭＳ Ｐ明朝" pitchFamily="18" charset="-128"/>
            </a:rPr>
            <a:t>お客様との連絡、協力、交渉、契約の履行、履行請求等 　</a:t>
          </a:r>
          <a:r>
            <a:rPr kumimoji="1" lang="en-US" altLang="ja-JP" sz="400">
              <a:solidFill>
                <a:sysClr val="windowText" lastClr="000000"/>
              </a:solidFill>
              <a:latin typeface="ＭＳ Ｐ明朝" pitchFamily="18" charset="-128"/>
              <a:ea typeface="ＭＳ Ｐ明朝" pitchFamily="18" charset="-128"/>
            </a:rPr>
            <a:t>(5)</a:t>
          </a:r>
          <a:r>
            <a:rPr kumimoji="1" lang="ja-JP" altLang="en-US" sz="400">
              <a:solidFill>
                <a:sysClr val="windowText" lastClr="000000"/>
              </a:solidFill>
              <a:latin typeface="ＭＳ Ｐ明朝" pitchFamily="18" charset="-128"/>
              <a:ea typeface="ＭＳ Ｐ明朝" pitchFamily="18" charset="-128"/>
            </a:rPr>
            <a:t>お問い合わせ、ご依頼等への対応、ご請求いただいた資料等の送付</a:t>
          </a:r>
        </a:p>
        <a:p>
          <a:r>
            <a:rPr kumimoji="1" lang="en-US" altLang="ja-JP" sz="400">
              <a:solidFill>
                <a:sysClr val="windowText" lastClr="000000"/>
              </a:solidFill>
              <a:latin typeface="ＭＳ Ｐ明朝" pitchFamily="18" charset="-128"/>
              <a:ea typeface="ＭＳ Ｐ明朝" pitchFamily="18" charset="-128"/>
            </a:rPr>
            <a:t>2.</a:t>
          </a:r>
          <a:r>
            <a:rPr kumimoji="1" lang="ja-JP" altLang="en-US" sz="400">
              <a:solidFill>
                <a:sysClr val="windowText" lastClr="000000"/>
              </a:solidFill>
              <a:latin typeface="ＭＳ Ｐ明朝" pitchFamily="18" charset="-128"/>
              <a:ea typeface="ＭＳ Ｐ明朝" pitchFamily="18" charset="-128"/>
            </a:rPr>
            <a:t>個人情報の共同利用</a:t>
          </a:r>
        </a:p>
        <a:p>
          <a:r>
            <a:rPr kumimoji="1" lang="ja-JP" altLang="en-US" sz="400">
              <a:solidFill>
                <a:sysClr val="windowText" lastClr="000000"/>
              </a:solidFill>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solidFill>
                <a:sysClr val="windowText" lastClr="000000"/>
              </a:solidFill>
              <a:latin typeface="ＭＳ Ｐ明朝" pitchFamily="18" charset="-128"/>
              <a:ea typeface="ＭＳ Ｐ明朝" pitchFamily="18" charset="-128"/>
            </a:rPr>
            <a:t>  (1)</a:t>
          </a:r>
          <a:r>
            <a:rPr kumimoji="1" lang="ja-JP" altLang="en-US" sz="400">
              <a:solidFill>
                <a:sysClr val="windowText" lastClr="000000"/>
              </a:solidFill>
              <a:latin typeface="ＭＳ Ｐ明朝" pitchFamily="18" charset="-128"/>
              <a:ea typeface="ＭＳ Ｐ明朝" pitchFamily="18" charset="-128"/>
            </a:rPr>
            <a:t>　共同利用する個人情報　：　お客様の氏名、住所、電話番号、</a:t>
          </a:r>
          <a:r>
            <a:rPr kumimoji="1" lang="en-US" altLang="ja-JP" sz="400">
              <a:solidFill>
                <a:sysClr val="windowText" lastClr="000000"/>
              </a:solidFill>
              <a:latin typeface="ＭＳ Ｐ明朝" pitchFamily="18" charset="-128"/>
              <a:ea typeface="ＭＳ Ｐ明朝" pitchFamily="18" charset="-128"/>
            </a:rPr>
            <a:t>FAX</a:t>
          </a:r>
          <a:r>
            <a:rPr kumimoji="1" lang="ja-JP" altLang="en-US" sz="400">
              <a:solidFill>
                <a:sysClr val="windowText" lastClr="000000"/>
              </a:solidFill>
              <a:latin typeface="ＭＳ Ｐ明朝" pitchFamily="18" charset="-128"/>
              <a:ea typeface="ＭＳ Ｐ明朝" pitchFamily="18" charset="-128"/>
            </a:rPr>
            <a:t>番号、メールアドレス、ご購入商品・サービス、契約履歴等</a:t>
          </a:r>
        </a:p>
        <a:p>
          <a:r>
            <a:rPr kumimoji="1" lang="en-US" altLang="ja-JP" sz="400">
              <a:solidFill>
                <a:sysClr val="windowText" lastClr="000000"/>
              </a:solidFill>
              <a:latin typeface="ＭＳ Ｐ明朝" pitchFamily="18" charset="-128"/>
              <a:ea typeface="ＭＳ Ｐ明朝" pitchFamily="18" charset="-128"/>
            </a:rPr>
            <a:t>  (2)</a:t>
          </a:r>
          <a:r>
            <a:rPr kumimoji="1" lang="ja-JP" altLang="en-US" sz="400">
              <a:solidFill>
                <a:sysClr val="windowText" lastClr="000000"/>
              </a:solidFill>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solidFill>
                <a:sysClr val="windowText" lastClr="000000"/>
              </a:solidFill>
              <a:latin typeface="ＭＳ Ｐ明朝" pitchFamily="18" charset="-128"/>
              <a:ea typeface="ＭＳ Ｐ明朝" pitchFamily="18" charset="-128"/>
            </a:rPr>
            <a:t> </a:t>
          </a:r>
          <a:r>
            <a:rPr kumimoji="1" lang="ja-JP" altLang="en-US" sz="400">
              <a:solidFill>
                <a:sysClr val="windowText" lastClr="000000"/>
              </a:solidFill>
              <a:latin typeface="ＭＳ Ｐ明朝" pitchFamily="18" charset="-128"/>
              <a:ea typeface="ＭＳ Ｐ明朝" pitchFamily="18" charset="-128"/>
            </a:rPr>
            <a:t>⑤お問い合わせ、ご依頼等への対応、ご請求いただいた資料等の送付</a:t>
          </a:r>
          <a:endParaRPr kumimoji="1" lang="en-US" altLang="ja-JP" sz="400">
            <a:solidFill>
              <a:sysClr val="windowText" lastClr="000000"/>
            </a:solidFill>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solidFill>
              <a:sysClr val="windowText" lastClr="000000"/>
            </a:solidFill>
            <a:latin typeface="ＭＳ Ｐ明朝" pitchFamily="18" charset="-128"/>
            <a:ea typeface="ＭＳ Ｐ明朝" pitchFamily="18" charset="-128"/>
          </a:endParaRPr>
        </a:p>
        <a:p>
          <a:endParaRPr kumimoji="1" lang="en-US" altLang="ja-JP" sz="400">
            <a:solidFill>
              <a:sysClr val="windowText" lastClr="000000"/>
            </a:solidFill>
            <a:latin typeface="ＭＳ Ｐ明朝" pitchFamily="18" charset="-128"/>
            <a:ea typeface="ＭＳ Ｐ明朝" pitchFamily="18" charset="-128"/>
          </a:endParaRPr>
        </a:p>
      </xdr:txBody>
    </xdr:sp>
    <xdr:clientData/>
  </xdr:twoCellAnchor>
  <xdr:twoCellAnchor>
    <xdr:from>
      <xdr:col>78</xdr:col>
      <xdr:colOff>0</xdr:colOff>
      <xdr:row>14</xdr:row>
      <xdr:rowOff>0</xdr:rowOff>
    </xdr:from>
    <xdr:to>
      <xdr:col>106</xdr:col>
      <xdr:colOff>86917</xdr:colOff>
      <xdr:row>17</xdr:row>
      <xdr:rowOff>76200</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bwMode="auto">
        <a:xfrm>
          <a:off x="7486650" y="1333500"/>
          <a:ext cx="2753917"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solidFill>
                <a:schemeClr val="dk1"/>
              </a:solidFill>
              <a:latin typeface="ＭＳ Ｐ明朝" pitchFamily="18" charset="-128"/>
              <a:ea typeface="ＭＳ Ｐ明朝" pitchFamily="18" charset="-128"/>
              <a:cs typeface="+mn-cs"/>
            </a:rPr>
            <a:t>個人情報お問い合わせ窓口：  </a:t>
          </a:r>
        </a:p>
        <a:p>
          <a:r>
            <a:rPr kumimoji="1" lang="ja-JP" altLang="en-US" sz="500">
              <a:solidFill>
                <a:schemeClr val="dk1"/>
              </a:solidFill>
              <a:latin typeface="ＭＳ Ｐ明朝" pitchFamily="18" charset="-128"/>
              <a:ea typeface="ＭＳ Ｐ明朝" pitchFamily="18" charset="-128"/>
              <a:cs typeface="+mn-cs"/>
            </a:rPr>
            <a:t>デジタルアーツ株式会社</a:t>
          </a:r>
        </a:p>
        <a:p>
          <a:r>
            <a:rPr kumimoji="1" lang="ja-JP" altLang="en-US" sz="500">
              <a:solidFill>
                <a:schemeClr val="dk1"/>
              </a:solidFill>
              <a:latin typeface="ＭＳ Ｐ明朝" pitchFamily="18" charset="-128"/>
              <a:ea typeface="ＭＳ Ｐ明朝" pitchFamily="18" charset="-128"/>
              <a:cs typeface="+mn-cs"/>
            </a:rPr>
            <a:t>〒</a:t>
          </a:r>
          <a:r>
            <a:rPr kumimoji="1" lang="en-US" altLang="ja-JP" sz="500">
              <a:solidFill>
                <a:schemeClr val="dk1"/>
              </a:solidFill>
              <a:latin typeface="ＭＳ Ｐ明朝" pitchFamily="18" charset="-128"/>
              <a:ea typeface="ＭＳ Ｐ明朝" pitchFamily="18" charset="-128"/>
              <a:cs typeface="+mn-cs"/>
            </a:rPr>
            <a:t>100-0004</a:t>
          </a:r>
          <a:r>
            <a:rPr kumimoji="1" lang="ja-JP" altLang="en-US" sz="500">
              <a:solidFill>
                <a:schemeClr val="dk1"/>
              </a:solidFill>
              <a:latin typeface="ＭＳ Ｐ明朝" pitchFamily="18" charset="-128"/>
              <a:ea typeface="ＭＳ Ｐ明朝" pitchFamily="18" charset="-128"/>
              <a:cs typeface="+mn-cs"/>
            </a:rPr>
            <a:t>　　東京都千代田区大手町</a:t>
          </a:r>
          <a:r>
            <a:rPr kumimoji="1" lang="en-US" altLang="ja-JP" sz="500">
              <a:solidFill>
                <a:schemeClr val="dk1"/>
              </a:solidFill>
              <a:latin typeface="ＭＳ Ｐ明朝" pitchFamily="18" charset="-128"/>
              <a:ea typeface="ＭＳ Ｐ明朝" pitchFamily="18" charset="-128"/>
              <a:cs typeface="+mn-cs"/>
            </a:rPr>
            <a:t>1-5-1</a:t>
          </a:r>
          <a:r>
            <a:rPr kumimoji="1" lang="ja-JP" altLang="en-US" sz="500">
              <a:solidFill>
                <a:schemeClr val="dk1"/>
              </a:solidFill>
              <a:latin typeface="ＭＳ Ｐ明朝" pitchFamily="18" charset="-128"/>
              <a:ea typeface="ＭＳ Ｐ明朝" pitchFamily="18" charset="-128"/>
              <a:cs typeface="+mn-cs"/>
            </a:rPr>
            <a:t>　大手町ファーストスクエア ウエストタワー</a:t>
          </a:r>
          <a:r>
            <a:rPr kumimoji="1" lang="en-US" altLang="ja-JP" sz="500">
              <a:solidFill>
                <a:schemeClr val="dk1"/>
              </a:solidFill>
              <a:latin typeface="ＭＳ Ｐ明朝" pitchFamily="18" charset="-128"/>
              <a:ea typeface="ＭＳ Ｐ明朝" pitchFamily="18" charset="-128"/>
              <a:cs typeface="+mn-cs"/>
            </a:rPr>
            <a:t>14</a:t>
          </a:r>
          <a:r>
            <a:rPr kumimoji="1" lang="ja-JP" altLang="en-US" sz="500">
              <a:solidFill>
                <a:schemeClr val="dk1"/>
              </a:solidFill>
              <a:latin typeface="ＭＳ Ｐ明朝" pitchFamily="18" charset="-128"/>
              <a:ea typeface="ＭＳ Ｐ明朝" pitchFamily="18" charset="-128"/>
              <a:cs typeface="+mn-cs"/>
            </a:rPr>
            <a:t>階</a:t>
          </a:r>
        </a:p>
        <a:p>
          <a:r>
            <a:rPr kumimoji="1" lang="en-US" altLang="ja-JP" sz="500">
              <a:solidFill>
                <a:schemeClr val="dk1"/>
              </a:solidFill>
              <a:latin typeface="ＭＳ Ｐ明朝" pitchFamily="18" charset="-128"/>
              <a:ea typeface="ＭＳ Ｐ明朝" pitchFamily="18" charset="-128"/>
              <a:cs typeface="+mn-cs"/>
            </a:rPr>
            <a:t>TEL</a:t>
          </a:r>
          <a:r>
            <a:rPr kumimoji="1" lang="ja-JP" altLang="en-US" sz="500">
              <a:solidFill>
                <a:schemeClr val="dk1"/>
              </a:solidFill>
              <a:latin typeface="ＭＳ Ｐ明朝" pitchFamily="18" charset="-128"/>
              <a:ea typeface="ＭＳ Ｐ明朝" pitchFamily="18" charset="-128"/>
              <a:cs typeface="+mn-cs"/>
            </a:rPr>
            <a:t>　</a:t>
          </a:r>
          <a:r>
            <a:rPr kumimoji="1" lang="en-US" altLang="ja-JP" sz="500">
              <a:solidFill>
                <a:schemeClr val="dk1"/>
              </a:solidFill>
              <a:latin typeface="ＭＳ Ｐ明朝" pitchFamily="18" charset="-128"/>
              <a:ea typeface="ＭＳ Ｐ明朝" pitchFamily="18" charset="-128"/>
              <a:cs typeface="+mn-cs"/>
            </a:rPr>
            <a:t>03-5220-1160</a:t>
          </a:r>
          <a:r>
            <a:rPr kumimoji="1" lang="ja-JP" altLang="en-US" sz="500">
              <a:solidFill>
                <a:schemeClr val="dk1"/>
              </a:solidFill>
              <a:latin typeface="ＭＳ Ｐ明朝" pitchFamily="18" charset="-128"/>
              <a:ea typeface="ＭＳ Ｐ明朝" pitchFamily="18" charset="-128"/>
              <a:cs typeface="+mn-cs"/>
            </a:rPr>
            <a:t>／</a:t>
          </a:r>
          <a:r>
            <a:rPr kumimoji="1" lang="en-US" altLang="ja-JP" sz="500">
              <a:solidFill>
                <a:schemeClr val="dk1"/>
              </a:solidFill>
              <a:latin typeface="ＭＳ Ｐ明朝" pitchFamily="18" charset="-128"/>
              <a:ea typeface="ＭＳ Ｐ明朝" pitchFamily="18" charset="-128"/>
              <a:cs typeface="+mn-cs"/>
            </a:rPr>
            <a:t>FAX</a:t>
          </a:r>
          <a:r>
            <a:rPr kumimoji="1" lang="ja-JP" altLang="en-US" sz="500">
              <a:solidFill>
                <a:schemeClr val="dk1"/>
              </a:solidFill>
              <a:latin typeface="ＭＳ Ｐ明朝" pitchFamily="18" charset="-128"/>
              <a:ea typeface="ＭＳ Ｐ明朝" pitchFamily="18" charset="-128"/>
              <a:cs typeface="+mn-cs"/>
            </a:rPr>
            <a:t>　</a:t>
          </a:r>
          <a:r>
            <a:rPr kumimoji="1" lang="en-US" altLang="ja-JP" sz="500">
              <a:solidFill>
                <a:schemeClr val="dk1"/>
              </a:solidFill>
              <a:latin typeface="ＭＳ Ｐ明朝" pitchFamily="18" charset="-128"/>
              <a:ea typeface="ＭＳ Ｐ明朝" pitchFamily="18" charset="-128"/>
              <a:cs typeface="+mn-cs"/>
            </a:rPr>
            <a:t>03-5220-1060</a:t>
          </a:r>
          <a:r>
            <a:rPr kumimoji="1" lang="ja-JP" altLang="en-US" sz="500">
              <a:solidFill>
                <a:schemeClr val="dk1"/>
              </a:solidFill>
              <a:latin typeface="ＭＳ Ｐ明朝" pitchFamily="18" charset="-128"/>
              <a:ea typeface="ＭＳ Ｐ明朝" pitchFamily="18" charset="-128"/>
              <a:cs typeface="+mn-cs"/>
            </a:rPr>
            <a:t>／</a:t>
          </a:r>
          <a:r>
            <a:rPr kumimoji="1" lang="en-US" altLang="ja-JP" sz="500">
              <a:solidFill>
                <a:schemeClr val="dk1"/>
              </a:solidFill>
              <a:latin typeface="ＭＳ Ｐ明朝" pitchFamily="18" charset="-128"/>
              <a:ea typeface="ＭＳ Ｐ明朝" pitchFamily="18" charset="-128"/>
              <a:cs typeface="+mn-cs"/>
            </a:rPr>
            <a:t>E-Mail</a:t>
          </a:r>
          <a:r>
            <a:rPr kumimoji="1" lang="ja-JP" altLang="en-US" sz="500">
              <a:solidFill>
                <a:schemeClr val="dk1"/>
              </a:solidFill>
              <a:latin typeface="ＭＳ Ｐ明朝" pitchFamily="18" charset="-128"/>
              <a:ea typeface="ＭＳ Ｐ明朝" pitchFamily="18" charset="-128"/>
              <a:cs typeface="+mn-cs"/>
            </a:rPr>
            <a:t>　</a:t>
          </a:r>
          <a:r>
            <a:rPr kumimoji="1" lang="en-US" altLang="ja-JP" sz="500">
              <a:solidFill>
                <a:schemeClr val="dk1"/>
              </a:solidFill>
              <a:latin typeface="ＭＳ Ｐ明朝" pitchFamily="18" charset="-128"/>
              <a:ea typeface="ＭＳ Ｐ明朝" pitchFamily="18" charset="-128"/>
              <a:cs typeface="+mn-cs"/>
            </a:rPr>
            <a:t>privacy@daj.co.jp</a:t>
          </a:r>
        </a:p>
      </xdr:txBody>
    </xdr:sp>
    <xdr:clientData/>
  </xdr:twoCellAnchor>
  <xdr:twoCellAnchor>
    <xdr:from>
      <xdr:col>113</xdr:col>
      <xdr:colOff>95249</xdr:colOff>
      <xdr:row>46</xdr:row>
      <xdr:rowOff>28575</xdr:rowOff>
    </xdr:from>
    <xdr:to>
      <xdr:col>116</xdr:col>
      <xdr:colOff>61499</xdr:colOff>
      <xdr:row>48</xdr:row>
      <xdr:rowOff>90075</xdr:rowOff>
    </xdr:to>
    <xdr:sp macro="" textlink="">
      <xdr:nvSpPr>
        <xdr:cNvPr id="19" name="フローチャート : 結合子 10">
          <a:extLst>
            <a:ext uri="{FF2B5EF4-FFF2-40B4-BE49-F238E27FC236}">
              <a16:creationId xmlns:a16="http://schemas.microsoft.com/office/drawing/2014/main" id="{00000000-0008-0000-0400-000013000000}"/>
            </a:ext>
          </a:extLst>
        </xdr:cNvPr>
        <xdr:cNvSpPr/>
      </xdr:nvSpPr>
      <xdr:spPr>
        <a:xfrm>
          <a:off x="11020424" y="44100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113</xdr:col>
      <xdr:colOff>28575</xdr:colOff>
      <xdr:row>16</xdr:row>
      <xdr:rowOff>47625</xdr:rowOff>
    </xdr:from>
    <xdr:to>
      <xdr:col>115</xdr:col>
      <xdr:colOff>90075</xdr:colOff>
      <xdr:row>19</xdr:row>
      <xdr:rowOff>13875</xdr:rowOff>
    </xdr:to>
    <xdr:sp macro="" textlink="">
      <xdr:nvSpPr>
        <xdr:cNvPr id="20" name="フローチャート : 結合子 10">
          <a:extLst>
            <a:ext uri="{FF2B5EF4-FFF2-40B4-BE49-F238E27FC236}">
              <a16:creationId xmlns:a16="http://schemas.microsoft.com/office/drawing/2014/main" id="{00000000-0008-0000-0400-000014000000}"/>
            </a:ext>
          </a:extLst>
        </xdr:cNvPr>
        <xdr:cNvSpPr/>
      </xdr:nvSpPr>
      <xdr:spPr>
        <a:xfrm>
          <a:off x="10848975" y="15716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116</xdr:col>
      <xdr:colOff>185059</xdr:colOff>
      <xdr:row>39</xdr:row>
      <xdr:rowOff>47625</xdr:rowOff>
    </xdr:from>
    <xdr:to>
      <xdr:col>151</xdr:col>
      <xdr:colOff>32509</xdr:colOff>
      <xdr:row>52</xdr:row>
      <xdr:rowOff>38100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1291209" y="3762375"/>
          <a:ext cx="3705075" cy="1228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a:solidFill>
              <a:sysClr val="windowText" lastClr="000000"/>
            </a:solidFill>
            <a:effectLst/>
            <a:latin typeface="+mn-lt"/>
            <a:ea typeface="+mn-ea"/>
            <a:cs typeface="+mn-cs"/>
          </a:endParaRPr>
        </a:p>
        <a:p>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表の入力にお進みください。</a:t>
          </a:r>
        </a:p>
      </xdr:txBody>
    </xdr:sp>
    <xdr:clientData/>
  </xdr:twoCellAnchor>
  <xdr:twoCellAnchor>
    <xdr:from>
      <xdr:col>116</xdr:col>
      <xdr:colOff>71437</xdr:colOff>
      <xdr:row>37</xdr:row>
      <xdr:rowOff>76200</xdr:rowOff>
    </xdr:from>
    <xdr:to>
      <xdr:col>116</xdr:col>
      <xdr:colOff>323437</xdr:colOff>
      <xdr:row>40</xdr:row>
      <xdr:rowOff>42450</xdr:rowOff>
    </xdr:to>
    <xdr:sp macro="" textlink="">
      <xdr:nvSpPr>
        <xdr:cNvPr id="22" name="フローチャート : 結合子 26">
          <a:extLst>
            <a:ext uri="{FF2B5EF4-FFF2-40B4-BE49-F238E27FC236}">
              <a16:creationId xmlns:a16="http://schemas.microsoft.com/office/drawing/2014/main" id="{00000000-0008-0000-0400-000016000000}"/>
            </a:ext>
          </a:extLst>
        </xdr:cNvPr>
        <xdr:cNvSpPr/>
      </xdr:nvSpPr>
      <xdr:spPr>
        <a:xfrm>
          <a:off x="11234737" y="36004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116</xdr:col>
      <xdr:colOff>185059</xdr:colOff>
      <xdr:row>2</xdr:row>
      <xdr:rowOff>38102</xdr:rowOff>
    </xdr:from>
    <xdr:to>
      <xdr:col>151</xdr:col>
      <xdr:colOff>32509</xdr:colOff>
      <xdr:row>7</xdr:row>
      <xdr:rowOff>66676</xdr:rowOff>
    </xdr:to>
    <xdr:sp macro="" textlink="">
      <xdr:nvSpPr>
        <xdr:cNvPr id="23" name="正方形/長方形 22">
          <a:extLst>
            <a:ext uri="{FF2B5EF4-FFF2-40B4-BE49-F238E27FC236}">
              <a16:creationId xmlns:a16="http://schemas.microsoft.com/office/drawing/2014/main" id="{00000000-0008-0000-0400-000017000000}"/>
            </a:ext>
          </a:extLst>
        </xdr:cNvPr>
        <xdr:cNvSpPr/>
      </xdr:nvSpPr>
      <xdr:spPr>
        <a:xfrm>
          <a:off x="11291209" y="228602"/>
          <a:ext cx="3705075" cy="5048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a:t>
          </a:r>
          <a:endParaRPr kumimoji="1" lang="en-US" altLang="ja-JP" sz="900">
            <a:solidFill>
              <a:sysClr val="windowText" lastClr="000000"/>
            </a:solidFill>
          </a:endParaRPr>
        </a:p>
        <a:p>
          <a:pPr algn="l"/>
          <a:r>
            <a:rPr kumimoji="1" lang="ja-JP" altLang="en-US" sz="900">
              <a:solidFill>
                <a:sysClr val="windowText" lastClr="000000"/>
              </a:solidFill>
            </a:rPr>
            <a:t>必ずご記入ください。</a:t>
          </a:r>
        </a:p>
      </xdr:txBody>
    </xdr:sp>
    <xdr:clientData/>
  </xdr:twoCellAnchor>
  <xdr:twoCellAnchor>
    <xdr:from>
      <xdr:col>116</xdr:col>
      <xdr:colOff>71437</xdr:colOff>
      <xdr:row>1</xdr:row>
      <xdr:rowOff>0</xdr:rowOff>
    </xdr:from>
    <xdr:to>
      <xdr:col>116</xdr:col>
      <xdr:colOff>323437</xdr:colOff>
      <xdr:row>3</xdr:row>
      <xdr:rowOff>61500</xdr:rowOff>
    </xdr:to>
    <xdr:sp macro="" textlink="">
      <xdr:nvSpPr>
        <xdr:cNvPr id="24" name="フローチャート : 結合子 24">
          <a:extLst>
            <a:ext uri="{FF2B5EF4-FFF2-40B4-BE49-F238E27FC236}">
              <a16:creationId xmlns:a16="http://schemas.microsoft.com/office/drawing/2014/main" id="{00000000-0008-0000-0400-000018000000}"/>
            </a:ext>
          </a:extLst>
        </xdr:cNvPr>
        <xdr:cNvSpPr/>
      </xdr:nvSpPr>
      <xdr:spPr>
        <a:xfrm>
          <a:off x="11234737" y="952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116</xdr:col>
      <xdr:colOff>185059</xdr:colOff>
      <xdr:row>9</xdr:row>
      <xdr:rowOff>81644</xdr:rowOff>
    </xdr:from>
    <xdr:to>
      <xdr:col>151</xdr:col>
      <xdr:colOff>32509</xdr:colOff>
      <xdr:row>13</xdr:row>
      <xdr:rowOff>38100</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1291209" y="938894"/>
          <a:ext cx="3705075"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116</xdr:col>
      <xdr:colOff>71437</xdr:colOff>
      <xdr:row>8</xdr:row>
      <xdr:rowOff>47625</xdr:rowOff>
    </xdr:from>
    <xdr:to>
      <xdr:col>116</xdr:col>
      <xdr:colOff>323437</xdr:colOff>
      <xdr:row>11</xdr:row>
      <xdr:rowOff>13875</xdr:rowOff>
    </xdr:to>
    <xdr:sp macro="" textlink="">
      <xdr:nvSpPr>
        <xdr:cNvPr id="26" name="フローチャート : 結合子 26">
          <a:extLst>
            <a:ext uri="{FF2B5EF4-FFF2-40B4-BE49-F238E27FC236}">
              <a16:creationId xmlns:a16="http://schemas.microsoft.com/office/drawing/2014/main" id="{00000000-0008-0000-0400-00001A000000}"/>
            </a:ext>
          </a:extLst>
        </xdr:cNvPr>
        <xdr:cNvSpPr/>
      </xdr:nvSpPr>
      <xdr:spPr>
        <a:xfrm>
          <a:off x="11234737" y="8096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116</xdr:col>
      <xdr:colOff>185059</xdr:colOff>
      <xdr:row>15</xdr:row>
      <xdr:rowOff>72118</xdr:rowOff>
    </xdr:from>
    <xdr:to>
      <xdr:col>151</xdr:col>
      <xdr:colOff>32509</xdr:colOff>
      <xdr:row>19</xdr:row>
      <xdr:rowOff>47625</xdr:rowOff>
    </xdr:to>
    <xdr:sp macro="" textlink="">
      <xdr:nvSpPr>
        <xdr:cNvPr id="27" name="正方形/長方形 26">
          <a:extLst>
            <a:ext uri="{FF2B5EF4-FFF2-40B4-BE49-F238E27FC236}">
              <a16:creationId xmlns:a16="http://schemas.microsoft.com/office/drawing/2014/main" id="{00000000-0008-0000-0400-00001B000000}"/>
            </a:ext>
          </a:extLst>
        </xdr:cNvPr>
        <xdr:cNvSpPr/>
      </xdr:nvSpPr>
      <xdr:spPr>
        <a:xfrm>
          <a:off x="11291209" y="1500868"/>
          <a:ext cx="3705075"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エンドユーザー様へ販売される販売店様の情報をご記入ください。</a:t>
          </a:r>
          <a:endParaRPr lang="ja-JP" altLang="ja-JP" sz="900">
            <a:solidFill>
              <a:sysClr val="windowText" lastClr="000000"/>
            </a:solidFill>
            <a:effectLst/>
          </a:endParaRPr>
        </a:p>
      </xdr:txBody>
    </xdr:sp>
    <xdr:clientData/>
  </xdr:twoCellAnchor>
  <xdr:twoCellAnchor>
    <xdr:from>
      <xdr:col>116</xdr:col>
      <xdr:colOff>71437</xdr:colOff>
      <xdr:row>14</xdr:row>
      <xdr:rowOff>19050</xdr:rowOff>
    </xdr:from>
    <xdr:to>
      <xdr:col>116</xdr:col>
      <xdr:colOff>323437</xdr:colOff>
      <xdr:row>16</xdr:row>
      <xdr:rowOff>80550</xdr:rowOff>
    </xdr:to>
    <xdr:sp macro="" textlink="">
      <xdr:nvSpPr>
        <xdr:cNvPr id="28" name="フローチャート : 結合子 26">
          <a:extLst>
            <a:ext uri="{FF2B5EF4-FFF2-40B4-BE49-F238E27FC236}">
              <a16:creationId xmlns:a16="http://schemas.microsoft.com/office/drawing/2014/main" id="{00000000-0008-0000-0400-00001C000000}"/>
            </a:ext>
          </a:extLst>
        </xdr:cNvPr>
        <xdr:cNvSpPr/>
      </xdr:nvSpPr>
      <xdr:spPr>
        <a:xfrm>
          <a:off x="11234737" y="13525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116</xdr:col>
      <xdr:colOff>185059</xdr:colOff>
      <xdr:row>21</xdr:row>
      <xdr:rowOff>43543</xdr:rowOff>
    </xdr:from>
    <xdr:to>
      <xdr:col>151</xdr:col>
      <xdr:colOff>32509</xdr:colOff>
      <xdr:row>26</xdr:row>
      <xdr:rowOff>38100</xdr:rowOff>
    </xdr:to>
    <xdr:sp macro="" textlink="">
      <xdr:nvSpPr>
        <xdr:cNvPr id="29" name="正方形/長方形 28">
          <a:extLst>
            <a:ext uri="{FF2B5EF4-FFF2-40B4-BE49-F238E27FC236}">
              <a16:creationId xmlns:a16="http://schemas.microsoft.com/office/drawing/2014/main" id="{00000000-0008-0000-0400-00001D000000}"/>
            </a:ext>
          </a:extLst>
        </xdr:cNvPr>
        <xdr:cNvSpPr/>
      </xdr:nvSpPr>
      <xdr:spPr>
        <a:xfrm>
          <a:off x="11291209" y="2043793"/>
          <a:ext cx="3705075"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en-US" sz="900">
              <a:solidFill>
                <a:sysClr val="windowText" lastClr="000000"/>
              </a:solidFill>
              <a:effectLst/>
              <a:latin typeface="+mn-lt"/>
              <a:ea typeface="+mn-ea"/>
              <a:cs typeface="+mn-cs"/>
            </a:rPr>
            <a:t>入力された担当者アドレスへ更新案内や各種情報のご案内が行われます。</a:t>
          </a:r>
        </a:p>
        <a:p>
          <a:r>
            <a:rPr kumimoji="1" lang="ja-JP" altLang="en-US" sz="900">
              <a:solidFill>
                <a:sysClr val="windowText" lastClr="000000"/>
              </a:solidFill>
              <a:effectLst/>
              <a:latin typeface="+mn-lt"/>
              <a:ea typeface="+mn-ea"/>
              <a:cs typeface="+mn-cs"/>
            </a:rPr>
            <a:t>ご案内を望まない場合は</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をご選択下さい。</a:t>
          </a:r>
        </a:p>
      </xdr:txBody>
    </xdr:sp>
    <xdr:clientData/>
  </xdr:twoCellAnchor>
  <xdr:twoCellAnchor>
    <xdr:from>
      <xdr:col>116</xdr:col>
      <xdr:colOff>71437</xdr:colOff>
      <xdr:row>19</xdr:row>
      <xdr:rowOff>85725</xdr:rowOff>
    </xdr:from>
    <xdr:to>
      <xdr:col>116</xdr:col>
      <xdr:colOff>323437</xdr:colOff>
      <xdr:row>22</xdr:row>
      <xdr:rowOff>51975</xdr:rowOff>
    </xdr:to>
    <xdr:sp macro="" textlink="">
      <xdr:nvSpPr>
        <xdr:cNvPr id="30" name="フローチャート : 結合子 26">
          <a:extLst>
            <a:ext uri="{FF2B5EF4-FFF2-40B4-BE49-F238E27FC236}">
              <a16:creationId xmlns:a16="http://schemas.microsoft.com/office/drawing/2014/main" id="{00000000-0008-0000-0400-00001E000000}"/>
            </a:ext>
          </a:extLst>
        </xdr:cNvPr>
        <xdr:cNvSpPr/>
      </xdr:nvSpPr>
      <xdr:spPr>
        <a:xfrm>
          <a:off x="11234737" y="18954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185059</xdr:colOff>
      <xdr:row>28</xdr:row>
      <xdr:rowOff>53068</xdr:rowOff>
    </xdr:from>
    <xdr:to>
      <xdr:col>151</xdr:col>
      <xdr:colOff>32509</xdr:colOff>
      <xdr:row>36</xdr:row>
      <xdr:rowOff>85725</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a:xfrm>
          <a:off x="11291209" y="2720068"/>
          <a:ext cx="3705075"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販売店様情報を</a:t>
          </a:r>
          <a:r>
            <a:rPr kumimoji="1" lang="ja-JP" altLang="ja-JP" sz="900" baseline="0">
              <a:solidFill>
                <a:sysClr val="windowText" lastClr="000000"/>
              </a:solidFill>
              <a:effectLst/>
              <a:latin typeface="+mn-lt"/>
              <a:ea typeface="+mn-ea"/>
              <a:cs typeface="+mn-cs"/>
            </a:rPr>
            <a:t>全てご記入ください。</a:t>
          </a:r>
          <a:endParaRPr lang="ja-JP" altLang="ja-JP" sz="900">
            <a:solidFill>
              <a:sysClr val="windowText" lastClr="000000"/>
            </a:solidFill>
            <a:effectLst/>
          </a:endParaRPr>
        </a:p>
      </xdr:txBody>
    </xdr:sp>
    <xdr:clientData/>
  </xdr:twoCellAnchor>
  <xdr:twoCellAnchor>
    <xdr:from>
      <xdr:col>116</xdr:col>
      <xdr:colOff>71437</xdr:colOff>
      <xdr:row>27</xdr:row>
      <xdr:rowOff>0</xdr:rowOff>
    </xdr:from>
    <xdr:to>
      <xdr:col>116</xdr:col>
      <xdr:colOff>323437</xdr:colOff>
      <xdr:row>29</xdr:row>
      <xdr:rowOff>61500</xdr:rowOff>
    </xdr:to>
    <xdr:sp macro="" textlink="">
      <xdr:nvSpPr>
        <xdr:cNvPr id="32" name="フローチャート : 結合子 26">
          <a:extLst>
            <a:ext uri="{FF2B5EF4-FFF2-40B4-BE49-F238E27FC236}">
              <a16:creationId xmlns:a16="http://schemas.microsoft.com/office/drawing/2014/main" id="{00000000-0008-0000-0400-000020000000}"/>
            </a:ext>
          </a:extLst>
        </xdr:cNvPr>
        <xdr:cNvSpPr/>
      </xdr:nvSpPr>
      <xdr:spPr>
        <a:xfrm>
          <a:off x="11234737" y="25717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56</xdr:col>
      <xdr:colOff>66675</xdr:colOff>
      <xdr:row>22</xdr:row>
      <xdr:rowOff>66675</xdr:rowOff>
    </xdr:from>
    <xdr:to>
      <xdr:col>59</xdr:col>
      <xdr:colOff>32925</xdr:colOff>
      <xdr:row>25</xdr:row>
      <xdr:rowOff>32925</xdr:rowOff>
    </xdr:to>
    <xdr:sp macro="" textlink="">
      <xdr:nvSpPr>
        <xdr:cNvPr id="33" name="フローチャート : 結合子 5">
          <a:extLst>
            <a:ext uri="{FF2B5EF4-FFF2-40B4-BE49-F238E27FC236}">
              <a16:creationId xmlns:a16="http://schemas.microsoft.com/office/drawing/2014/main" id="{00000000-0008-0000-0400-000021000000}"/>
            </a:ext>
          </a:extLst>
        </xdr:cNvPr>
        <xdr:cNvSpPr/>
      </xdr:nvSpPr>
      <xdr:spPr>
        <a:xfrm>
          <a:off x="5457825" y="21621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66675</xdr:colOff>
      <xdr:row>26</xdr:row>
      <xdr:rowOff>57148</xdr:rowOff>
    </xdr:from>
    <xdr:to>
      <xdr:col>59</xdr:col>
      <xdr:colOff>32925</xdr:colOff>
      <xdr:row>29</xdr:row>
      <xdr:rowOff>23398</xdr:rowOff>
    </xdr:to>
    <xdr:sp macro="" textlink="">
      <xdr:nvSpPr>
        <xdr:cNvPr id="34" name="フローチャート : 結合子 10">
          <a:extLst>
            <a:ext uri="{FF2B5EF4-FFF2-40B4-BE49-F238E27FC236}">
              <a16:creationId xmlns:a16="http://schemas.microsoft.com/office/drawing/2014/main" id="{00000000-0008-0000-0400-000022000000}"/>
            </a:ext>
          </a:extLst>
        </xdr:cNvPr>
        <xdr:cNvSpPr/>
      </xdr:nvSpPr>
      <xdr:spPr>
        <a:xfrm>
          <a:off x="5514975" y="2533648"/>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57</xdr:col>
      <xdr:colOff>0</xdr:colOff>
      <xdr:row>44</xdr:row>
      <xdr:rowOff>19048</xdr:rowOff>
    </xdr:from>
    <xdr:to>
      <xdr:col>59</xdr:col>
      <xdr:colOff>61500</xdr:colOff>
      <xdr:row>46</xdr:row>
      <xdr:rowOff>80548</xdr:rowOff>
    </xdr:to>
    <xdr:sp macro="" textlink="">
      <xdr:nvSpPr>
        <xdr:cNvPr id="35" name="フローチャート : 結合子 10">
          <a:extLst>
            <a:ext uri="{FF2B5EF4-FFF2-40B4-BE49-F238E27FC236}">
              <a16:creationId xmlns:a16="http://schemas.microsoft.com/office/drawing/2014/main" id="{00000000-0008-0000-0400-000023000000}"/>
            </a:ext>
          </a:extLst>
        </xdr:cNvPr>
        <xdr:cNvSpPr/>
      </xdr:nvSpPr>
      <xdr:spPr>
        <a:xfrm>
          <a:off x="5543550" y="4210048"/>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56</xdr:col>
      <xdr:colOff>66675</xdr:colOff>
      <xdr:row>40</xdr:row>
      <xdr:rowOff>47623</xdr:rowOff>
    </xdr:from>
    <xdr:to>
      <xdr:col>59</xdr:col>
      <xdr:colOff>32925</xdr:colOff>
      <xdr:row>43</xdr:row>
      <xdr:rowOff>13873</xdr:rowOff>
    </xdr:to>
    <xdr:sp macro="" textlink="">
      <xdr:nvSpPr>
        <xdr:cNvPr id="36" name="フローチャート : 結合子 10">
          <a:extLst>
            <a:ext uri="{FF2B5EF4-FFF2-40B4-BE49-F238E27FC236}">
              <a16:creationId xmlns:a16="http://schemas.microsoft.com/office/drawing/2014/main" id="{00000000-0008-0000-0400-000024000000}"/>
            </a:ext>
          </a:extLst>
        </xdr:cNvPr>
        <xdr:cNvSpPr/>
      </xdr:nvSpPr>
      <xdr:spPr>
        <a:xfrm>
          <a:off x="5457825" y="3857623"/>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66675</xdr:colOff>
      <xdr:row>58</xdr:row>
      <xdr:rowOff>76199</xdr:rowOff>
    </xdr:from>
    <xdr:to>
      <xdr:col>59</xdr:col>
      <xdr:colOff>32925</xdr:colOff>
      <xdr:row>61</xdr:row>
      <xdr:rowOff>42449</xdr:rowOff>
    </xdr:to>
    <xdr:sp macro="" textlink="">
      <xdr:nvSpPr>
        <xdr:cNvPr id="37" name="フローチャート : 結合子 10">
          <a:extLst>
            <a:ext uri="{FF2B5EF4-FFF2-40B4-BE49-F238E27FC236}">
              <a16:creationId xmlns:a16="http://schemas.microsoft.com/office/drawing/2014/main" id="{00000000-0008-0000-0400-000025000000}"/>
            </a:ext>
          </a:extLst>
        </xdr:cNvPr>
        <xdr:cNvSpPr/>
      </xdr:nvSpPr>
      <xdr:spPr>
        <a:xfrm>
          <a:off x="5457825" y="560069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185059</xdr:colOff>
      <xdr:row>67</xdr:row>
      <xdr:rowOff>19051</xdr:rowOff>
    </xdr:from>
    <xdr:to>
      <xdr:col>151</xdr:col>
      <xdr:colOff>32509</xdr:colOff>
      <xdr:row>72</xdr:row>
      <xdr:rowOff>28576</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11291209" y="6372226"/>
          <a:ext cx="3705075" cy="43815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D-SPA</a:t>
          </a:r>
          <a:r>
            <a:rPr lang="ja-JP" altLang="en-US" sz="900">
              <a:solidFill>
                <a:sysClr val="windowText" lastClr="000000"/>
              </a:solidFill>
              <a:effectLst/>
              <a:latin typeface="+mn-lt"/>
              <a:ea typeface="+mn-ea"/>
              <a:cs typeface="+mn-cs"/>
            </a:rPr>
            <a:t>本体機器に関する申請事項をご入力ください。</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71437</xdr:colOff>
      <xdr:row>65</xdr:row>
      <xdr:rowOff>66675</xdr:rowOff>
    </xdr:from>
    <xdr:to>
      <xdr:col>116</xdr:col>
      <xdr:colOff>323437</xdr:colOff>
      <xdr:row>68</xdr:row>
      <xdr:rowOff>61500</xdr:rowOff>
    </xdr:to>
    <xdr:sp macro="" textlink="">
      <xdr:nvSpPr>
        <xdr:cNvPr id="39" name="フローチャート : 結合子 26">
          <a:extLst>
            <a:ext uri="{FF2B5EF4-FFF2-40B4-BE49-F238E27FC236}">
              <a16:creationId xmlns:a16="http://schemas.microsoft.com/office/drawing/2014/main" id="{00000000-0008-0000-0400-000027000000}"/>
            </a:ext>
          </a:extLst>
        </xdr:cNvPr>
        <xdr:cNvSpPr/>
      </xdr:nvSpPr>
      <xdr:spPr>
        <a:xfrm>
          <a:off x="11234737" y="62484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113</xdr:col>
      <xdr:colOff>28575</xdr:colOff>
      <xdr:row>66</xdr:row>
      <xdr:rowOff>76200</xdr:rowOff>
    </xdr:from>
    <xdr:to>
      <xdr:col>115</xdr:col>
      <xdr:colOff>90075</xdr:colOff>
      <xdr:row>69</xdr:row>
      <xdr:rowOff>71025</xdr:rowOff>
    </xdr:to>
    <xdr:sp macro="" textlink="">
      <xdr:nvSpPr>
        <xdr:cNvPr id="41" name="フローチャート : 結合子 26">
          <a:extLst>
            <a:ext uri="{FF2B5EF4-FFF2-40B4-BE49-F238E27FC236}">
              <a16:creationId xmlns:a16="http://schemas.microsoft.com/office/drawing/2014/main" id="{00000000-0008-0000-0400-000029000000}"/>
            </a:ext>
          </a:extLst>
        </xdr:cNvPr>
        <xdr:cNvSpPr/>
      </xdr:nvSpPr>
      <xdr:spPr>
        <a:xfrm>
          <a:off x="10848975" y="63436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185059</xdr:colOff>
      <xdr:row>87</xdr:row>
      <xdr:rowOff>57151</xdr:rowOff>
    </xdr:from>
    <xdr:to>
      <xdr:col>151</xdr:col>
      <xdr:colOff>32509</xdr:colOff>
      <xdr:row>92</xdr:row>
      <xdr:rowOff>66676</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11291209" y="8239126"/>
          <a:ext cx="3705075" cy="43815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D-SPA</a:t>
          </a:r>
          <a:r>
            <a:rPr lang="ja-JP" altLang="en-US" sz="900">
              <a:solidFill>
                <a:sysClr val="windowText" lastClr="000000"/>
              </a:solidFill>
              <a:effectLst/>
              <a:latin typeface="+mn-lt"/>
              <a:ea typeface="+mn-ea"/>
              <a:cs typeface="+mn-cs"/>
            </a:rPr>
            <a:t>本体機器の保守サービスに関する申請事項をご入力ください。</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71437</xdr:colOff>
      <xdr:row>85</xdr:row>
      <xdr:rowOff>66675</xdr:rowOff>
    </xdr:from>
    <xdr:to>
      <xdr:col>116</xdr:col>
      <xdr:colOff>323437</xdr:colOff>
      <xdr:row>88</xdr:row>
      <xdr:rowOff>61500</xdr:rowOff>
    </xdr:to>
    <xdr:sp macro="" textlink="">
      <xdr:nvSpPr>
        <xdr:cNvPr id="43" name="フローチャート : 結合子 26">
          <a:extLst>
            <a:ext uri="{FF2B5EF4-FFF2-40B4-BE49-F238E27FC236}">
              <a16:creationId xmlns:a16="http://schemas.microsoft.com/office/drawing/2014/main" id="{00000000-0008-0000-0400-00002B000000}"/>
            </a:ext>
          </a:extLst>
        </xdr:cNvPr>
        <xdr:cNvSpPr/>
      </xdr:nvSpPr>
      <xdr:spPr>
        <a:xfrm>
          <a:off x="11234737" y="80772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50" b="1">
              <a:solidFill>
                <a:sysClr val="windowText" lastClr="000000"/>
              </a:solidFill>
              <a:latin typeface="+mn-ea"/>
              <a:ea typeface="+mn-ea"/>
            </a:rPr>
            <a:t>8</a:t>
          </a:r>
        </a:p>
      </xdr:txBody>
    </xdr:sp>
    <xdr:clientData/>
  </xdr:twoCellAnchor>
  <xdr:twoCellAnchor>
    <xdr:from>
      <xdr:col>113</xdr:col>
      <xdr:colOff>28575</xdr:colOff>
      <xdr:row>87</xdr:row>
      <xdr:rowOff>66675</xdr:rowOff>
    </xdr:from>
    <xdr:to>
      <xdr:col>115</xdr:col>
      <xdr:colOff>90075</xdr:colOff>
      <xdr:row>90</xdr:row>
      <xdr:rowOff>61500</xdr:rowOff>
    </xdr:to>
    <xdr:sp macro="" textlink="">
      <xdr:nvSpPr>
        <xdr:cNvPr id="44" name="フローチャート : 結合子 26">
          <a:extLst>
            <a:ext uri="{FF2B5EF4-FFF2-40B4-BE49-F238E27FC236}">
              <a16:creationId xmlns:a16="http://schemas.microsoft.com/office/drawing/2014/main" id="{00000000-0008-0000-0400-00002C000000}"/>
            </a:ext>
          </a:extLst>
        </xdr:cNvPr>
        <xdr:cNvSpPr/>
      </xdr:nvSpPr>
      <xdr:spPr>
        <a:xfrm>
          <a:off x="10848975" y="82486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1">
              <a:solidFill>
                <a:sysClr val="windowText" lastClr="000000"/>
              </a:solidFill>
              <a:latin typeface="+mn-ea"/>
              <a:ea typeface="+mn-ea"/>
            </a:rPr>
            <a:t>8</a:t>
          </a:r>
        </a:p>
      </xdr:txBody>
    </xdr:sp>
    <xdr:clientData/>
  </xdr:twoCellAnchor>
  <xdr:twoCellAnchor>
    <xdr:from>
      <xdr:col>116</xdr:col>
      <xdr:colOff>194584</xdr:colOff>
      <xdr:row>98</xdr:row>
      <xdr:rowOff>19051</xdr:rowOff>
    </xdr:from>
    <xdr:to>
      <xdr:col>151</xdr:col>
      <xdr:colOff>42034</xdr:colOff>
      <xdr:row>106</xdr:row>
      <xdr:rowOff>47625</xdr:rowOff>
    </xdr:to>
    <xdr:sp macro="" textlink="">
      <xdr:nvSpPr>
        <xdr:cNvPr id="46" name="正方形/長方形 45">
          <a:extLst>
            <a:ext uri="{FF2B5EF4-FFF2-40B4-BE49-F238E27FC236}">
              <a16:creationId xmlns:a16="http://schemas.microsoft.com/office/drawing/2014/main" id="{00000000-0008-0000-0400-00002E000000}"/>
            </a:ext>
          </a:extLst>
        </xdr:cNvPr>
        <xdr:cNvSpPr/>
      </xdr:nvSpPr>
      <xdr:spPr>
        <a:xfrm>
          <a:off x="11357884" y="9144001"/>
          <a:ext cx="3705075" cy="71437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D-SPA</a:t>
          </a:r>
          <a:r>
            <a:rPr lang="ja-JP" altLang="en-US" sz="900">
              <a:solidFill>
                <a:sysClr val="windowText" lastClr="000000"/>
              </a:solidFill>
              <a:effectLst/>
              <a:latin typeface="+mn-lt"/>
              <a:ea typeface="+mn-ea"/>
              <a:cs typeface="+mn-cs"/>
            </a:rPr>
            <a:t>本体機器の設置場所に関する申請事項をご入力ください。</a:t>
          </a:r>
          <a:endParaRPr lang="en-US" altLang="ja-JP" sz="900">
            <a:solidFill>
              <a:sysClr val="windowText" lastClr="000000"/>
            </a:solidFill>
            <a:effectLst/>
            <a:latin typeface="+mn-lt"/>
            <a:ea typeface="+mn-ea"/>
            <a:cs typeface="+mn-cs"/>
          </a:endParaRPr>
        </a:p>
        <a:p>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「モデル」列は「ご購入保守サービス明細」表より転記されます。</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71437</xdr:colOff>
      <xdr:row>96</xdr:row>
      <xdr:rowOff>28575</xdr:rowOff>
    </xdr:from>
    <xdr:to>
      <xdr:col>116</xdr:col>
      <xdr:colOff>323437</xdr:colOff>
      <xdr:row>99</xdr:row>
      <xdr:rowOff>23400</xdr:rowOff>
    </xdr:to>
    <xdr:sp macro="" textlink="">
      <xdr:nvSpPr>
        <xdr:cNvPr id="47" name="フローチャート : 結合子 26">
          <a:extLst>
            <a:ext uri="{FF2B5EF4-FFF2-40B4-BE49-F238E27FC236}">
              <a16:creationId xmlns:a16="http://schemas.microsoft.com/office/drawing/2014/main" id="{00000000-0008-0000-0400-00002F000000}"/>
            </a:ext>
          </a:extLst>
        </xdr:cNvPr>
        <xdr:cNvSpPr/>
      </xdr:nvSpPr>
      <xdr:spPr>
        <a:xfrm>
          <a:off x="11234737" y="89820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50" b="1">
              <a:solidFill>
                <a:sysClr val="windowText" lastClr="000000"/>
              </a:solidFill>
              <a:latin typeface="+mn-ea"/>
              <a:ea typeface="+mn-ea"/>
            </a:rPr>
            <a:t>9</a:t>
          </a:r>
        </a:p>
      </xdr:txBody>
    </xdr:sp>
    <xdr:clientData/>
  </xdr:twoCellAnchor>
  <xdr:twoCellAnchor>
    <xdr:from>
      <xdr:col>113</xdr:col>
      <xdr:colOff>28575</xdr:colOff>
      <xdr:row>106</xdr:row>
      <xdr:rowOff>38100</xdr:rowOff>
    </xdr:from>
    <xdr:to>
      <xdr:col>115</xdr:col>
      <xdr:colOff>90075</xdr:colOff>
      <xdr:row>109</xdr:row>
      <xdr:rowOff>32925</xdr:rowOff>
    </xdr:to>
    <xdr:sp macro="" textlink="">
      <xdr:nvSpPr>
        <xdr:cNvPr id="49" name="フローチャート : 結合子 26">
          <a:extLst>
            <a:ext uri="{FF2B5EF4-FFF2-40B4-BE49-F238E27FC236}">
              <a16:creationId xmlns:a16="http://schemas.microsoft.com/office/drawing/2014/main" id="{00000000-0008-0000-0400-000031000000}"/>
            </a:ext>
          </a:extLst>
        </xdr:cNvPr>
        <xdr:cNvSpPr/>
      </xdr:nvSpPr>
      <xdr:spPr>
        <a:xfrm>
          <a:off x="10848975" y="98488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1">
              <a:solidFill>
                <a:sysClr val="windowText" lastClr="000000"/>
              </a:solidFill>
              <a:latin typeface="+mn-ea"/>
              <a:ea typeface="+mn-ea"/>
            </a:rPr>
            <a:t>9</a:t>
          </a:r>
        </a:p>
      </xdr:txBody>
    </xdr:sp>
    <xdr:clientData/>
  </xdr:twoCellAnchor>
  <xdr:twoCellAnchor>
    <xdr:from>
      <xdr:col>111</xdr:col>
      <xdr:colOff>38100</xdr:colOff>
      <xdr:row>125</xdr:row>
      <xdr:rowOff>28575</xdr:rowOff>
    </xdr:from>
    <xdr:to>
      <xdr:col>115</xdr:col>
      <xdr:colOff>80550</xdr:colOff>
      <xdr:row>128</xdr:row>
      <xdr:rowOff>23400</xdr:rowOff>
    </xdr:to>
    <xdr:sp macro="" textlink="">
      <xdr:nvSpPr>
        <xdr:cNvPr id="51" name="フローチャート : 結合子 26">
          <a:extLst>
            <a:ext uri="{FF2B5EF4-FFF2-40B4-BE49-F238E27FC236}">
              <a16:creationId xmlns:a16="http://schemas.microsoft.com/office/drawing/2014/main" id="{00000000-0008-0000-0400-000033000000}"/>
            </a:ext>
          </a:extLst>
        </xdr:cNvPr>
        <xdr:cNvSpPr/>
      </xdr:nvSpPr>
      <xdr:spPr>
        <a:xfrm>
          <a:off x="10668000" y="11468100"/>
          <a:ext cx="4234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10</a:t>
          </a:r>
        </a:p>
      </xdr:txBody>
    </xdr:sp>
    <xdr:clientData/>
  </xdr:twoCellAnchor>
  <xdr:twoCellAnchor>
    <xdr:from>
      <xdr:col>116</xdr:col>
      <xdr:colOff>185059</xdr:colOff>
      <xdr:row>110</xdr:row>
      <xdr:rowOff>38101</xdr:rowOff>
    </xdr:from>
    <xdr:to>
      <xdr:col>151</xdr:col>
      <xdr:colOff>32509</xdr:colOff>
      <xdr:row>115</xdr:row>
      <xdr:rowOff>47626</xdr:rowOff>
    </xdr:to>
    <xdr:sp macro="" textlink="">
      <xdr:nvSpPr>
        <xdr:cNvPr id="52" name="正方形/長方形 51">
          <a:extLst>
            <a:ext uri="{FF2B5EF4-FFF2-40B4-BE49-F238E27FC236}">
              <a16:creationId xmlns:a16="http://schemas.microsoft.com/office/drawing/2014/main" id="{00000000-0008-0000-0400-000034000000}"/>
            </a:ext>
          </a:extLst>
        </xdr:cNvPr>
        <xdr:cNvSpPr/>
      </xdr:nvSpPr>
      <xdr:spPr>
        <a:xfrm>
          <a:off x="11348359" y="10191751"/>
          <a:ext cx="3705075" cy="43815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ソフトウェアオプションに関する申請事項をご入力ください。</a:t>
          </a:r>
          <a:endParaRPr lang="en-US" altLang="ja-JP" sz="900">
            <a:solidFill>
              <a:sysClr val="windowText" lastClr="000000"/>
            </a:solidFill>
            <a:effectLst/>
            <a:latin typeface="+mn-lt"/>
            <a:ea typeface="+mn-ea"/>
            <a:cs typeface="+mn-cs"/>
          </a:endParaRPr>
        </a:p>
      </xdr:txBody>
    </xdr:sp>
    <xdr:clientData/>
  </xdr:twoCellAnchor>
  <xdr:twoCellAnchor>
    <xdr:from>
      <xdr:col>116</xdr:col>
      <xdr:colOff>95250</xdr:colOff>
      <xdr:row>108</xdr:row>
      <xdr:rowOff>57150</xdr:rowOff>
    </xdr:from>
    <xdr:to>
      <xdr:col>116</xdr:col>
      <xdr:colOff>518700</xdr:colOff>
      <xdr:row>111</xdr:row>
      <xdr:rowOff>51975</xdr:rowOff>
    </xdr:to>
    <xdr:sp macro="" textlink="">
      <xdr:nvSpPr>
        <xdr:cNvPr id="54" name="フローチャート : 結合子 26">
          <a:extLst>
            <a:ext uri="{FF2B5EF4-FFF2-40B4-BE49-F238E27FC236}">
              <a16:creationId xmlns:a16="http://schemas.microsoft.com/office/drawing/2014/main" id="{00000000-0008-0000-0400-000036000000}"/>
            </a:ext>
          </a:extLst>
        </xdr:cNvPr>
        <xdr:cNvSpPr/>
      </xdr:nvSpPr>
      <xdr:spPr>
        <a:xfrm>
          <a:off x="11258550" y="10039350"/>
          <a:ext cx="42345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10</a:t>
          </a:r>
        </a:p>
      </xdr:txBody>
    </xdr:sp>
    <xdr:clientData/>
  </xdr:twoCellAnchor>
  <xdr:twoCellAnchor>
    <xdr:from>
      <xdr:col>0</xdr:col>
      <xdr:colOff>114300</xdr:colOff>
      <xdr:row>155</xdr:row>
      <xdr:rowOff>4081</xdr:rowOff>
    </xdr:from>
    <xdr:to>
      <xdr:col>2</xdr:col>
      <xdr:colOff>8325</xdr:colOff>
      <xdr:row>156</xdr:row>
      <xdr:rowOff>28574</xdr:rowOff>
    </xdr:to>
    <xdr:sp macro="" textlink="">
      <xdr:nvSpPr>
        <xdr:cNvPr id="56" name="フローチャート : 結合子 26">
          <a:extLst>
            <a:ext uri="{FF2B5EF4-FFF2-40B4-BE49-F238E27FC236}">
              <a16:creationId xmlns:a16="http://schemas.microsoft.com/office/drawing/2014/main" id="{00000000-0008-0000-0400-000038000000}"/>
            </a:ext>
          </a:extLst>
        </xdr:cNvPr>
        <xdr:cNvSpPr/>
      </xdr:nvSpPr>
      <xdr:spPr>
        <a:xfrm>
          <a:off x="114300" y="13472431"/>
          <a:ext cx="189300" cy="176893"/>
        </a:xfrm>
        <a:prstGeom prst="ellipse">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900" b="1">
              <a:solidFill>
                <a:sysClr val="windowText" lastClr="000000"/>
              </a:solidFill>
              <a:latin typeface="+mn-ea"/>
              <a:ea typeface="+mn-ea"/>
            </a:rPr>
            <a:t>※</a:t>
          </a:r>
        </a:p>
      </xdr:txBody>
    </xdr:sp>
    <xdr:clientData/>
  </xdr:twoCellAnchor>
  <xdr:twoCellAnchor>
    <xdr:from>
      <xdr:col>116</xdr:col>
      <xdr:colOff>213631</xdr:colOff>
      <xdr:row>120</xdr:row>
      <xdr:rowOff>66676</xdr:rowOff>
    </xdr:from>
    <xdr:to>
      <xdr:col>178</xdr:col>
      <xdr:colOff>76199</xdr:colOff>
      <xdr:row>148</xdr:row>
      <xdr:rowOff>28575</xdr:rowOff>
    </xdr:to>
    <xdr:sp macro="" textlink="">
      <xdr:nvSpPr>
        <xdr:cNvPr id="59" name="正方形/長方形 58">
          <a:extLst>
            <a:ext uri="{FF2B5EF4-FFF2-40B4-BE49-F238E27FC236}">
              <a16:creationId xmlns:a16="http://schemas.microsoft.com/office/drawing/2014/main" id="{00000000-0008-0000-0400-00003B000000}"/>
            </a:ext>
          </a:extLst>
        </xdr:cNvPr>
        <xdr:cNvSpPr/>
      </xdr:nvSpPr>
      <xdr:spPr>
        <a:xfrm>
          <a:off x="11376931" y="11077576"/>
          <a:ext cx="6291943" cy="2362199"/>
        </a:xfrm>
        <a:prstGeom prst="rect">
          <a:avLst/>
        </a:prstGeom>
        <a:solidFill>
          <a:schemeClr val="accent4">
            <a:lumMod val="20000"/>
            <a:lumOff val="80000"/>
          </a:schemeClr>
        </a:solidFill>
        <a:ln w="444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i-FILTER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for D-SPA Ver.4</a:t>
          </a:r>
          <a:r>
            <a:rPr lang="ja-JP" altLang="en-US" sz="900">
              <a:solidFill>
                <a:sysClr val="windowText" lastClr="000000"/>
              </a:solidFill>
              <a:effectLst/>
              <a:latin typeface="+mn-lt"/>
              <a:ea typeface="+mn-ea"/>
              <a:cs typeface="+mn-cs"/>
            </a:rPr>
            <a:t> （以下、</a:t>
          </a:r>
          <a:r>
            <a:rPr lang="en-US" altLang="ja-JP" sz="900">
              <a:solidFill>
                <a:sysClr val="windowText" lastClr="000000"/>
              </a:solidFill>
              <a:effectLst/>
              <a:latin typeface="+mn-lt"/>
              <a:ea typeface="+mn-ea"/>
              <a:cs typeface="+mn-cs"/>
            </a:rPr>
            <a:t>i-FILTER for D-SPA </a:t>
          </a:r>
          <a:r>
            <a:rPr lang="ja-JP" altLang="en-US" sz="900">
              <a:solidFill>
                <a:sysClr val="windowText" lastClr="000000"/>
              </a:solidFill>
              <a:effectLst/>
              <a:latin typeface="+mn-lt"/>
              <a:ea typeface="+mn-ea"/>
              <a:cs typeface="+mn-cs"/>
            </a:rPr>
            <a:t>）をご利用される場合は、</a:t>
          </a:r>
          <a:endParaRPr lang="en-US" altLang="ja-JP" sz="900">
            <a:solidFill>
              <a:sysClr val="windowText" lastClr="000000"/>
            </a:solidFill>
            <a:effectLst/>
            <a:latin typeface="+mn-lt"/>
            <a:ea typeface="+mn-ea"/>
            <a:cs typeface="+mn-cs"/>
          </a:endParaRPr>
        </a:p>
        <a:p>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アラートの通知先登録についてご確認ください。</a:t>
          </a:r>
          <a:endParaRPr lang="en-US" altLang="ja-JP" sz="9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9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(1)</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アラート対象製品の</a:t>
          </a:r>
          <a:r>
            <a:rPr kumimoji="0" lang="ja-JP" altLang="en-US" sz="900" b="1" i="0" u="none" strike="noStrike" kern="0" cap="none" spc="0" normalizeH="0" baseline="0" noProof="0">
              <a:ln>
                <a:noFill/>
              </a:ln>
              <a:solidFill>
                <a:srgbClr val="FF0000"/>
              </a:solidFill>
              <a:effectLst/>
              <a:uLnTx/>
              <a:uFillTx/>
              <a:latin typeface="+mn-lt"/>
              <a:ea typeface="+mn-ea"/>
              <a:cs typeface="+mn-cs"/>
            </a:rPr>
            <a:t>新規</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のお申し込みの場合は、注意書きをお読みいただき「了承済」をご選択ください。</a:t>
          </a:r>
          <a:endParaRPr kumimoji="0" lang="en-US" altLang="ja-JP" sz="9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必要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な場合は、シリアルの納品後に、</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アラート通知先申請サイトより通知先のメールアドレスをご申請ください。</a:t>
          </a:r>
          <a:endParaRPr kumimoji="0" lang="en-US" altLang="ja-JP" sz="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不要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な場合は、シリアルの納品後に、</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アラート通知先申請サイトより通知不要の旨をご申請ください。</a:t>
          </a:r>
          <a:endParaRPr kumimoji="0"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(2)</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900" b="1"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アラート対象製品の</a:t>
          </a:r>
          <a:r>
            <a:rPr kumimoji="0" lang="ja-JP" altLang="en-US" sz="900" b="1" i="0" u="none" strike="noStrike" kern="0" cap="none" spc="0" normalizeH="0" baseline="0" noProof="0">
              <a:ln>
                <a:noFill/>
              </a:ln>
              <a:solidFill>
                <a:srgbClr val="FF0000"/>
              </a:solidFill>
              <a:effectLst/>
              <a:uLnTx/>
              <a:uFillTx/>
              <a:latin typeface="+mn-lt"/>
              <a:ea typeface="+mn-ea"/>
              <a:cs typeface="+mn-cs"/>
            </a:rPr>
            <a:t>更新</a:t>
          </a:r>
          <a:r>
            <a:rPr kumimoji="0" lang="en-US" altLang="ja-JP" sz="900" b="1" i="0" u="none" strike="noStrike" kern="0" cap="none" spc="0" normalizeH="0" baseline="0" noProof="0">
              <a:ln>
                <a:noFill/>
              </a:ln>
              <a:solidFill>
                <a:srgbClr val="FF0000"/>
              </a:solidFill>
              <a:effectLst/>
              <a:uLnTx/>
              <a:uFillTx/>
              <a:latin typeface="+mn-lt"/>
              <a:ea typeface="+mn-ea"/>
              <a:cs typeface="+mn-cs"/>
            </a:rPr>
            <a:t>/</a:t>
          </a:r>
          <a:r>
            <a:rPr kumimoji="0" lang="ja-JP" altLang="en-US" sz="900" b="1" i="0" u="none" strike="noStrike" kern="0" cap="none" spc="0" normalizeH="0" baseline="0" noProof="0">
              <a:ln>
                <a:noFill/>
              </a:ln>
              <a:solidFill>
                <a:srgbClr val="FF0000"/>
              </a:solidFill>
              <a:effectLst/>
              <a:uLnTx/>
              <a:uFillTx/>
              <a:latin typeface="+mn-lt"/>
              <a:ea typeface="+mn-ea"/>
              <a:cs typeface="+mn-cs"/>
            </a:rPr>
            <a:t>追加</a:t>
          </a:r>
          <a:r>
            <a:rPr kumimoji="0" lang="ja-JP" altLang="en-US" sz="900" b="1" i="0" u="none" strike="noStrike" kern="0" cap="none" spc="0" normalizeH="0" baseline="0" noProof="0">
              <a:ln>
                <a:noFill/>
              </a:ln>
              <a:solidFill>
                <a:sysClr val="windowText" lastClr="000000"/>
              </a:solidFill>
              <a:effectLst/>
              <a:uLnTx/>
              <a:uFillTx/>
              <a:latin typeface="+mn-lt"/>
              <a:ea typeface="+mn-ea"/>
              <a:cs typeface="+mn-cs"/>
            </a:rPr>
            <a:t>のお申し込みの場合、</a:t>
          </a:r>
          <a:endParaRPr kumimoji="0" lang="en-US" altLang="ja-JP" sz="9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3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必要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アラート通知先申請サイトより通知先のメールアドレスをご申請のうえ、「申請済」をご選択ください。</a:t>
          </a:r>
          <a:endParaRPr kumimoji="0"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不要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アラート通知先申請サイトより通知不要の旨をご申請のうえ、「申請済」をご選択ください。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5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通知先または通知不要の旨は、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アラート対象製品のシリアルごとに申請をお願いいたします。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※(2)</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の場合で、過去に通知先メールアドレスまたは通知不要の旨を申請済みの場合は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「申請済」をご選択いただき、改めて申請サイトよりご申請いただく必要はございません。</a:t>
          </a:r>
        </a:p>
      </xdr:txBody>
    </xdr:sp>
    <xdr:clientData/>
  </xdr:twoCellAnchor>
  <xdr:twoCellAnchor>
    <xdr:from>
      <xdr:col>116</xdr:col>
      <xdr:colOff>71437</xdr:colOff>
      <xdr:row>118</xdr:row>
      <xdr:rowOff>76200</xdr:rowOff>
    </xdr:from>
    <xdr:to>
      <xdr:col>116</xdr:col>
      <xdr:colOff>323437</xdr:colOff>
      <xdr:row>121</xdr:row>
      <xdr:rowOff>71025</xdr:rowOff>
    </xdr:to>
    <xdr:sp macro="" textlink="">
      <xdr:nvSpPr>
        <xdr:cNvPr id="60" name="フローチャート : 結合子 26">
          <a:extLst>
            <a:ext uri="{FF2B5EF4-FFF2-40B4-BE49-F238E27FC236}">
              <a16:creationId xmlns:a16="http://schemas.microsoft.com/office/drawing/2014/main" id="{00000000-0008-0000-0400-00003C000000}"/>
            </a:ext>
          </a:extLst>
        </xdr:cNvPr>
        <xdr:cNvSpPr/>
      </xdr:nvSpPr>
      <xdr:spPr>
        <a:xfrm>
          <a:off x="11234737" y="10915650"/>
          <a:ext cx="252000" cy="252000"/>
        </a:xfrm>
        <a:prstGeom prst="flowChartConnector">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xdr:row>
      <xdr:rowOff>0</xdr:rowOff>
    </xdr:from>
    <xdr:to>
      <xdr:col>88</xdr:col>
      <xdr:colOff>50562</xdr:colOff>
      <xdr:row>8</xdr:row>
      <xdr:rowOff>19707</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bwMode="auto">
        <a:xfrm>
          <a:off x="200025" y="571500"/>
          <a:ext cx="8346837" cy="210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a:latin typeface="ＭＳ Ｐ明朝" pitchFamily="18" charset="-128"/>
              <a:ea typeface="ＭＳ Ｐ明朝" pitchFamily="18" charset="-128"/>
            </a:rPr>
            <a:t>弊社製品のご購入に際しては、弊社にてお客様のライセンス発行および登録作業をさせていただきます。本申請書の個人情報に関する項目にご同意の上、本申請書</a:t>
          </a:r>
          <a:r>
            <a:rPr kumimoji="1" lang="en-US" altLang="ja-JP" sz="500">
              <a:latin typeface="ＭＳ Ｐ明朝" pitchFamily="18" charset="-128"/>
              <a:ea typeface="ＭＳ Ｐ明朝" pitchFamily="18" charset="-128"/>
            </a:rPr>
            <a:t>(A</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B</a:t>
          </a:r>
          <a:r>
            <a:rPr kumimoji="1" lang="ja-JP" altLang="en-US" sz="500">
              <a:latin typeface="ＭＳ Ｐ明朝" pitchFamily="18" charset="-128"/>
              <a:ea typeface="ＭＳ Ｐ明朝" pitchFamily="18" charset="-128"/>
            </a:rPr>
            <a:t>表</a:t>
          </a:r>
          <a:r>
            <a:rPr kumimoji="1" lang="en-US" altLang="ja-JP" sz="500">
              <a:latin typeface="ＭＳ Ｐ明朝" pitchFamily="18" charset="-128"/>
              <a:ea typeface="ＭＳ Ｐ明朝" pitchFamily="18" charset="-128"/>
            </a:rPr>
            <a:t>)</a:t>
          </a:r>
          <a:r>
            <a:rPr kumimoji="1" lang="ja-JP" altLang="en-US" sz="500">
              <a:latin typeface="ＭＳ Ｐ明朝" pitchFamily="18" charset="-128"/>
              <a:ea typeface="ＭＳ Ｐ明朝" pitchFamily="18" charset="-128"/>
            </a:rPr>
            <a:t>に必要事項をご記入のうえ、上記送信先まで</a:t>
          </a:r>
          <a:r>
            <a:rPr kumimoji="1" lang="en-US" altLang="ja-JP" sz="500">
              <a:latin typeface="ＭＳ Ｐ明朝" pitchFamily="18" charset="-128"/>
              <a:ea typeface="ＭＳ Ｐ明朝" pitchFamily="18" charset="-128"/>
            </a:rPr>
            <a:t>E-mail</a:t>
          </a:r>
          <a:r>
            <a:rPr kumimoji="1" lang="ja-JP" altLang="en-US" sz="500">
              <a:latin typeface="ＭＳ Ｐ明朝" pitchFamily="18" charset="-128"/>
              <a:ea typeface="ＭＳ Ｐ明朝" pitchFamily="18" charset="-128"/>
            </a:rPr>
            <a:t>にてお送りいただきますようお願い申し上げます。</a:t>
          </a:r>
          <a:endParaRPr kumimoji="1" lang="en-US" altLang="ja-JP" sz="800">
            <a:latin typeface="ＭＳ Ｐ明朝" pitchFamily="18" charset="-128"/>
            <a:ea typeface="ＭＳ Ｐ明朝" pitchFamily="18" charset="-128"/>
          </a:endParaRPr>
        </a:p>
        <a:p>
          <a:r>
            <a:rPr kumimoji="1" lang="ja-JP" altLang="en-US" sz="500">
              <a:latin typeface="ＭＳ Ｐ明朝" pitchFamily="18" charset="-128"/>
              <a:ea typeface="ＭＳ Ｐ明朝" pitchFamily="18" charset="-128"/>
            </a:rPr>
            <a:t>なお、当申請書の太枠欄以外のご記入は、お客様の任意でご提供いただくものです。ただし、ご記入いただけない場合は正常なサービスを一部提供できない可能性があります。</a:t>
          </a:r>
          <a:endParaRPr kumimoji="1" lang="en-US" altLang="ja-JP" sz="500">
            <a:latin typeface="ＭＳ Ｐ明朝" pitchFamily="18" charset="-128"/>
            <a:ea typeface="ＭＳ Ｐ明朝" pitchFamily="18" charset="-128"/>
          </a:endParaRPr>
        </a:p>
      </xdr:txBody>
    </xdr:sp>
    <xdr:clientData/>
  </xdr:twoCellAnchor>
  <xdr:twoCellAnchor>
    <xdr:from>
      <xdr:col>1</xdr:col>
      <xdr:colOff>0</xdr:colOff>
      <xdr:row>8</xdr:row>
      <xdr:rowOff>0</xdr:rowOff>
    </xdr:from>
    <xdr:to>
      <xdr:col>108</xdr:col>
      <xdr:colOff>0</xdr:colOff>
      <xdr:row>18</xdr:row>
      <xdr:rowOff>76200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bwMode="auto">
        <a:xfrm>
          <a:off x="200025" y="762000"/>
          <a:ext cx="10201275"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en-US" altLang="ja-JP" sz="400">
              <a:latin typeface="ＭＳ Ｐ明朝" pitchFamily="18" charset="-128"/>
              <a:ea typeface="ＭＳ Ｐ明朝" pitchFamily="18" charset="-128"/>
            </a:rPr>
            <a:t>1.</a:t>
          </a:r>
          <a:r>
            <a:rPr kumimoji="1" lang="ja-JP" altLang="en-US" sz="400">
              <a:latin typeface="ＭＳ Ｐ明朝" pitchFamily="18" charset="-128"/>
              <a:ea typeface="ＭＳ Ｐ明朝" pitchFamily="18" charset="-128"/>
            </a:rPr>
            <a:t>個人情報の取得・保有・利用</a:t>
          </a:r>
        </a:p>
        <a:p>
          <a:r>
            <a:rPr kumimoji="1" lang="ja-JP" altLang="en-US" sz="400">
              <a:latin typeface="ＭＳ Ｐ明朝" pitchFamily="18" charset="-128"/>
              <a:ea typeface="ＭＳ Ｐ明朝" pitchFamily="18" charset="-128"/>
            </a:rPr>
            <a:t>  ご記入いただいた個人情報は、インターネットセキュリティー事業における以下の目的およびこれらの目的に必要な範囲で保有、利用いたします。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商品・サービスのご提供 　</a:t>
          </a:r>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商品・サービスのご提案、販売・サービス窓口のご紹介、商品・サービスの情報や宣伝物等のご提供 　</a:t>
          </a:r>
          <a:r>
            <a:rPr kumimoji="1" lang="en-US" altLang="ja-JP" sz="400">
              <a:latin typeface="ＭＳ Ｐ明朝" pitchFamily="18" charset="-128"/>
              <a:ea typeface="ＭＳ Ｐ明朝" pitchFamily="18" charset="-128"/>
            </a:rPr>
            <a:t>(3)</a:t>
          </a:r>
          <a:r>
            <a:rPr kumimoji="1" lang="ja-JP" altLang="en-US" sz="400">
              <a:latin typeface="ＭＳ Ｐ明朝" pitchFamily="18" charset="-128"/>
              <a:ea typeface="ＭＳ Ｐ明朝" pitchFamily="18" charset="-128"/>
            </a:rPr>
            <a:t>より良い商品・サービス開発のための調査・分析　</a:t>
          </a:r>
          <a:r>
            <a:rPr kumimoji="1" lang="en-US" altLang="ja-JP" sz="400">
              <a:latin typeface="ＭＳ Ｐ明朝" pitchFamily="18" charset="-128"/>
              <a:ea typeface="ＭＳ Ｐ明朝" pitchFamily="18" charset="-128"/>
            </a:rPr>
            <a:t>(4)</a:t>
          </a:r>
          <a:r>
            <a:rPr kumimoji="1" lang="ja-JP" altLang="en-US" sz="400">
              <a:latin typeface="ＭＳ Ｐ明朝" pitchFamily="18" charset="-128"/>
              <a:ea typeface="ＭＳ Ｐ明朝" pitchFamily="18" charset="-128"/>
            </a:rPr>
            <a:t>お客様との連絡、協力、交渉、契約の履行、履行請求等 　</a:t>
          </a:r>
          <a:r>
            <a:rPr kumimoji="1" lang="en-US" altLang="ja-JP" sz="400">
              <a:latin typeface="ＭＳ Ｐ明朝" pitchFamily="18" charset="-128"/>
              <a:ea typeface="ＭＳ Ｐ明朝" pitchFamily="18" charset="-128"/>
            </a:rPr>
            <a:t>(5)</a:t>
          </a:r>
          <a:r>
            <a:rPr kumimoji="1" lang="ja-JP" altLang="en-US" sz="400">
              <a:latin typeface="ＭＳ Ｐ明朝" pitchFamily="18" charset="-128"/>
              <a:ea typeface="ＭＳ Ｐ明朝" pitchFamily="18" charset="-128"/>
            </a:rPr>
            <a:t>お問い合わせ、ご依頼等への対応、ご請求いただいた資料等の送付</a:t>
          </a:r>
        </a:p>
        <a:p>
          <a:r>
            <a:rPr kumimoji="1" lang="en-US" altLang="ja-JP" sz="400">
              <a:latin typeface="ＭＳ Ｐ明朝" pitchFamily="18" charset="-128"/>
              <a:ea typeface="ＭＳ Ｐ明朝" pitchFamily="18" charset="-128"/>
            </a:rPr>
            <a:t>2.</a:t>
          </a:r>
          <a:r>
            <a:rPr kumimoji="1" lang="ja-JP" altLang="en-US" sz="400">
              <a:latin typeface="ＭＳ Ｐ明朝" pitchFamily="18" charset="-128"/>
              <a:ea typeface="ＭＳ Ｐ明朝" pitchFamily="18" charset="-128"/>
            </a:rPr>
            <a:t>個人情報の共同利用</a:t>
          </a:r>
        </a:p>
        <a:p>
          <a:r>
            <a:rPr kumimoji="1" lang="ja-JP" altLang="en-US" sz="400">
              <a:latin typeface="ＭＳ Ｐ明朝" pitchFamily="18" charset="-128"/>
              <a:ea typeface="ＭＳ Ｐ明朝" pitchFamily="18" charset="-128"/>
            </a:rPr>
            <a:t>  弊社は、販売代理店等との間で、当書面によりお客様から取得した個人情報を共同利用することがあります。この場合、個人情報に関する弊社の社内諸規定に準拠した秘密保持契約を締結し、弊社の個人情報保護管理者が適切な監督を行うものとします。</a:t>
          </a:r>
        </a:p>
        <a:p>
          <a:r>
            <a:rPr kumimoji="1" lang="en-US" altLang="ja-JP" sz="400">
              <a:latin typeface="ＭＳ Ｐ明朝" pitchFamily="18" charset="-128"/>
              <a:ea typeface="ＭＳ Ｐ明朝" pitchFamily="18" charset="-128"/>
            </a:rPr>
            <a:t>  (1)</a:t>
          </a:r>
          <a:r>
            <a:rPr kumimoji="1" lang="ja-JP" altLang="en-US" sz="400">
              <a:latin typeface="ＭＳ Ｐ明朝" pitchFamily="18" charset="-128"/>
              <a:ea typeface="ＭＳ Ｐ明朝" pitchFamily="18" charset="-128"/>
            </a:rPr>
            <a:t>　共同利用する個人情報　：　お客様の氏名、住所、電話番号、</a:t>
          </a:r>
          <a:r>
            <a:rPr kumimoji="1" lang="en-US" altLang="ja-JP" sz="400">
              <a:latin typeface="ＭＳ Ｐ明朝" pitchFamily="18" charset="-128"/>
              <a:ea typeface="ＭＳ Ｐ明朝" pitchFamily="18" charset="-128"/>
            </a:rPr>
            <a:t>FAX</a:t>
          </a:r>
          <a:r>
            <a:rPr kumimoji="1" lang="ja-JP" altLang="en-US" sz="400">
              <a:latin typeface="ＭＳ Ｐ明朝" pitchFamily="18" charset="-128"/>
              <a:ea typeface="ＭＳ Ｐ明朝" pitchFamily="18" charset="-128"/>
            </a:rPr>
            <a:t>番号、メールアドレス、ご購入商品・サービス、契約履歴等</a:t>
          </a:r>
        </a:p>
        <a:p>
          <a:r>
            <a:rPr kumimoji="1" lang="en-US" altLang="ja-JP" sz="400">
              <a:latin typeface="ＭＳ Ｐ明朝" pitchFamily="18" charset="-128"/>
              <a:ea typeface="ＭＳ Ｐ明朝" pitchFamily="18" charset="-128"/>
            </a:rPr>
            <a:t>  (2)</a:t>
          </a:r>
          <a:r>
            <a:rPr kumimoji="1" lang="ja-JP" altLang="en-US" sz="400">
              <a:latin typeface="ＭＳ Ｐ明朝" pitchFamily="18" charset="-128"/>
              <a:ea typeface="ＭＳ Ｐ明朝" pitchFamily="18" charset="-128"/>
            </a:rPr>
            <a:t>　共同利用の目的　：　①商品・サービスのご提供 ②商品・サービスのご提案、販売・サービス窓口のご紹介、商品・サービスの情報や宣伝物等のご提供 ③より良い商品・サービス開発のための調査・分析　④お客様との連絡、協力、交渉、契約の履行、履行請求等</a:t>
          </a:r>
          <a:r>
            <a:rPr kumimoji="1" lang="ja-JP" altLang="en-US" sz="400" baseline="0">
              <a:latin typeface="ＭＳ Ｐ明朝" pitchFamily="18" charset="-128"/>
              <a:ea typeface="ＭＳ Ｐ明朝" pitchFamily="18" charset="-128"/>
            </a:rPr>
            <a:t> </a:t>
          </a:r>
          <a:r>
            <a:rPr kumimoji="1" lang="ja-JP" altLang="en-US" sz="400">
              <a:latin typeface="ＭＳ Ｐ明朝" pitchFamily="18" charset="-128"/>
              <a:ea typeface="ＭＳ Ｐ明朝" pitchFamily="18" charset="-128"/>
            </a:rPr>
            <a:t>⑤お問い合わせ、ご依頼等への対応、ご請求いただいた資料等の送付</a:t>
          </a:r>
          <a:endParaRPr kumimoji="1" lang="en-US" altLang="ja-JP" sz="400">
            <a:latin typeface="ＭＳ Ｐ明朝" pitchFamily="18" charset="-128"/>
            <a:ea typeface="ＭＳ Ｐ明朝"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個人情報の第三者提供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弊社は、当書面によりお客様から取得した個人情報を、下記の通り第三者に提供することがあります。この場合、個人情報に関する弊社の社内諸規定に準拠した秘密保持契約を締結し、弊社の個人情報保護管理者が適切な監督を行うものとします。なお、弊社は、お客様ご本人からの請求があった場合、直ちに第三者提供を停止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(1)</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提供する個人情報　：　お客様の氏名、住所、電話番号、</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FAX</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番号、メールアドレス、ご購入商品・サービス、契約履歴等</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(2)</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利用目的　：　①より迅速な商品・サービスの提供　②お問い合わせ、ご依頼等への対応、ご請求いただいた資料等の送付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a:t>
          </a: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(3)</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提供手段　：　書類の送付又は電子的若しくは電磁的な方法</a:t>
          </a:r>
          <a:endPar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4</a:t>
          </a: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．保有個人情報の開示、訂正請求等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prstClr val="black"/>
              </a:solidFill>
              <a:effectLst/>
              <a:uLnTx/>
              <a:uFillTx/>
              <a:latin typeface="ＭＳ Ｐ明朝" pitchFamily="18" charset="-128"/>
              <a:ea typeface="ＭＳ Ｐ明朝" pitchFamily="18" charset="-128"/>
              <a:cs typeface="+mn-cs"/>
            </a:rPr>
            <a:t>  個人情報利用目的の通知、個人情報の開示、内容の訂正、追加または削除、消去・第三者への提供の停止、その他個人情報に関するお問い合わせ･ご要望については、右記のお問い合わせ窓口までご一報ください。</a:t>
          </a:r>
        </a:p>
        <a:p>
          <a:endParaRPr kumimoji="1" lang="ja-JP" altLang="en-US" sz="400">
            <a:latin typeface="ＭＳ Ｐ明朝" pitchFamily="18" charset="-128"/>
            <a:ea typeface="ＭＳ Ｐ明朝" pitchFamily="18" charset="-128"/>
          </a:endParaRPr>
        </a:p>
        <a:p>
          <a:endParaRPr kumimoji="1" lang="en-US" altLang="ja-JP" sz="400">
            <a:latin typeface="ＭＳ Ｐ明朝" pitchFamily="18" charset="-128"/>
            <a:ea typeface="ＭＳ Ｐ明朝" pitchFamily="18" charset="-128"/>
          </a:endParaRPr>
        </a:p>
      </xdr:txBody>
    </xdr:sp>
    <xdr:clientData/>
  </xdr:twoCellAnchor>
  <xdr:twoCellAnchor>
    <xdr:from>
      <xdr:col>78</xdr:col>
      <xdr:colOff>0</xdr:colOff>
      <xdr:row>14</xdr:row>
      <xdr:rowOff>0</xdr:rowOff>
    </xdr:from>
    <xdr:to>
      <xdr:col>110</xdr:col>
      <xdr:colOff>20081</xdr:colOff>
      <xdr:row>18</xdr:row>
      <xdr:rowOff>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bwMode="auto">
        <a:xfrm>
          <a:off x="7543800" y="1333500"/>
          <a:ext cx="306808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r>
            <a:rPr kumimoji="1" lang="ja-JP" altLang="en-US" sz="500" baseline="0">
              <a:latin typeface="ＭＳ Ｐ明朝" pitchFamily="18" charset="-128"/>
              <a:ea typeface="ＭＳ Ｐ明朝" pitchFamily="18" charset="-128"/>
            </a:rPr>
            <a:t>個人情報お問い合わせ窓口：  </a:t>
          </a:r>
        </a:p>
        <a:p>
          <a:r>
            <a:rPr kumimoji="1" lang="ja-JP" altLang="en-US" sz="500" baseline="0">
              <a:latin typeface="ＭＳ Ｐ明朝" pitchFamily="18" charset="-128"/>
              <a:ea typeface="ＭＳ Ｐ明朝" pitchFamily="18" charset="-128"/>
            </a:rPr>
            <a:t>デジタルアーツ株式会社</a:t>
          </a:r>
        </a:p>
        <a:p>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100-0004</a:t>
          </a:r>
          <a:r>
            <a:rPr kumimoji="1" lang="ja-JP" altLang="en-US" sz="500" baseline="0">
              <a:latin typeface="ＭＳ Ｐ明朝" pitchFamily="18" charset="-128"/>
              <a:ea typeface="ＭＳ Ｐ明朝" pitchFamily="18" charset="-128"/>
            </a:rPr>
            <a:t>　　東京都千代田区大手町</a:t>
          </a:r>
          <a:r>
            <a:rPr kumimoji="1" lang="en-US" altLang="ja-JP" sz="500" baseline="0">
              <a:latin typeface="ＭＳ Ｐ明朝" pitchFamily="18" charset="-128"/>
              <a:ea typeface="ＭＳ Ｐ明朝" pitchFamily="18" charset="-128"/>
            </a:rPr>
            <a:t>1-5-1</a:t>
          </a:r>
          <a:r>
            <a:rPr kumimoji="1" lang="ja-JP" altLang="en-US" sz="500" baseline="0">
              <a:latin typeface="ＭＳ Ｐ明朝" pitchFamily="18" charset="-128"/>
              <a:ea typeface="ＭＳ Ｐ明朝" pitchFamily="18" charset="-128"/>
            </a:rPr>
            <a:t>　大手町ファーストスクエア ウエストタワー</a:t>
          </a:r>
          <a:r>
            <a:rPr kumimoji="1" lang="en-US" altLang="ja-JP" sz="500" baseline="0">
              <a:latin typeface="ＭＳ Ｐ明朝" pitchFamily="18" charset="-128"/>
              <a:ea typeface="ＭＳ Ｐ明朝" pitchFamily="18" charset="-128"/>
            </a:rPr>
            <a:t>14</a:t>
          </a:r>
          <a:r>
            <a:rPr kumimoji="1" lang="ja-JP" altLang="en-US" sz="500" baseline="0">
              <a:latin typeface="ＭＳ Ｐ明朝" pitchFamily="18" charset="-128"/>
              <a:ea typeface="ＭＳ Ｐ明朝" pitchFamily="18" charset="-128"/>
            </a:rPr>
            <a:t>階</a:t>
          </a:r>
        </a:p>
        <a:p>
          <a:r>
            <a:rPr kumimoji="1" lang="en-US" altLang="ja-JP" sz="500" baseline="0">
              <a:latin typeface="ＭＳ Ｐ明朝" pitchFamily="18" charset="-128"/>
              <a:ea typeface="ＭＳ Ｐ明朝" pitchFamily="18" charset="-128"/>
            </a:rPr>
            <a:t>TEL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03-5220-1160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FAX</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03-5220-1060</a:t>
          </a:r>
          <a:r>
            <a:rPr kumimoji="1" lang="ja-JP" altLang="en-US" sz="500" baseline="0">
              <a:latin typeface="ＭＳ Ｐ明朝" pitchFamily="18" charset="-128"/>
              <a:ea typeface="ＭＳ Ｐ明朝" pitchFamily="18" charset="-128"/>
            </a:rPr>
            <a:t>／</a:t>
          </a:r>
          <a:r>
            <a:rPr kumimoji="1" lang="en-US" altLang="ja-JP" sz="500" baseline="0">
              <a:latin typeface="ＭＳ Ｐ明朝" pitchFamily="18" charset="-128"/>
              <a:ea typeface="ＭＳ Ｐ明朝" pitchFamily="18" charset="-128"/>
            </a:rPr>
            <a:t>E-Mail</a:t>
          </a:r>
          <a:r>
            <a:rPr kumimoji="1" lang="ja-JP" altLang="en-US" sz="500" baseline="0">
              <a:latin typeface="ＭＳ Ｐ明朝" pitchFamily="18" charset="-128"/>
              <a:ea typeface="ＭＳ Ｐ明朝" pitchFamily="18" charset="-128"/>
            </a:rPr>
            <a:t>　</a:t>
          </a:r>
          <a:r>
            <a:rPr kumimoji="1" lang="en-US" altLang="ja-JP" sz="500" baseline="0">
              <a:latin typeface="ＭＳ Ｐ明朝" pitchFamily="18" charset="-128"/>
              <a:ea typeface="ＭＳ Ｐ明朝" pitchFamily="18" charset="-128"/>
            </a:rPr>
            <a:t>privacy@daj.co.jp</a:t>
          </a:r>
        </a:p>
      </xdr:txBody>
    </xdr:sp>
    <xdr:clientData/>
  </xdr:twoCellAnchor>
  <xdr:twoCellAnchor>
    <xdr:from>
      <xdr:col>116</xdr:col>
      <xdr:colOff>204108</xdr:colOff>
      <xdr:row>47</xdr:row>
      <xdr:rowOff>9525</xdr:rowOff>
    </xdr:from>
    <xdr:to>
      <xdr:col>151</xdr:col>
      <xdr:colOff>51558</xdr:colOff>
      <xdr:row>60</xdr:row>
      <xdr:rowOff>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1367408" y="4486275"/>
          <a:ext cx="4248000" cy="122872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・一次店様から弊社へのご</a:t>
          </a:r>
          <a:r>
            <a:rPr lang="ja-JP" altLang="ja-JP" sz="900">
              <a:solidFill>
                <a:sysClr val="windowText" lastClr="000000"/>
              </a:solidFill>
              <a:effectLst/>
              <a:latin typeface="+mn-lt"/>
              <a:ea typeface="+mn-ea"/>
              <a:cs typeface="+mn-cs"/>
            </a:rPr>
            <a:t>発注番号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・ご発注対象製品に対応するデジタルアーツの見積番号</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を</a:t>
          </a:r>
          <a:r>
            <a:rPr lang="ja-JP" altLang="ja-JP" sz="900">
              <a:solidFill>
                <a:sysClr val="windowText" lastClr="000000"/>
              </a:solidFill>
              <a:effectLst/>
              <a:latin typeface="+mn-lt"/>
              <a:ea typeface="+mn-ea"/>
              <a:cs typeface="+mn-cs"/>
            </a:rPr>
            <a:t>ご</a:t>
          </a:r>
          <a:r>
            <a:rPr lang="ja-JP" altLang="en-US" sz="900">
              <a:solidFill>
                <a:sysClr val="windowText" lastClr="000000"/>
              </a:solidFill>
              <a:effectLst/>
              <a:latin typeface="+mn-lt"/>
              <a:ea typeface="+mn-ea"/>
              <a:cs typeface="+mn-cs"/>
            </a:rPr>
            <a:t>入力</a:t>
          </a:r>
          <a:r>
            <a:rPr lang="ja-JP" altLang="ja-JP" sz="900">
              <a:solidFill>
                <a:sysClr val="windowText" lastClr="000000"/>
              </a:solidFill>
              <a:effectLst/>
              <a:latin typeface="+mn-lt"/>
              <a:ea typeface="+mn-ea"/>
              <a:cs typeface="+mn-cs"/>
            </a:rPr>
            <a:t>ください。</a:t>
          </a:r>
          <a:r>
            <a:rPr lang="ja-JP" altLang="en-US" sz="900" b="1">
              <a:solidFill>
                <a:sysClr val="windowText" lastClr="000000"/>
              </a:solidFill>
              <a:effectLst/>
              <a:latin typeface="+mn-lt"/>
              <a:ea typeface="+mn-ea"/>
              <a:cs typeface="+mn-cs"/>
            </a:rPr>
            <a:t>お見積番号は</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つのセルに</a:t>
          </a:r>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件のみご入力ください。</a:t>
          </a:r>
          <a:endParaRPr lang="en-US" altLang="ja-JP" sz="900" b="1">
            <a:solidFill>
              <a:sysClr val="windowText" lastClr="000000"/>
            </a:solidFill>
            <a:effectLst/>
            <a:latin typeface="+mn-lt"/>
            <a:ea typeface="+mn-ea"/>
            <a:cs typeface="+mn-cs"/>
          </a:endParaRPr>
        </a:p>
        <a:p>
          <a:endParaRPr lang="en-US" altLang="ja-JP" sz="900" b="1">
            <a:solidFill>
              <a:sysClr val="windowText" lastClr="000000"/>
            </a:solidFill>
            <a:effectLst/>
            <a:latin typeface="+mn-lt"/>
            <a:ea typeface="+mn-ea"/>
            <a:cs typeface="+mn-cs"/>
          </a:endParaRPr>
        </a:p>
        <a:p>
          <a:r>
            <a:rPr lang="ja-JP" altLang="en-US" sz="900" b="1">
              <a:solidFill>
                <a:srgbClr val="FF0000"/>
              </a:solidFill>
              <a:effectLst/>
            </a:rPr>
            <a:t>続いて</a:t>
          </a:r>
          <a:r>
            <a:rPr lang="en-US" altLang="ja-JP" sz="900" b="1">
              <a:solidFill>
                <a:srgbClr val="FF0000"/>
              </a:solidFill>
              <a:effectLst/>
            </a:rPr>
            <a:t>B</a:t>
          </a:r>
          <a:r>
            <a:rPr lang="ja-JP" altLang="en-US" sz="900" b="1">
              <a:solidFill>
                <a:srgbClr val="FF0000"/>
              </a:solidFill>
              <a:effectLst/>
            </a:rPr>
            <a:t>表の入力に進みます。</a:t>
          </a:r>
        </a:p>
        <a:p>
          <a:r>
            <a:rPr lang="en-US" altLang="ja-JP" sz="900" b="1">
              <a:solidFill>
                <a:srgbClr val="FF0000"/>
              </a:solidFill>
              <a:effectLst/>
            </a:rPr>
            <a:t>※</a:t>
          </a:r>
          <a:r>
            <a:rPr lang="ja-JP" altLang="en-US" sz="900" b="1">
              <a:solidFill>
                <a:srgbClr val="FF0000"/>
              </a:solidFill>
              <a:effectLst/>
            </a:rPr>
            <a:t>以下はご購入製品により、入力箇所が異なります。</a:t>
          </a:r>
          <a:endParaRPr lang="ja-JP" altLang="ja-JP" sz="900" b="1">
            <a:solidFill>
              <a:srgbClr val="FF0000"/>
            </a:solidFill>
            <a:effectLst/>
          </a:endParaRPr>
        </a:p>
      </xdr:txBody>
    </xdr:sp>
    <xdr:clientData/>
  </xdr:twoCellAnchor>
  <xdr:twoCellAnchor>
    <xdr:from>
      <xdr:col>116</xdr:col>
      <xdr:colOff>92365</xdr:colOff>
      <xdr:row>45</xdr:row>
      <xdr:rowOff>38100</xdr:rowOff>
    </xdr:from>
    <xdr:to>
      <xdr:col>116</xdr:col>
      <xdr:colOff>344365</xdr:colOff>
      <xdr:row>48</xdr:row>
      <xdr:rowOff>4350</xdr:rowOff>
    </xdr:to>
    <xdr:sp macro="" textlink="">
      <xdr:nvSpPr>
        <xdr:cNvPr id="9" name="フローチャート : 結合子 26">
          <a:extLst>
            <a:ext uri="{FF2B5EF4-FFF2-40B4-BE49-F238E27FC236}">
              <a16:creationId xmlns:a16="http://schemas.microsoft.com/office/drawing/2014/main" id="{00000000-0008-0000-0700-000009000000}"/>
            </a:ext>
          </a:extLst>
        </xdr:cNvPr>
        <xdr:cNvSpPr/>
      </xdr:nvSpPr>
      <xdr:spPr>
        <a:xfrm>
          <a:off x="11255665" y="43243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204108</xdr:colOff>
      <xdr:row>62</xdr:row>
      <xdr:rowOff>91169</xdr:rowOff>
    </xdr:from>
    <xdr:to>
      <xdr:col>158</xdr:col>
      <xdr:colOff>0</xdr:colOff>
      <xdr:row>66</xdr:row>
      <xdr:rowOff>66675</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11367408" y="5996669"/>
          <a:ext cx="4863192" cy="35650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ltLang="ja-JP" sz="900">
              <a:solidFill>
                <a:sysClr val="windowText" lastClr="000000"/>
              </a:solidFill>
              <a:effectLst/>
              <a:latin typeface="+mn-lt"/>
              <a:ea typeface="+mn-ea"/>
              <a:cs typeface="+mn-cs"/>
            </a:rPr>
            <a:t>B</a:t>
          </a:r>
          <a:r>
            <a:rPr lang="ja-JP" altLang="en-US" sz="900">
              <a:solidFill>
                <a:sysClr val="windowText" lastClr="000000"/>
              </a:solidFill>
              <a:effectLst/>
              <a:latin typeface="+mn-lt"/>
              <a:ea typeface="+mn-ea"/>
              <a:cs typeface="+mn-cs"/>
            </a:rPr>
            <a:t>表内、発注される製品の「製品区分」と「種別」（</a:t>
          </a:r>
          <a:r>
            <a:rPr lang="en-US" altLang="ja-JP" sz="900">
              <a:solidFill>
                <a:sysClr val="windowText" lastClr="000000"/>
              </a:solidFill>
              <a:effectLst/>
              <a:latin typeface="+mn-lt"/>
              <a:ea typeface="+mn-ea"/>
              <a:cs typeface="+mn-cs"/>
            </a:rPr>
            <a:t>i-FILTER</a:t>
          </a:r>
          <a:r>
            <a:rPr lang="ja-JP" altLang="en-US" sz="900">
              <a:solidFill>
                <a:sysClr val="windowText" lastClr="000000"/>
              </a:solidFill>
              <a:effectLst/>
              <a:latin typeface="+mn-lt"/>
              <a:ea typeface="+mn-ea"/>
              <a:cs typeface="+mn-cs"/>
            </a:rPr>
            <a:t>、</a:t>
          </a:r>
          <a:r>
            <a:rPr lang="en-US" altLang="ja-JP" sz="900">
              <a:solidFill>
                <a:sysClr val="windowText" lastClr="000000"/>
              </a:solidFill>
              <a:effectLst/>
              <a:latin typeface="+mn-lt"/>
              <a:ea typeface="+mn-ea"/>
              <a:cs typeface="+mn-cs"/>
            </a:rPr>
            <a:t>m-FILTER</a:t>
          </a:r>
          <a:r>
            <a:rPr lang="ja-JP" altLang="en-US" sz="900">
              <a:solidFill>
                <a:sysClr val="windowText" lastClr="000000"/>
              </a:solidFill>
              <a:effectLst/>
              <a:latin typeface="+mn-lt"/>
              <a:ea typeface="+mn-ea"/>
              <a:cs typeface="+mn-cs"/>
            </a:rPr>
            <a:t>のみ）をご選択ください。</a:t>
          </a:r>
          <a:endParaRPr lang="ja-JP" altLang="ja-JP" sz="900">
            <a:solidFill>
              <a:sysClr val="windowText" lastClr="000000"/>
            </a:solidFill>
            <a:effectLst/>
          </a:endParaRPr>
        </a:p>
      </xdr:txBody>
    </xdr:sp>
    <xdr:clientData/>
  </xdr:twoCellAnchor>
  <xdr:twoCellAnchor>
    <xdr:from>
      <xdr:col>116</xdr:col>
      <xdr:colOff>204107</xdr:colOff>
      <xdr:row>69</xdr:row>
      <xdr:rowOff>81646</xdr:rowOff>
    </xdr:from>
    <xdr:to>
      <xdr:col>157</xdr:col>
      <xdr:colOff>92057</xdr:colOff>
      <xdr:row>83</xdr:row>
      <xdr:rowOff>1</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11367407" y="6653896"/>
          <a:ext cx="4860000" cy="1318530"/>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「申請区分」をご選択ください。</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（選択肢と該当するケースの例）</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・新規</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購入製品の新規契約</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・更新 </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既存のご契約内容のまま更新</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・更新</a:t>
          </a:r>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減数</a:t>
          </a:r>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既存のご契約の更新と同時にライセンス数を減らす</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・追加 </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既存のご契約内容のまま、ライセンス数やオプションなどを追加</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・追加</a:t>
          </a:r>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更新同時</a:t>
          </a:r>
          <a:r>
            <a:rPr lang="en-US" altLang="ja-JP" sz="900">
              <a:solidFill>
                <a:sysClr val="windowText" lastClr="000000"/>
              </a:solidFill>
              <a:effectLst/>
              <a:latin typeface="+mn-lt"/>
              <a:ea typeface="+mn-ea"/>
              <a:cs typeface="+mn-cs"/>
            </a:rPr>
            <a:t>)	</a:t>
          </a:r>
          <a:r>
            <a:rPr lang="ja-JP" altLang="en-US" sz="900">
              <a:solidFill>
                <a:sysClr val="windowText" lastClr="000000"/>
              </a:solidFill>
              <a:effectLst/>
              <a:latin typeface="+mn-lt"/>
              <a:ea typeface="+mn-ea"/>
              <a:cs typeface="+mn-cs"/>
            </a:rPr>
            <a:t>： 既存のご契約の更新と同時にライセンス数やオプションなどを追加</a:t>
          </a:r>
          <a:endParaRPr lang="en-US" altLang="ja-JP" sz="900">
            <a:solidFill>
              <a:sysClr val="windowText" lastClr="000000"/>
            </a:solidFill>
            <a:effectLst/>
            <a:latin typeface="+mn-lt"/>
            <a:ea typeface="+mn-ea"/>
            <a:cs typeface="+mn-cs"/>
          </a:endParaRPr>
        </a:p>
      </xdr:txBody>
    </xdr:sp>
    <xdr:clientData/>
  </xdr:twoCellAnchor>
  <xdr:twoCellAnchor>
    <xdr:from>
      <xdr:col>32</xdr:col>
      <xdr:colOff>38098</xdr:colOff>
      <xdr:row>94</xdr:row>
      <xdr:rowOff>57150</xdr:rowOff>
    </xdr:from>
    <xdr:to>
      <xdr:col>35</xdr:col>
      <xdr:colOff>7523</xdr:colOff>
      <xdr:row>97</xdr:row>
      <xdr:rowOff>26575</xdr:rowOff>
    </xdr:to>
    <xdr:sp macro="" textlink="">
      <xdr:nvSpPr>
        <xdr:cNvPr id="17" name="フローチャート : 結合子 10">
          <a:extLst>
            <a:ext uri="{FF2B5EF4-FFF2-40B4-BE49-F238E27FC236}">
              <a16:creationId xmlns:a16="http://schemas.microsoft.com/office/drawing/2014/main" id="{00000000-0008-0000-0700-000011000000}"/>
            </a:ext>
          </a:extLst>
        </xdr:cNvPr>
        <xdr:cNvSpPr/>
      </xdr:nvSpPr>
      <xdr:spPr>
        <a:xfrm>
          <a:off x="2916765" y="9052983"/>
          <a:ext cx="223425" cy="255175"/>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18</xdr:col>
      <xdr:colOff>66675</xdr:colOff>
      <xdr:row>151</xdr:row>
      <xdr:rowOff>85725</xdr:rowOff>
    </xdr:from>
    <xdr:to>
      <xdr:col>21</xdr:col>
      <xdr:colOff>32925</xdr:colOff>
      <xdr:row>154</xdr:row>
      <xdr:rowOff>4350</xdr:rowOff>
    </xdr:to>
    <xdr:sp macro="" textlink="">
      <xdr:nvSpPr>
        <xdr:cNvPr id="19" name="フローチャート : 結合子 10">
          <a:extLst>
            <a:ext uri="{FF2B5EF4-FFF2-40B4-BE49-F238E27FC236}">
              <a16:creationId xmlns:a16="http://schemas.microsoft.com/office/drawing/2014/main" id="{00000000-0008-0000-0700-000013000000}"/>
            </a:ext>
          </a:extLst>
        </xdr:cNvPr>
        <xdr:cNvSpPr/>
      </xdr:nvSpPr>
      <xdr:spPr>
        <a:xfrm>
          <a:off x="1895475" y="102489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36</xdr:col>
      <xdr:colOff>85725</xdr:colOff>
      <xdr:row>148</xdr:row>
      <xdr:rowOff>0</xdr:rowOff>
    </xdr:from>
    <xdr:to>
      <xdr:col>39</xdr:col>
      <xdr:colOff>51975</xdr:colOff>
      <xdr:row>150</xdr:row>
      <xdr:rowOff>42450</xdr:rowOff>
    </xdr:to>
    <xdr:sp macro="" textlink="">
      <xdr:nvSpPr>
        <xdr:cNvPr id="25" name="フローチャート : 結合子 10">
          <a:extLst>
            <a:ext uri="{FF2B5EF4-FFF2-40B4-BE49-F238E27FC236}">
              <a16:creationId xmlns:a16="http://schemas.microsoft.com/office/drawing/2014/main" id="{00000000-0008-0000-0700-000019000000}"/>
            </a:ext>
          </a:extLst>
        </xdr:cNvPr>
        <xdr:cNvSpPr/>
      </xdr:nvSpPr>
      <xdr:spPr>
        <a:xfrm>
          <a:off x="3629025" y="108585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53</xdr:col>
      <xdr:colOff>47625</xdr:colOff>
      <xdr:row>98</xdr:row>
      <xdr:rowOff>57150</xdr:rowOff>
    </xdr:from>
    <xdr:to>
      <xdr:col>56</xdr:col>
      <xdr:colOff>13875</xdr:colOff>
      <xdr:row>100</xdr:row>
      <xdr:rowOff>118650</xdr:rowOff>
    </xdr:to>
    <xdr:sp macro="" textlink="">
      <xdr:nvSpPr>
        <xdr:cNvPr id="28" name="フローチャート : 結合子 10">
          <a:extLst>
            <a:ext uri="{FF2B5EF4-FFF2-40B4-BE49-F238E27FC236}">
              <a16:creationId xmlns:a16="http://schemas.microsoft.com/office/drawing/2014/main" id="{00000000-0008-0000-0700-00001C000000}"/>
            </a:ext>
          </a:extLst>
        </xdr:cNvPr>
        <xdr:cNvSpPr/>
      </xdr:nvSpPr>
      <xdr:spPr>
        <a:xfrm>
          <a:off x="5210175" y="84296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53</xdr:col>
      <xdr:colOff>82550</xdr:colOff>
      <xdr:row>77</xdr:row>
      <xdr:rowOff>76200</xdr:rowOff>
    </xdr:from>
    <xdr:to>
      <xdr:col>56</xdr:col>
      <xdr:colOff>48800</xdr:colOff>
      <xdr:row>80</xdr:row>
      <xdr:rowOff>26575</xdr:rowOff>
    </xdr:to>
    <xdr:sp macro="" textlink="">
      <xdr:nvSpPr>
        <xdr:cNvPr id="29" name="フローチャート : 結合子 10">
          <a:extLst>
            <a:ext uri="{FF2B5EF4-FFF2-40B4-BE49-F238E27FC236}">
              <a16:creationId xmlns:a16="http://schemas.microsoft.com/office/drawing/2014/main" id="{00000000-0008-0000-0700-00001D000000}"/>
            </a:ext>
          </a:extLst>
        </xdr:cNvPr>
        <xdr:cNvSpPr/>
      </xdr:nvSpPr>
      <xdr:spPr>
        <a:xfrm>
          <a:off x="4787900" y="7410450"/>
          <a:ext cx="223425" cy="255175"/>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116</xdr:col>
      <xdr:colOff>92365</xdr:colOff>
      <xdr:row>68</xdr:row>
      <xdr:rowOff>38100</xdr:rowOff>
    </xdr:from>
    <xdr:to>
      <xdr:col>116</xdr:col>
      <xdr:colOff>344365</xdr:colOff>
      <xdr:row>71</xdr:row>
      <xdr:rowOff>4350</xdr:rowOff>
    </xdr:to>
    <xdr:sp macro="" textlink="">
      <xdr:nvSpPr>
        <xdr:cNvPr id="30" name="フローチャート : 結合子 10">
          <a:extLst>
            <a:ext uri="{FF2B5EF4-FFF2-40B4-BE49-F238E27FC236}">
              <a16:creationId xmlns:a16="http://schemas.microsoft.com/office/drawing/2014/main" id="{00000000-0008-0000-0700-00001E000000}"/>
            </a:ext>
          </a:extLst>
        </xdr:cNvPr>
        <xdr:cNvSpPr/>
      </xdr:nvSpPr>
      <xdr:spPr>
        <a:xfrm>
          <a:off x="11255665" y="65151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9</a:t>
          </a:r>
        </a:p>
      </xdr:txBody>
    </xdr:sp>
    <xdr:clientData/>
  </xdr:twoCellAnchor>
  <xdr:twoCellAnchor>
    <xdr:from>
      <xdr:col>116</xdr:col>
      <xdr:colOff>204108</xdr:colOff>
      <xdr:row>86</xdr:row>
      <xdr:rowOff>43545</xdr:rowOff>
    </xdr:from>
    <xdr:to>
      <xdr:col>151</xdr:col>
      <xdr:colOff>51558</xdr:colOff>
      <xdr:row>89</xdr:row>
      <xdr:rowOff>38100</xdr:rowOff>
    </xdr:to>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11719833" y="8330295"/>
          <a:ext cx="4248000" cy="280305"/>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引き続き、必要な申請内容（赤くなるセルの箇所）をご入力ください。</a:t>
          </a:r>
          <a:endParaRPr kumimoji="1" lang="en-US" altLang="ja-JP" sz="900">
            <a:solidFill>
              <a:sysClr val="windowText" lastClr="000000"/>
            </a:solidFill>
          </a:endParaRPr>
        </a:p>
      </xdr:txBody>
    </xdr:sp>
    <xdr:clientData/>
  </xdr:twoCellAnchor>
  <xdr:twoCellAnchor>
    <xdr:from>
      <xdr:col>116</xdr:col>
      <xdr:colOff>197756</xdr:colOff>
      <xdr:row>91</xdr:row>
      <xdr:rowOff>25400</xdr:rowOff>
    </xdr:from>
    <xdr:to>
      <xdr:col>173</xdr:col>
      <xdr:colOff>6350</xdr:colOff>
      <xdr:row>116</xdr:row>
      <xdr:rowOff>85725</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10580006" y="8845550"/>
          <a:ext cx="6095094" cy="2479675"/>
        </a:xfrm>
        <a:prstGeom prst="rect">
          <a:avLst/>
        </a:prstGeom>
        <a:solidFill>
          <a:schemeClr val="accent4">
            <a:lumMod val="20000"/>
            <a:lumOff val="80000"/>
          </a:schemeClr>
        </a:solidFill>
        <a:ln w="444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900">
              <a:solidFill>
                <a:sysClr val="windowText" lastClr="000000"/>
              </a:solidFill>
              <a:effectLst/>
              <a:latin typeface="+mn-lt"/>
              <a:ea typeface="+mn-ea"/>
              <a:cs typeface="+mn-cs"/>
            </a:rPr>
            <a:t>本申請書のご提出が、</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アラート対象製品（</a:t>
          </a:r>
          <a:r>
            <a:rPr lang="en-US" altLang="ja-JP" sz="900">
              <a:solidFill>
                <a:sysClr val="windowText" lastClr="000000"/>
              </a:solidFill>
              <a:effectLst/>
              <a:latin typeface="+mn-lt"/>
              <a:ea typeface="+mn-ea"/>
              <a:cs typeface="+mn-cs"/>
            </a:rPr>
            <a:t>i-FILTER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Ver.10</a:t>
          </a:r>
          <a:r>
            <a:rPr lang="ja-JP" altLang="en-US" sz="900">
              <a:solidFill>
                <a:sysClr val="windowText" lastClr="000000"/>
              </a:solidFill>
              <a:effectLst/>
              <a:latin typeface="+mn-lt"/>
              <a:ea typeface="+mn-ea"/>
              <a:cs typeface="+mn-cs"/>
            </a:rPr>
            <a:t> または </a:t>
          </a:r>
          <a:r>
            <a:rPr lang="en-US" altLang="ja-JP" sz="900">
              <a:solidFill>
                <a:sysClr val="windowText" lastClr="000000"/>
              </a:solidFill>
              <a:effectLst/>
              <a:latin typeface="+mn-lt"/>
              <a:ea typeface="+mn-ea"/>
              <a:cs typeface="+mn-cs"/>
            </a:rPr>
            <a:t>m-FILTER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MailFilter</a:t>
          </a:r>
          <a:r>
            <a:rPr lang="ja-JP" altLang="en-US" sz="900">
              <a:solidFill>
                <a:sysClr val="windowText" lastClr="000000"/>
              </a:solidFill>
              <a:effectLst/>
              <a:latin typeface="+mn-lt"/>
              <a:ea typeface="+mn-ea"/>
              <a:cs typeface="+mn-cs"/>
            </a:rPr>
            <a:t> </a:t>
          </a:r>
          <a:r>
            <a:rPr lang="en-US" altLang="ja-JP" sz="900">
              <a:solidFill>
                <a:sysClr val="windowText" lastClr="000000"/>
              </a:solidFill>
              <a:effectLst/>
              <a:latin typeface="+mn-lt"/>
              <a:ea typeface="+mn-ea"/>
              <a:cs typeface="+mn-cs"/>
            </a:rPr>
            <a:t>Ver.5</a:t>
          </a:r>
          <a:r>
            <a:rPr lang="ja-JP" altLang="en-US" sz="900">
              <a:solidFill>
                <a:sysClr val="windowText" lastClr="000000"/>
              </a:solidFill>
              <a:effectLst/>
              <a:latin typeface="+mn-lt"/>
              <a:ea typeface="+mn-ea"/>
              <a:cs typeface="+mn-cs"/>
            </a:rPr>
            <a:t> ）に</a:t>
          </a:r>
          <a:endParaRPr lang="en-US" altLang="ja-JP" sz="9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関する申請の場合は、</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アラートの通知先申請についてご確認ください。</a:t>
          </a:r>
          <a:endParaRPr lang="en-US" altLang="ja-JP" sz="900">
            <a:solidFill>
              <a:sysClr val="windowText" lastClr="000000"/>
            </a:solidFill>
            <a:effectLst/>
            <a:latin typeface="+mn-lt"/>
            <a:ea typeface="+mn-ea"/>
            <a:cs typeface="+mn-cs"/>
          </a:endParaRPr>
        </a:p>
        <a:p>
          <a:endParaRPr lang="en-US" altLang="ja-JP" sz="900" b="1">
            <a:solidFill>
              <a:sysClr val="windowText" lastClr="000000"/>
            </a:solidFill>
            <a:effectLst/>
            <a:latin typeface="+mn-lt"/>
            <a:ea typeface="+mn-ea"/>
            <a:cs typeface="+mn-cs"/>
          </a:endParaRPr>
        </a:p>
        <a:p>
          <a:r>
            <a:rPr lang="en-US" altLang="ja-JP" sz="900" b="1">
              <a:solidFill>
                <a:sysClr val="windowText" lastClr="000000"/>
              </a:solidFill>
              <a:effectLst/>
              <a:latin typeface="+mn-lt"/>
              <a:ea typeface="+mn-ea"/>
              <a:cs typeface="+mn-cs"/>
            </a:rPr>
            <a:t>(1)</a:t>
          </a:r>
          <a:r>
            <a:rPr lang="ja-JP" altLang="en-US" sz="900" b="1">
              <a:solidFill>
                <a:sysClr val="windowText" lastClr="000000"/>
              </a:solidFill>
              <a:effectLst/>
              <a:latin typeface="+mn-lt"/>
              <a:ea typeface="+mn-ea"/>
              <a:cs typeface="+mn-cs"/>
            </a:rPr>
            <a:t> </a:t>
          </a:r>
          <a:r>
            <a:rPr lang="en-US" altLang="ja-JP" sz="900" b="1">
              <a:solidFill>
                <a:sysClr val="windowText" lastClr="000000"/>
              </a:solidFill>
              <a:effectLst/>
              <a:latin typeface="+mn-lt"/>
              <a:ea typeface="+mn-ea"/>
              <a:cs typeface="+mn-cs"/>
            </a:rPr>
            <a:t>D</a:t>
          </a:r>
          <a:r>
            <a:rPr lang="ja-JP" altLang="en-US" sz="900" b="1">
              <a:solidFill>
                <a:sysClr val="windowText" lastClr="000000"/>
              </a:solidFill>
              <a:effectLst/>
              <a:latin typeface="+mn-lt"/>
              <a:ea typeface="+mn-ea"/>
              <a:cs typeface="+mn-cs"/>
            </a:rPr>
            <a:t>アラート対象製品の</a:t>
          </a:r>
          <a:r>
            <a:rPr lang="ja-JP" altLang="en-US" sz="900" b="1">
              <a:solidFill>
                <a:srgbClr val="FF0000"/>
              </a:solidFill>
              <a:effectLst/>
              <a:latin typeface="+mn-lt"/>
              <a:ea typeface="+mn-ea"/>
              <a:cs typeface="+mn-cs"/>
            </a:rPr>
            <a:t>新規</a:t>
          </a:r>
          <a:r>
            <a:rPr lang="ja-JP" altLang="en-US" sz="900" b="1">
              <a:solidFill>
                <a:sysClr val="windowText" lastClr="000000"/>
              </a:solidFill>
              <a:effectLst/>
              <a:latin typeface="+mn-lt"/>
              <a:ea typeface="+mn-ea"/>
              <a:cs typeface="+mn-cs"/>
            </a:rPr>
            <a:t>のお申し込みの場合は、注意書きをお読みいただき「了承済」をご選択ください。</a:t>
          </a:r>
          <a:endParaRPr lang="en-US" altLang="ja-JP" sz="900" b="1">
            <a:solidFill>
              <a:sysClr val="windowText" lastClr="000000"/>
            </a:solidFill>
            <a:effectLst/>
            <a:latin typeface="+mn-lt"/>
            <a:ea typeface="+mn-ea"/>
            <a:cs typeface="+mn-cs"/>
          </a:endParaRPr>
        </a:p>
        <a:p>
          <a:endParaRPr lang="en-US" altLang="ja-JP" sz="3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　　通知が</a:t>
          </a:r>
          <a:r>
            <a:rPr lang="ja-JP" altLang="en-US" sz="900" b="0">
              <a:solidFill>
                <a:srgbClr val="FF0000"/>
              </a:solidFill>
              <a:effectLst/>
              <a:latin typeface="+mn-lt"/>
              <a:ea typeface="+mn-ea"/>
              <a:cs typeface="+mn-cs"/>
            </a:rPr>
            <a:t>必要</a:t>
          </a:r>
          <a:r>
            <a:rPr lang="ja-JP" altLang="en-US" sz="900" b="0">
              <a:solidFill>
                <a:sysClr val="windowText" lastClr="000000"/>
              </a:solidFill>
              <a:effectLst/>
              <a:latin typeface="+mn-lt"/>
              <a:ea typeface="+mn-ea"/>
              <a:cs typeface="+mn-cs"/>
            </a:rPr>
            <a:t>な場合は、</a:t>
          </a:r>
          <a:r>
            <a:rPr lang="ja-JP" altLang="en-US" sz="900">
              <a:solidFill>
                <a:sysClr val="windowText" lastClr="000000"/>
              </a:solidFill>
              <a:effectLst/>
              <a:latin typeface="+mn-lt"/>
              <a:ea typeface="+mn-ea"/>
              <a:cs typeface="+mn-cs"/>
            </a:rPr>
            <a:t>シリアルの納品後に、</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アラート通知先申請サイトより通知先のメールアドレスをご申請ください。</a:t>
          </a:r>
          <a:endParaRPr lang="en-US" altLang="ja-JP" sz="300">
            <a:solidFill>
              <a:sysClr val="windowText" lastClr="000000"/>
            </a:solidFill>
            <a:effectLst/>
            <a:latin typeface="+mn-lt"/>
            <a:ea typeface="+mn-ea"/>
            <a:cs typeface="+mn-cs"/>
          </a:endParaRPr>
        </a:p>
        <a:p>
          <a:r>
            <a:rPr lang="ja-JP" altLang="en-US" sz="900">
              <a:solidFill>
                <a:sysClr val="windowText" lastClr="000000"/>
              </a:solidFill>
              <a:effectLst/>
              <a:latin typeface="+mn-lt"/>
              <a:ea typeface="+mn-ea"/>
              <a:cs typeface="+mn-cs"/>
            </a:rPr>
            <a:t>　　通知が</a:t>
          </a:r>
          <a:r>
            <a:rPr lang="ja-JP" altLang="en-US" sz="900" b="0">
              <a:solidFill>
                <a:srgbClr val="FF0000"/>
              </a:solidFill>
              <a:effectLst/>
              <a:latin typeface="+mn-lt"/>
              <a:ea typeface="+mn-ea"/>
              <a:cs typeface="+mn-cs"/>
            </a:rPr>
            <a:t>不要</a:t>
          </a:r>
          <a:r>
            <a:rPr lang="ja-JP" altLang="en-US" sz="900" b="0">
              <a:solidFill>
                <a:sysClr val="windowText" lastClr="000000"/>
              </a:solidFill>
              <a:effectLst/>
              <a:latin typeface="+mn-lt"/>
              <a:ea typeface="+mn-ea"/>
              <a:cs typeface="+mn-cs"/>
            </a:rPr>
            <a:t>な場合は、</a:t>
          </a:r>
          <a:r>
            <a:rPr lang="ja-JP" altLang="en-US" sz="900">
              <a:solidFill>
                <a:sysClr val="windowText" lastClr="000000"/>
              </a:solidFill>
              <a:effectLst/>
              <a:latin typeface="+mn-lt"/>
              <a:ea typeface="+mn-ea"/>
              <a:cs typeface="+mn-cs"/>
            </a:rPr>
            <a:t>シリアルの納品後に、</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アラート通知先申請サイトより通知不要の旨をご申請ください。</a:t>
          </a:r>
          <a:endParaRPr lang="en-US" altLang="ja-JP" sz="900">
            <a:solidFill>
              <a:sysClr val="windowText" lastClr="000000"/>
            </a:solidFill>
            <a:effectLst/>
            <a:latin typeface="+mn-lt"/>
            <a:ea typeface="+mn-ea"/>
            <a:cs typeface="+mn-cs"/>
          </a:endParaRPr>
        </a:p>
        <a:p>
          <a:endParaRPr lang="en-US" altLang="ja-JP" sz="300">
            <a:solidFill>
              <a:sysClr val="windowText" lastClr="000000"/>
            </a:solidFill>
            <a:effectLst/>
            <a:latin typeface="+mn-lt"/>
            <a:ea typeface="+mn-ea"/>
            <a:cs typeface="+mn-cs"/>
          </a:endParaRPr>
        </a:p>
        <a:p>
          <a:r>
            <a:rPr lang="en-US" altLang="ja-JP" sz="900" b="1">
              <a:solidFill>
                <a:sysClr val="windowText" lastClr="000000"/>
              </a:solidFill>
              <a:effectLst/>
              <a:latin typeface="+mn-lt"/>
              <a:ea typeface="+mn-ea"/>
              <a:cs typeface="+mn-cs"/>
            </a:rPr>
            <a:t>(2)</a:t>
          </a:r>
          <a:r>
            <a:rPr lang="ja-JP" altLang="en-US" sz="900" b="1">
              <a:solidFill>
                <a:sysClr val="windowText" lastClr="000000"/>
              </a:solidFill>
              <a:effectLst/>
              <a:latin typeface="+mn-lt"/>
              <a:ea typeface="+mn-ea"/>
              <a:cs typeface="+mn-cs"/>
            </a:rPr>
            <a:t> </a:t>
          </a:r>
          <a:r>
            <a:rPr lang="en-US" altLang="ja-JP" sz="900" b="1">
              <a:solidFill>
                <a:sysClr val="windowText" lastClr="000000"/>
              </a:solidFill>
              <a:effectLst/>
              <a:latin typeface="+mn-lt"/>
              <a:ea typeface="+mn-ea"/>
              <a:cs typeface="+mn-cs"/>
            </a:rPr>
            <a:t>D</a:t>
          </a:r>
          <a:r>
            <a:rPr lang="ja-JP" altLang="en-US" sz="900" b="1">
              <a:solidFill>
                <a:sysClr val="windowText" lastClr="000000"/>
              </a:solidFill>
              <a:effectLst/>
              <a:latin typeface="+mn-lt"/>
              <a:ea typeface="+mn-ea"/>
              <a:cs typeface="+mn-cs"/>
            </a:rPr>
            <a:t>アラート対象製品の</a:t>
          </a:r>
          <a:r>
            <a:rPr lang="ja-JP" altLang="en-US" sz="900" b="1">
              <a:solidFill>
                <a:srgbClr val="FF0000"/>
              </a:solidFill>
              <a:effectLst/>
              <a:latin typeface="+mn-lt"/>
              <a:ea typeface="+mn-ea"/>
              <a:cs typeface="+mn-cs"/>
            </a:rPr>
            <a:t>更新</a:t>
          </a:r>
          <a:r>
            <a:rPr lang="en-US" altLang="ja-JP" sz="900" b="1">
              <a:solidFill>
                <a:srgbClr val="FF0000"/>
              </a:solidFill>
              <a:effectLst/>
              <a:latin typeface="+mn-lt"/>
              <a:ea typeface="+mn-ea"/>
              <a:cs typeface="+mn-cs"/>
            </a:rPr>
            <a:t>/</a:t>
          </a:r>
          <a:r>
            <a:rPr lang="ja-JP" altLang="en-US" sz="900" b="1">
              <a:solidFill>
                <a:srgbClr val="FF0000"/>
              </a:solidFill>
              <a:effectLst/>
              <a:latin typeface="+mn-lt"/>
              <a:ea typeface="+mn-ea"/>
              <a:cs typeface="+mn-cs"/>
            </a:rPr>
            <a:t>追加</a:t>
          </a:r>
          <a:r>
            <a:rPr lang="ja-JP" altLang="en-US" sz="900" b="1">
              <a:solidFill>
                <a:sysClr val="windowText" lastClr="000000"/>
              </a:solidFill>
              <a:effectLst/>
              <a:latin typeface="+mn-lt"/>
              <a:ea typeface="+mn-ea"/>
              <a:cs typeface="+mn-cs"/>
            </a:rPr>
            <a:t>のお申し込みの場合、</a:t>
          </a:r>
          <a:endParaRPr lang="en-US" altLang="ja-JP" sz="900" b="1">
            <a:solidFill>
              <a:sysClr val="windowText" lastClr="000000"/>
            </a:solidFill>
            <a:effectLst/>
            <a:latin typeface="+mn-lt"/>
            <a:ea typeface="+mn-ea"/>
            <a:cs typeface="+mn-cs"/>
          </a:endParaRPr>
        </a:p>
        <a:p>
          <a:endParaRPr lang="en-US" altLang="ja-JP" sz="3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必要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a:t>
          </a:r>
          <a:r>
            <a:rPr kumimoji="0" lang="en-US" altLang="ja-JP" sz="900" b="0" i="0" u="none" strike="noStrike" kern="0" cap="none" spc="0" normalizeH="0" baseline="0" noProof="0">
              <a:ln>
                <a:noFill/>
              </a:ln>
              <a:solidFill>
                <a:sysClr val="windowText" lastClr="000000"/>
              </a:solidFill>
              <a:effectLst/>
              <a:uLnTx/>
              <a:uFillTx/>
              <a:latin typeface="+mn-lt"/>
              <a:ea typeface="+mn-ea"/>
              <a:cs typeface="+mn-cs"/>
            </a:rPr>
            <a:t>D</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アラート通知先申請サイトより通知先のメールアドレスをご申請のうえ、「申請済」をご選択ください。</a:t>
          </a:r>
          <a:endParaRPr kumimoji="0"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　　通知が</a:t>
          </a:r>
          <a:r>
            <a:rPr kumimoji="0" lang="ja-JP" altLang="en-US" sz="900" b="0" i="0" u="none" strike="noStrike" kern="0" cap="none" spc="0" normalizeH="0" baseline="0" noProof="0">
              <a:ln>
                <a:noFill/>
              </a:ln>
              <a:solidFill>
                <a:srgbClr val="FF0000"/>
              </a:solidFill>
              <a:effectLst/>
              <a:uLnTx/>
              <a:uFillTx/>
              <a:latin typeface="+mn-lt"/>
              <a:ea typeface="+mn-ea"/>
              <a:cs typeface="+mn-cs"/>
            </a:rPr>
            <a:t>不要</a:t>
          </a:r>
          <a:r>
            <a:rPr kumimoji="0" lang="ja-JP" altLang="en-US" sz="900" b="0" i="0" u="none" strike="noStrike" kern="0" cap="none" spc="0" normalizeH="0" baseline="0" noProof="0">
              <a:ln>
                <a:noFill/>
              </a:ln>
              <a:solidFill>
                <a:sysClr val="windowText" lastClr="000000"/>
              </a:solidFill>
              <a:effectLst/>
              <a:uLnTx/>
              <a:uFillTx/>
              <a:latin typeface="+mn-lt"/>
              <a:ea typeface="+mn-ea"/>
              <a:cs typeface="+mn-cs"/>
            </a:rPr>
            <a:t>な場合は、</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アラート通知先申請サイトより通知不要の旨をご申請のうえ、「申請済」をご選択ください。</a:t>
          </a:r>
        </a:p>
        <a:p>
          <a:endParaRPr lang="en-US" altLang="ja-JP" sz="500">
            <a:solidFill>
              <a:sysClr val="windowText" lastClr="000000"/>
            </a:solidFill>
            <a:effectLst/>
            <a:latin typeface="+mn-lt"/>
            <a:ea typeface="+mn-ea"/>
            <a:cs typeface="+mn-cs"/>
          </a:endParaRPr>
        </a:p>
        <a:p>
          <a:r>
            <a:rPr lang="en-US" altLang="ja-JP" sz="900">
              <a:solidFill>
                <a:sysClr val="windowText" lastClr="000000"/>
              </a:solidFill>
              <a:effectLst/>
              <a:latin typeface="+mn-lt"/>
              <a:ea typeface="+mn-ea"/>
              <a:cs typeface="+mn-cs"/>
            </a:rPr>
            <a:t>※</a:t>
          </a:r>
          <a:r>
            <a:rPr lang="ja-JP" altLang="en-US" sz="900">
              <a:solidFill>
                <a:sysClr val="windowText" lastClr="000000"/>
              </a:solidFill>
              <a:effectLst/>
              <a:latin typeface="+mn-lt"/>
              <a:ea typeface="+mn-ea"/>
              <a:cs typeface="+mn-cs"/>
            </a:rPr>
            <a:t>通知先または通知不要の旨は、</a:t>
          </a:r>
          <a:r>
            <a:rPr lang="en-US" altLang="ja-JP" sz="900">
              <a:solidFill>
                <a:sysClr val="windowText" lastClr="000000"/>
              </a:solidFill>
              <a:effectLst/>
              <a:latin typeface="+mn-lt"/>
              <a:ea typeface="+mn-ea"/>
              <a:cs typeface="+mn-cs"/>
            </a:rPr>
            <a:t>D</a:t>
          </a:r>
          <a:r>
            <a:rPr lang="ja-JP" altLang="en-US" sz="900">
              <a:solidFill>
                <a:sysClr val="windowText" lastClr="000000"/>
              </a:solidFill>
              <a:effectLst/>
              <a:latin typeface="+mn-lt"/>
              <a:ea typeface="+mn-ea"/>
              <a:cs typeface="+mn-cs"/>
            </a:rPr>
            <a:t>アラート対象製品のシリアルごとに申請をお願いいたします。</a:t>
          </a:r>
        </a:p>
        <a:p>
          <a:r>
            <a:rPr lang="en-US" altLang="ja-JP" sz="900">
              <a:solidFill>
                <a:sysClr val="windowText" lastClr="000000"/>
              </a:solidFill>
              <a:effectLst/>
              <a:latin typeface="+mn-lt"/>
              <a:ea typeface="+mn-ea"/>
              <a:cs typeface="+mn-cs"/>
            </a:rPr>
            <a:t>※(2)</a:t>
          </a:r>
          <a:r>
            <a:rPr lang="ja-JP" altLang="en-US" sz="900">
              <a:solidFill>
                <a:sysClr val="windowText" lastClr="000000"/>
              </a:solidFill>
              <a:effectLst/>
              <a:latin typeface="+mn-lt"/>
              <a:ea typeface="+mn-ea"/>
              <a:cs typeface="+mn-cs"/>
            </a:rPr>
            <a:t>の場合で、過去に通知先メールアドレスまたは通知不要の旨を申請済みの場合は</a:t>
          </a:r>
        </a:p>
        <a:p>
          <a:r>
            <a:rPr lang="ja-JP" altLang="en-US" sz="900">
              <a:solidFill>
                <a:sysClr val="windowText" lastClr="000000"/>
              </a:solidFill>
              <a:effectLst/>
              <a:latin typeface="+mn-lt"/>
              <a:ea typeface="+mn-ea"/>
              <a:cs typeface="+mn-cs"/>
            </a:rPr>
            <a:t>　　「申請済」をご選択いただき、改めて申請サイトよりご申請いただく必要はございません。</a:t>
          </a:r>
        </a:p>
      </xdr:txBody>
    </xdr:sp>
    <xdr:clientData/>
  </xdr:twoCellAnchor>
  <xdr:twoCellAnchor>
    <xdr:from>
      <xdr:col>116</xdr:col>
      <xdr:colOff>92365</xdr:colOff>
      <xdr:row>90</xdr:row>
      <xdr:rowOff>47625</xdr:rowOff>
    </xdr:from>
    <xdr:to>
      <xdr:col>116</xdr:col>
      <xdr:colOff>344365</xdr:colOff>
      <xdr:row>91</xdr:row>
      <xdr:rowOff>131350</xdr:rowOff>
    </xdr:to>
    <xdr:sp macro="" textlink="">
      <xdr:nvSpPr>
        <xdr:cNvPr id="34" name="フローチャート : 結合子 26">
          <a:extLst>
            <a:ext uri="{FF2B5EF4-FFF2-40B4-BE49-F238E27FC236}">
              <a16:creationId xmlns:a16="http://schemas.microsoft.com/office/drawing/2014/main" id="{00000000-0008-0000-0700-000022000000}"/>
            </a:ext>
          </a:extLst>
        </xdr:cNvPr>
        <xdr:cNvSpPr/>
      </xdr:nvSpPr>
      <xdr:spPr>
        <a:xfrm>
          <a:off x="10474615" y="8696325"/>
          <a:ext cx="252000" cy="255175"/>
        </a:xfrm>
        <a:prstGeom prst="flowChartConnector">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0</xdr:col>
      <xdr:colOff>57150</xdr:colOff>
      <xdr:row>89</xdr:row>
      <xdr:rowOff>0</xdr:rowOff>
    </xdr:from>
    <xdr:to>
      <xdr:col>2</xdr:col>
      <xdr:colOff>13875</xdr:colOff>
      <xdr:row>91</xdr:row>
      <xdr:rowOff>4350</xdr:rowOff>
    </xdr:to>
    <xdr:sp macro="" textlink="">
      <xdr:nvSpPr>
        <xdr:cNvPr id="36" name="フローチャート : 結合子 26">
          <a:extLst>
            <a:ext uri="{FF2B5EF4-FFF2-40B4-BE49-F238E27FC236}">
              <a16:creationId xmlns:a16="http://schemas.microsoft.com/office/drawing/2014/main" id="{00000000-0008-0000-0700-000024000000}"/>
            </a:ext>
          </a:extLst>
        </xdr:cNvPr>
        <xdr:cNvSpPr/>
      </xdr:nvSpPr>
      <xdr:spPr>
        <a:xfrm>
          <a:off x="57150" y="7572375"/>
          <a:ext cx="252000" cy="252000"/>
        </a:xfrm>
        <a:prstGeom prst="flowChartConnector">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a:t>
          </a:r>
        </a:p>
      </xdr:txBody>
    </xdr:sp>
    <xdr:clientData/>
  </xdr:twoCellAnchor>
  <xdr:twoCellAnchor>
    <xdr:from>
      <xdr:col>56</xdr:col>
      <xdr:colOff>85726</xdr:colOff>
      <xdr:row>22</xdr:row>
      <xdr:rowOff>38101</xdr:rowOff>
    </xdr:from>
    <xdr:to>
      <xdr:col>59</xdr:col>
      <xdr:colOff>51976</xdr:colOff>
      <xdr:row>25</xdr:row>
      <xdr:rowOff>4351</xdr:rowOff>
    </xdr:to>
    <xdr:sp macro="" textlink="">
      <xdr:nvSpPr>
        <xdr:cNvPr id="38" name="フローチャート : 結合子 5">
          <a:extLst>
            <a:ext uri="{FF2B5EF4-FFF2-40B4-BE49-F238E27FC236}">
              <a16:creationId xmlns:a16="http://schemas.microsoft.com/office/drawing/2014/main" id="{00000000-0008-0000-0700-000026000000}"/>
            </a:ext>
          </a:extLst>
        </xdr:cNvPr>
        <xdr:cNvSpPr/>
      </xdr:nvSpPr>
      <xdr:spPr>
        <a:xfrm>
          <a:off x="5534026" y="2133601"/>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56</xdr:col>
      <xdr:colOff>90487</xdr:colOff>
      <xdr:row>25</xdr:row>
      <xdr:rowOff>85724</xdr:rowOff>
    </xdr:from>
    <xdr:to>
      <xdr:col>59</xdr:col>
      <xdr:colOff>56737</xdr:colOff>
      <xdr:row>28</xdr:row>
      <xdr:rowOff>51974</xdr:rowOff>
    </xdr:to>
    <xdr:sp macro="" textlink="">
      <xdr:nvSpPr>
        <xdr:cNvPr id="40" name="フローチャート : 結合子 10">
          <a:extLst>
            <a:ext uri="{FF2B5EF4-FFF2-40B4-BE49-F238E27FC236}">
              <a16:creationId xmlns:a16="http://schemas.microsoft.com/office/drawing/2014/main" id="{00000000-0008-0000-0700-000028000000}"/>
            </a:ext>
          </a:extLst>
        </xdr:cNvPr>
        <xdr:cNvSpPr/>
      </xdr:nvSpPr>
      <xdr:spPr>
        <a:xfrm>
          <a:off x="5538787" y="2466974"/>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56</xdr:col>
      <xdr:colOff>90487</xdr:colOff>
      <xdr:row>44</xdr:row>
      <xdr:rowOff>76199</xdr:rowOff>
    </xdr:from>
    <xdr:to>
      <xdr:col>59</xdr:col>
      <xdr:colOff>56737</xdr:colOff>
      <xdr:row>47</xdr:row>
      <xdr:rowOff>42449</xdr:rowOff>
    </xdr:to>
    <xdr:sp macro="" textlink="">
      <xdr:nvSpPr>
        <xdr:cNvPr id="42" name="フローチャート : 結合子 10">
          <a:extLst>
            <a:ext uri="{FF2B5EF4-FFF2-40B4-BE49-F238E27FC236}">
              <a16:creationId xmlns:a16="http://schemas.microsoft.com/office/drawing/2014/main" id="{00000000-0008-0000-0700-00002A000000}"/>
            </a:ext>
          </a:extLst>
        </xdr:cNvPr>
        <xdr:cNvSpPr/>
      </xdr:nvSpPr>
      <xdr:spPr>
        <a:xfrm>
          <a:off x="5538787" y="4267199"/>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116</xdr:col>
      <xdr:colOff>204108</xdr:colOff>
      <xdr:row>2</xdr:row>
      <xdr:rowOff>38102</xdr:rowOff>
    </xdr:from>
    <xdr:to>
      <xdr:col>151</xdr:col>
      <xdr:colOff>51558</xdr:colOff>
      <xdr:row>7</xdr:row>
      <xdr:rowOff>66676</xdr:rowOff>
    </xdr:to>
    <xdr:sp macro="" textlink="">
      <xdr:nvSpPr>
        <xdr:cNvPr id="45" name="正方形/長方形 44">
          <a:extLst>
            <a:ext uri="{FF2B5EF4-FFF2-40B4-BE49-F238E27FC236}">
              <a16:creationId xmlns:a16="http://schemas.microsoft.com/office/drawing/2014/main" id="{00000000-0008-0000-0700-00002D000000}"/>
            </a:ext>
          </a:extLst>
        </xdr:cNvPr>
        <xdr:cNvSpPr/>
      </xdr:nvSpPr>
      <xdr:spPr>
        <a:xfrm>
          <a:off x="11367408" y="228602"/>
          <a:ext cx="4248000" cy="504824"/>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電子メール納品の指定先</a:t>
          </a:r>
          <a:r>
            <a:rPr kumimoji="1" lang="en-US" altLang="ja-JP" sz="900">
              <a:solidFill>
                <a:sysClr val="windowText" lastClr="000000"/>
              </a:solidFill>
            </a:rPr>
            <a:t>(</a:t>
          </a:r>
          <a:r>
            <a:rPr kumimoji="1" lang="ja-JP" altLang="en-US" sz="900">
              <a:solidFill>
                <a:sysClr val="windowText" lastClr="000000"/>
              </a:solidFill>
            </a:rPr>
            <a:t>エンドユーザー様、販売店様等</a:t>
          </a:r>
          <a:r>
            <a:rPr kumimoji="1" lang="en-US" altLang="ja-JP" sz="900">
              <a:solidFill>
                <a:sysClr val="windowText" lastClr="000000"/>
              </a:solidFill>
            </a:rPr>
            <a:t>)</a:t>
          </a:r>
          <a:r>
            <a:rPr kumimoji="1" lang="ja-JP" altLang="en-US" sz="900">
              <a:solidFill>
                <a:sysClr val="windowText" lastClr="000000"/>
              </a:solidFill>
            </a:rPr>
            <a:t>となります。</a:t>
          </a:r>
          <a:endParaRPr kumimoji="1" lang="en-US" altLang="ja-JP" sz="900">
            <a:solidFill>
              <a:sysClr val="windowText" lastClr="000000"/>
            </a:solidFill>
          </a:endParaRPr>
        </a:p>
        <a:p>
          <a:pPr algn="l"/>
          <a:r>
            <a:rPr kumimoji="1" lang="ja-JP" altLang="en-US" sz="900">
              <a:solidFill>
                <a:sysClr val="windowText" lastClr="000000"/>
              </a:solidFill>
            </a:rPr>
            <a:t>必ずご記入ください。</a:t>
          </a:r>
        </a:p>
      </xdr:txBody>
    </xdr:sp>
    <xdr:clientData/>
  </xdr:twoCellAnchor>
  <xdr:twoCellAnchor>
    <xdr:from>
      <xdr:col>116</xdr:col>
      <xdr:colOff>92365</xdr:colOff>
      <xdr:row>1</xdr:row>
      <xdr:rowOff>19050</xdr:rowOff>
    </xdr:from>
    <xdr:to>
      <xdr:col>116</xdr:col>
      <xdr:colOff>344365</xdr:colOff>
      <xdr:row>3</xdr:row>
      <xdr:rowOff>80550</xdr:rowOff>
    </xdr:to>
    <xdr:sp macro="" textlink="">
      <xdr:nvSpPr>
        <xdr:cNvPr id="46" name="フローチャート : 結合子 24">
          <a:extLst>
            <a:ext uri="{FF2B5EF4-FFF2-40B4-BE49-F238E27FC236}">
              <a16:creationId xmlns:a16="http://schemas.microsoft.com/office/drawing/2014/main" id="{00000000-0008-0000-0700-00002E000000}"/>
            </a:ext>
          </a:extLst>
        </xdr:cNvPr>
        <xdr:cNvSpPr/>
      </xdr:nvSpPr>
      <xdr:spPr>
        <a:xfrm>
          <a:off x="11255665" y="1143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n-ea"/>
              <a:ea typeface="+mn-ea"/>
            </a:rPr>
            <a:t>１</a:t>
          </a:r>
        </a:p>
      </xdr:txBody>
    </xdr:sp>
    <xdr:clientData/>
  </xdr:twoCellAnchor>
  <xdr:twoCellAnchor>
    <xdr:from>
      <xdr:col>116</xdr:col>
      <xdr:colOff>204108</xdr:colOff>
      <xdr:row>9</xdr:row>
      <xdr:rowOff>81644</xdr:rowOff>
    </xdr:from>
    <xdr:to>
      <xdr:col>151</xdr:col>
      <xdr:colOff>51558</xdr:colOff>
      <xdr:row>13</xdr:row>
      <xdr:rowOff>38100</xdr:rowOff>
    </xdr:to>
    <xdr:sp macro="" textlink="">
      <xdr:nvSpPr>
        <xdr:cNvPr id="47" name="正方形/長方形 46">
          <a:extLst>
            <a:ext uri="{FF2B5EF4-FFF2-40B4-BE49-F238E27FC236}">
              <a16:creationId xmlns:a16="http://schemas.microsoft.com/office/drawing/2014/main" id="{00000000-0008-0000-0700-00002F000000}"/>
            </a:ext>
          </a:extLst>
        </xdr:cNvPr>
        <xdr:cNvSpPr/>
      </xdr:nvSpPr>
      <xdr:spPr>
        <a:xfrm>
          <a:off x="11367408" y="938894"/>
          <a:ext cx="4248000"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ホスティングサービス提供者様の情報をご記入ください。</a:t>
          </a:r>
        </a:p>
      </xdr:txBody>
    </xdr:sp>
    <xdr:clientData/>
  </xdr:twoCellAnchor>
  <xdr:twoCellAnchor>
    <xdr:from>
      <xdr:col>116</xdr:col>
      <xdr:colOff>92365</xdr:colOff>
      <xdr:row>8</xdr:row>
      <xdr:rowOff>47625</xdr:rowOff>
    </xdr:from>
    <xdr:to>
      <xdr:col>116</xdr:col>
      <xdr:colOff>344365</xdr:colOff>
      <xdr:row>11</xdr:row>
      <xdr:rowOff>13875</xdr:rowOff>
    </xdr:to>
    <xdr:sp macro="" textlink="">
      <xdr:nvSpPr>
        <xdr:cNvPr id="48" name="フローチャート : 結合子 26">
          <a:extLst>
            <a:ext uri="{FF2B5EF4-FFF2-40B4-BE49-F238E27FC236}">
              <a16:creationId xmlns:a16="http://schemas.microsoft.com/office/drawing/2014/main" id="{00000000-0008-0000-0700-000030000000}"/>
            </a:ext>
          </a:extLst>
        </xdr:cNvPr>
        <xdr:cNvSpPr/>
      </xdr:nvSpPr>
      <xdr:spPr>
        <a:xfrm>
          <a:off x="11255665" y="8096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2</a:t>
          </a:r>
        </a:p>
      </xdr:txBody>
    </xdr:sp>
    <xdr:clientData/>
  </xdr:twoCellAnchor>
  <xdr:twoCellAnchor>
    <xdr:from>
      <xdr:col>116</xdr:col>
      <xdr:colOff>204108</xdr:colOff>
      <xdr:row>15</xdr:row>
      <xdr:rowOff>81643</xdr:rowOff>
    </xdr:from>
    <xdr:to>
      <xdr:col>151</xdr:col>
      <xdr:colOff>51558</xdr:colOff>
      <xdr:row>19</xdr:row>
      <xdr:rowOff>57150</xdr:rowOff>
    </xdr:to>
    <xdr:sp macro="" textlink="">
      <xdr:nvSpPr>
        <xdr:cNvPr id="49" name="正方形/長方形 48">
          <a:extLst>
            <a:ext uri="{FF2B5EF4-FFF2-40B4-BE49-F238E27FC236}">
              <a16:creationId xmlns:a16="http://schemas.microsoft.com/office/drawing/2014/main" id="{00000000-0008-0000-0700-000031000000}"/>
            </a:ext>
          </a:extLst>
        </xdr:cNvPr>
        <xdr:cNvSpPr/>
      </xdr:nvSpPr>
      <xdr:spPr>
        <a:xfrm>
          <a:off x="11367408" y="1510393"/>
          <a:ext cx="4248000" cy="3565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en-US" sz="900">
              <a:solidFill>
                <a:sysClr val="windowText" lastClr="000000"/>
              </a:solidFill>
              <a:effectLst/>
              <a:latin typeface="+mn-lt"/>
              <a:ea typeface="+mn-ea"/>
              <a:cs typeface="+mn-cs"/>
            </a:rPr>
            <a:t>ホスティングサービス提供者様</a:t>
          </a:r>
          <a:r>
            <a:rPr kumimoji="1" lang="ja-JP" altLang="ja-JP" sz="900">
              <a:solidFill>
                <a:sysClr val="windowText" lastClr="000000"/>
              </a:solidFill>
              <a:effectLst/>
              <a:latin typeface="+mn-lt"/>
              <a:ea typeface="+mn-ea"/>
              <a:cs typeface="+mn-cs"/>
            </a:rPr>
            <a:t>へ販売される販売店様の情報をご記入ください。</a:t>
          </a:r>
          <a:endParaRPr lang="ja-JP" altLang="ja-JP" sz="900">
            <a:solidFill>
              <a:sysClr val="windowText" lastClr="000000"/>
            </a:solidFill>
            <a:effectLst/>
          </a:endParaRPr>
        </a:p>
      </xdr:txBody>
    </xdr:sp>
    <xdr:clientData/>
  </xdr:twoCellAnchor>
  <xdr:twoCellAnchor>
    <xdr:from>
      <xdr:col>116</xdr:col>
      <xdr:colOff>92365</xdr:colOff>
      <xdr:row>14</xdr:row>
      <xdr:rowOff>28575</xdr:rowOff>
    </xdr:from>
    <xdr:to>
      <xdr:col>116</xdr:col>
      <xdr:colOff>344365</xdr:colOff>
      <xdr:row>16</xdr:row>
      <xdr:rowOff>90075</xdr:rowOff>
    </xdr:to>
    <xdr:sp macro="" textlink="">
      <xdr:nvSpPr>
        <xdr:cNvPr id="50" name="フローチャート : 結合子 26">
          <a:extLst>
            <a:ext uri="{FF2B5EF4-FFF2-40B4-BE49-F238E27FC236}">
              <a16:creationId xmlns:a16="http://schemas.microsoft.com/office/drawing/2014/main" id="{00000000-0008-0000-0700-000032000000}"/>
            </a:ext>
          </a:extLst>
        </xdr:cNvPr>
        <xdr:cNvSpPr/>
      </xdr:nvSpPr>
      <xdr:spPr>
        <a:xfrm>
          <a:off x="11255665" y="13620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3</a:t>
          </a:r>
        </a:p>
      </xdr:txBody>
    </xdr:sp>
    <xdr:clientData/>
  </xdr:twoCellAnchor>
  <xdr:twoCellAnchor>
    <xdr:from>
      <xdr:col>57</xdr:col>
      <xdr:colOff>0</xdr:colOff>
      <xdr:row>39</xdr:row>
      <xdr:rowOff>66674</xdr:rowOff>
    </xdr:from>
    <xdr:to>
      <xdr:col>59</xdr:col>
      <xdr:colOff>61500</xdr:colOff>
      <xdr:row>42</xdr:row>
      <xdr:rowOff>32924</xdr:rowOff>
    </xdr:to>
    <xdr:sp macro="" textlink="">
      <xdr:nvSpPr>
        <xdr:cNvPr id="52" name="フローチャート : 結合子 10">
          <a:extLst>
            <a:ext uri="{FF2B5EF4-FFF2-40B4-BE49-F238E27FC236}">
              <a16:creationId xmlns:a16="http://schemas.microsoft.com/office/drawing/2014/main" id="{00000000-0008-0000-0700-000034000000}"/>
            </a:ext>
          </a:extLst>
        </xdr:cNvPr>
        <xdr:cNvSpPr/>
      </xdr:nvSpPr>
      <xdr:spPr>
        <a:xfrm>
          <a:off x="5543550" y="3781424"/>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56</xdr:col>
      <xdr:colOff>76199</xdr:colOff>
      <xdr:row>58</xdr:row>
      <xdr:rowOff>76200</xdr:rowOff>
    </xdr:from>
    <xdr:to>
      <xdr:col>59</xdr:col>
      <xdr:colOff>42449</xdr:colOff>
      <xdr:row>61</xdr:row>
      <xdr:rowOff>42450</xdr:rowOff>
    </xdr:to>
    <xdr:sp macro="" textlink="">
      <xdr:nvSpPr>
        <xdr:cNvPr id="54" name="フローチャート : 結合子 10">
          <a:extLst>
            <a:ext uri="{FF2B5EF4-FFF2-40B4-BE49-F238E27FC236}">
              <a16:creationId xmlns:a16="http://schemas.microsoft.com/office/drawing/2014/main" id="{00000000-0008-0000-0700-000036000000}"/>
            </a:ext>
          </a:extLst>
        </xdr:cNvPr>
        <xdr:cNvSpPr/>
      </xdr:nvSpPr>
      <xdr:spPr>
        <a:xfrm>
          <a:off x="5524499" y="56007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204108</xdr:colOff>
      <xdr:row>22</xdr:row>
      <xdr:rowOff>14968</xdr:rowOff>
    </xdr:from>
    <xdr:to>
      <xdr:col>151</xdr:col>
      <xdr:colOff>51558</xdr:colOff>
      <xdr:row>27</xdr:row>
      <xdr:rowOff>9525</xdr:rowOff>
    </xdr:to>
    <xdr:sp macro="" textlink="">
      <xdr:nvSpPr>
        <xdr:cNvPr id="55" name="正方形/長方形 54">
          <a:extLst>
            <a:ext uri="{FF2B5EF4-FFF2-40B4-BE49-F238E27FC236}">
              <a16:creationId xmlns:a16="http://schemas.microsoft.com/office/drawing/2014/main" id="{00000000-0008-0000-0700-000037000000}"/>
            </a:ext>
          </a:extLst>
        </xdr:cNvPr>
        <xdr:cNvSpPr/>
      </xdr:nvSpPr>
      <xdr:spPr>
        <a:xfrm>
          <a:off x="11367408" y="2110468"/>
          <a:ext cx="4248000" cy="47080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en-US" sz="900">
              <a:solidFill>
                <a:sysClr val="windowText" lastClr="000000"/>
              </a:solidFill>
              <a:effectLst/>
              <a:latin typeface="+mn-lt"/>
              <a:ea typeface="+mn-ea"/>
              <a:cs typeface="+mn-cs"/>
            </a:rPr>
            <a:t>入力された担当者アドレスへ更新案内や各種情報のご案内が行われます。</a:t>
          </a:r>
        </a:p>
        <a:p>
          <a:r>
            <a:rPr kumimoji="1" lang="ja-JP" altLang="en-US" sz="900">
              <a:solidFill>
                <a:sysClr val="windowText" lastClr="000000"/>
              </a:solidFill>
              <a:effectLst/>
              <a:latin typeface="+mn-lt"/>
              <a:ea typeface="+mn-ea"/>
              <a:cs typeface="+mn-cs"/>
            </a:rPr>
            <a:t>ご案内を望まない場合は</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いいえ</a:t>
          </a:r>
          <a:r>
            <a:rPr kumimoji="1" lang="en-US" altLang="ja-JP" sz="900">
              <a:solidFill>
                <a:sysClr val="windowText" lastClr="000000"/>
              </a:solidFill>
              <a:effectLst/>
              <a:latin typeface="+mn-lt"/>
              <a:ea typeface="+mn-ea"/>
              <a:cs typeface="+mn-cs"/>
            </a:rPr>
            <a:t>"</a:t>
          </a:r>
          <a:r>
            <a:rPr kumimoji="1" lang="ja-JP" altLang="en-US" sz="900">
              <a:solidFill>
                <a:sysClr val="windowText" lastClr="000000"/>
              </a:solidFill>
              <a:effectLst/>
              <a:latin typeface="+mn-lt"/>
              <a:ea typeface="+mn-ea"/>
              <a:cs typeface="+mn-cs"/>
            </a:rPr>
            <a:t>をご選択下さい。</a:t>
          </a:r>
        </a:p>
      </xdr:txBody>
    </xdr:sp>
    <xdr:clientData/>
  </xdr:twoCellAnchor>
  <xdr:twoCellAnchor>
    <xdr:from>
      <xdr:col>116</xdr:col>
      <xdr:colOff>92365</xdr:colOff>
      <xdr:row>20</xdr:row>
      <xdr:rowOff>57150</xdr:rowOff>
    </xdr:from>
    <xdr:to>
      <xdr:col>116</xdr:col>
      <xdr:colOff>344365</xdr:colOff>
      <xdr:row>23</xdr:row>
      <xdr:rowOff>23400</xdr:rowOff>
    </xdr:to>
    <xdr:sp macro="" textlink="">
      <xdr:nvSpPr>
        <xdr:cNvPr id="56" name="フローチャート : 結合子 26">
          <a:extLst>
            <a:ext uri="{FF2B5EF4-FFF2-40B4-BE49-F238E27FC236}">
              <a16:creationId xmlns:a16="http://schemas.microsoft.com/office/drawing/2014/main" id="{00000000-0008-0000-0700-000038000000}"/>
            </a:ext>
          </a:extLst>
        </xdr:cNvPr>
        <xdr:cNvSpPr/>
      </xdr:nvSpPr>
      <xdr:spPr>
        <a:xfrm>
          <a:off x="11255665" y="19621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4</a:t>
          </a:r>
        </a:p>
      </xdr:txBody>
    </xdr:sp>
    <xdr:clientData/>
  </xdr:twoCellAnchor>
  <xdr:twoCellAnchor>
    <xdr:from>
      <xdr:col>116</xdr:col>
      <xdr:colOff>204108</xdr:colOff>
      <xdr:row>35</xdr:row>
      <xdr:rowOff>72118</xdr:rowOff>
    </xdr:from>
    <xdr:to>
      <xdr:col>151</xdr:col>
      <xdr:colOff>51558</xdr:colOff>
      <xdr:row>44</xdr:row>
      <xdr:rowOff>9525</xdr:rowOff>
    </xdr:to>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11367408" y="3405868"/>
          <a:ext cx="4248000" cy="794657"/>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ja-JP" altLang="ja-JP" sz="900">
              <a:solidFill>
                <a:sysClr val="windowText" lastClr="000000"/>
              </a:solidFill>
              <a:effectLst/>
              <a:latin typeface="+mn-lt"/>
              <a:ea typeface="+mn-ea"/>
              <a:cs typeface="+mn-cs"/>
            </a:rPr>
            <a:t>まず、右上のボックスでエンドユーザー様へ販売される販売店様と</a:t>
          </a:r>
          <a:endParaRPr kumimoji="1" lang="en-US" altLang="ja-JP" sz="900">
            <a:solidFill>
              <a:sysClr val="windowText" lastClr="000000"/>
            </a:solidFill>
            <a:effectLst/>
            <a:latin typeface="+mn-lt"/>
            <a:ea typeface="+mn-ea"/>
            <a:cs typeface="+mn-cs"/>
          </a:endParaRPr>
        </a:p>
        <a:p>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同じ</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異なる</a:t>
          </a:r>
          <a:r>
            <a:rPr kumimoji="1" lang="en-US" altLang="ja-JP" sz="900">
              <a:solidFill>
                <a:sysClr val="windowText" lastClr="000000"/>
              </a:solidFill>
              <a:effectLst/>
              <a:latin typeface="+mn-lt"/>
              <a:ea typeface="+mn-ea"/>
              <a:cs typeface="+mn-cs"/>
            </a:rPr>
            <a:t>"</a:t>
          </a:r>
          <a:r>
            <a:rPr kumimoji="1" lang="ja-JP" altLang="ja-JP" sz="900">
              <a:solidFill>
                <a:sysClr val="windowText" lastClr="000000"/>
              </a:solidFill>
              <a:effectLst/>
              <a:latin typeface="+mn-lt"/>
              <a:ea typeface="+mn-ea"/>
              <a:cs typeface="+mn-cs"/>
            </a:rPr>
            <a:t>をご選択下さい。</a:t>
          </a:r>
          <a:r>
            <a:rPr kumimoji="1" lang="en-US" altLang="ja-JP" sz="900" baseline="0">
              <a:solidFill>
                <a:sysClr val="windowText" lastClr="000000"/>
              </a:solidFill>
              <a:effectLst/>
              <a:latin typeface="+mn-lt"/>
              <a:ea typeface="+mn-ea"/>
              <a:cs typeface="+mn-cs"/>
            </a:rPr>
            <a:t> </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同じ</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 </a:t>
          </a:r>
          <a:r>
            <a:rPr kumimoji="1" lang="ja-JP" altLang="ja-JP" sz="900" baseline="0">
              <a:solidFill>
                <a:sysClr val="windowText" lastClr="000000"/>
              </a:solidFill>
              <a:effectLst/>
              <a:latin typeface="+mn-lt"/>
              <a:ea typeface="+mn-ea"/>
              <a:cs typeface="+mn-cs"/>
            </a:rPr>
            <a:t>その他の欄はご記入不要です。</a:t>
          </a:r>
          <a:endParaRPr lang="ja-JP" altLang="ja-JP" sz="900">
            <a:solidFill>
              <a:sysClr val="windowText" lastClr="000000"/>
            </a:solidFill>
            <a:effectLst/>
          </a:endParaRPr>
        </a:p>
        <a:p>
          <a:r>
            <a:rPr kumimoji="1" lang="ja-JP" altLang="en-US" sz="900" baseline="0">
              <a:solidFill>
                <a:sysClr val="windowText" lastClr="000000"/>
              </a:solidFill>
              <a:effectLst/>
              <a:latin typeface="+mn-lt"/>
              <a:ea typeface="+mn-ea"/>
              <a:cs typeface="+mn-cs"/>
            </a:rPr>
            <a:t>・</a:t>
          </a:r>
          <a:r>
            <a:rPr kumimoji="1" lang="en-US" altLang="ja-JP" sz="900" baseline="0">
              <a:solidFill>
                <a:sysClr val="windowText" lastClr="000000"/>
              </a:solidFill>
              <a:effectLst/>
              <a:latin typeface="+mn-lt"/>
              <a:ea typeface="+mn-ea"/>
              <a:cs typeface="+mn-cs"/>
            </a:rPr>
            <a:t>"</a:t>
          </a:r>
          <a:r>
            <a:rPr kumimoji="1" lang="ja-JP" altLang="ja-JP" sz="900" baseline="0">
              <a:solidFill>
                <a:sysClr val="windowText" lastClr="000000"/>
              </a:solidFill>
              <a:effectLst/>
              <a:latin typeface="+mn-lt"/>
              <a:ea typeface="+mn-ea"/>
              <a:cs typeface="+mn-cs"/>
            </a:rPr>
            <a:t>異なる</a:t>
          </a:r>
          <a:r>
            <a:rPr kumimoji="1" lang="en-US"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a:t>
          </a:r>
          <a:r>
            <a:rPr kumimoji="1" lang="ja-JP" altLang="ja-JP" sz="900" baseline="0">
              <a:solidFill>
                <a:sysClr val="windowText" lastClr="000000"/>
              </a:solidFill>
              <a:effectLst/>
              <a:latin typeface="+mn-lt"/>
              <a:ea typeface="+mn-ea"/>
              <a:cs typeface="+mn-cs"/>
            </a:rPr>
            <a:t>→</a:t>
          </a:r>
          <a:r>
            <a:rPr kumimoji="1" lang="ja-JP" altLang="en-US" sz="900" baseline="0">
              <a:solidFill>
                <a:sysClr val="windowText" lastClr="000000"/>
              </a:solidFill>
              <a:effectLst/>
              <a:latin typeface="+mn-lt"/>
              <a:ea typeface="+mn-ea"/>
              <a:cs typeface="+mn-cs"/>
            </a:rPr>
            <a:t> 販売店様情報</a:t>
          </a:r>
          <a:r>
            <a:rPr kumimoji="1" lang="ja-JP" altLang="ja-JP" sz="900" baseline="0">
              <a:solidFill>
                <a:sysClr val="windowText" lastClr="000000"/>
              </a:solidFill>
              <a:effectLst/>
              <a:latin typeface="+mn-lt"/>
              <a:ea typeface="+mn-ea"/>
              <a:cs typeface="+mn-cs"/>
            </a:rPr>
            <a:t>を全てご記入ください。</a:t>
          </a:r>
          <a:endParaRPr lang="ja-JP" altLang="ja-JP" sz="900">
            <a:solidFill>
              <a:sysClr val="windowText" lastClr="000000"/>
            </a:solidFill>
            <a:effectLst/>
          </a:endParaRPr>
        </a:p>
      </xdr:txBody>
    </xdr:sp>
    <xdr:clientData/>
  </xdr:twoCellAnchor>
  <xdr:twoCellAnchor>
    <xdr:from>
      <xdr:col>116</xdr:col>
      <xdr:colOff>92365</xdr:colOff>
      <xdr:row>34</xdr:row>
      <xdr:rowOff>19050</xdr:rowOff>
    </xdr:from>
    <xdr:to>
      <xdr:col>116</xdr:col>
      <xdr:colOff>344365</xdr:colOff>
      <xdr:row>36</xdr:row>
      <xdr:rowOff>80550</xdr:rowOff>
    </xdr:to>
    <xdr:sp macro="" textlink="">
      <xdr:nvSpPr>
        <xdr:cNvPr id="59" name="フローチャート : 結合子 26">
          <a:extLst>
            <a:ext uri="{FF2B5EF4-FFF2-40B4-BE49-F238E27FC236}">
              <a16:creationId xmlns:a16="http://schemas.microsoft.com/office/drawing/2014/main" id="{00000000-0008-0000-0700-00003B000000}"/>
            </a:ext>
          </a:extLst>
        </xdr:cNvPr>
        <xdr:cNvSpPr/>
      </xdr:nvSpPr>
      <xdr:spPr>
        <a:xfrm>
          <a:off x="11255665" y="32575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32</xdr:col>
      <xdr:colOff>47623</xdr:colOff>
      <xdr:row>77</xdr:row>
      <xdr:rowOff>76200</xdr:rowOff>
    </xdr:from>
    <xdr:to>
      <xdr:col>35</xdr:col>
      <xdr:colOff>13873</xdr:colOff>
      <xdr:row>80</xdr:row>
      <xdr:rowOff>23400</xdr:rowOff>
    </xdr:to>
    <xdr:sp macro="" textlink="">
      <xdr:nvSpPr>
        <xdr:cNvPr id="61" name="フローチャート : 結合子 10">
          <a:extLst>
            <a:ext uri="{FF2B5EF4-FFF2-40B4-BE49-F238E27FC236}">
              <a16:creationId xmlns:a16="http://schemas.microsoft.com/office/drawing/2014/main" id="{00000000-0008-0000-0700-00003D000000}"/>
            </a:ext>
          </a:extLst>
        </xdr:cNvPr>
        <xdr:cNvSpPr/>
      </xdr:nvSpPr>
      <xdr:spPr>
        <a:xfrm>
          <a:off x="3209923" y="66960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113</xdr:col>
      <xdr:colOff>66674</xdr:colOff>
      <xdr:row>19</xdr:row>
      <xdr:rowOff>38100</xdr:rowOff>
    </xdr:from>
    <xdr:to>
      <xdr:col>116</xdr:col>
      <xdr:colOff>32924</xdr:colOff>
      <xdr:row>22</xdr:row>
      <xdr:rowOff>4350</xdr:rowOff>
    </xdr:to>
    <xdr:sp macro="" textlink="">
      <xdr:nvSpPr>
        <xdr:cNvPr id="64" name="フローチャート : 結合子 10">
          <a:extLst>
            <a:ext uri="{FF2B5EF4-FFF2-40B4-BE49-F238E27FC236}">
              <a16:creationId xmlns:a16="http://schemas.microsoft.com/office/drawing/2014/main" id="{00000000-0008-0000-0700-000040000000}"/>
            </a:ext>
          </a:extLst>
        </xdr:cNvPr>
        <xdr:cNvSpPr/>
      </xdr:nvSpPr>
      <xdr:spPr>
        <a:xfrm>
          <a:off x="10944224" y="18478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116</xdr:col>
      <xdr:colOff>204108</xdr:colOff>
      <xdr:row>29</xdr:row>
      <xdr:rowOff>43544</xdr:rowOff>
    </xdr:from>
    <xdr:to>
      <xdr:col>151</xdr:col>
      <xdr:colOff>51558</xdr:colOff>
      <xdr:row>33</xdr:row>
      <xdr:rowOff>0</xdr:rowOff>
    </xdr:to>
    <xdr:sp macro="" textlink="">
      <xdr:nvSpPr>
        <xdr:cNvPr id="65" name="正方形/長方形 64">
          <a:extLst>
            <a:ext uri="{FF2B5EF4-FFF2-40B4-BE49-F238E27FC236}">
              <a16:creationId xmlns:a16="http://schemas.microsoft.com/office/drawing/2014/main" id="{00000000-0008-0000-0700-000041000000}"/>
            </a:ext>
          </a:extLst>
        </xdr:cNvPr>
        <xdr:cNvSpPr/>
      </xdr:nvSpPr>
      <xdr:spPr>
        <a:xfrm>
          <a:off x="11367408" y="2805794"/>
          <a:ext cx="4248000" cy="337456"/>
        </a:xfrm>
        <a:prstGeom prst="rect">
          <a:avLst/>
        </a:prstGeom>
        <a:solidFill>
          <a:srgbClr val="FFEBFF"/>
        </a:solidFill>
        <a:ln w="44450">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900">
              <a:solidFill>
                <a:sysClr val="windowText" lastClr="000000"/>
              </a:solidFill>
            </a:rPr>
            <a:t>エンドユーザー様の情報をご記入ください。</a:t>
          </a:r>
        </a:p>
      </xdr:txBody>
    </xdr:sp>
    <xdr:clientData/>
  </xdr:twoCellAnchor>
  <xdr:twoCellAnchor>
    <xdr:from>
      <xdr:col>116</xdr:col>
      <xdr:colOff>92365</xdr:colOff>
      <xdr:row>28</xdr:row>
      <xdr:rowOff>9525</xdr:rowOff>
    </xdr:from>
    <xdr:to>
      <xdr:col>116</xdr:col>
      <xdr:colOff>344365</xdr:colOff>
      <xdr:row>30</xdr:row>
      <xdr:rowOff>71025</xdr:rowOff>
    </xdr:to>
    <xdr:sp macro="" textlink="">
      <xdr:nvSpPr>
        <xdr:cNvPr id="66" name="フローチャート : 結合子 26">
          <a:extLst>
            <a:ext uri="{FF2B5EF4-FFF2-40B4-BE49-F238E27FC236}">
              <a16:creationId xmlns:a16="http://schemas.microsoft.com/office/drawing/2014/main" id="{00000000-0008-0000-0700-000042000000}"/>
            </a:ext>
          </a:extLst>
        </xdr:cNvPr>
        <xdr:cNvSpPr/>
      </xdr:nvSpPr>
      <xdr:spPr>
        <a:xfrm>
          <a:off x="11255665" y="267652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5</a:t>
          </a:r>
        </a:p>
      </xdr:txBody>
    </xdr:sp>
    <xdr:clientData/>
  </xdr:twoCellAnchor>
  <xdr:twoCellAnchor>
    <xdr:from>
      <xdr:col>113</xdr:col>
      <xdr:colOff>66674</xdr:colOff>
      <xdr:row>30</xdr:row>
      <xdr:rowOff>57150</xdr:rowOff>
    </xdr:from>
    <xdr:to>
      <xdr:col>116</xdr:col>
      <xdr:colOff>32924</xdr:colOff>
      <xdr:row>33</xdr:row>
      <xdr:rowOff>23400</xdr:rowOff>
    </xdr:to>
    <xdr:sp macro="" textlink="">
      <xdr:nvSpPr>
        <xdr:cNvPr id="44" name="フローチャート : 結合子 10">
          <a:extLst>
            <a:ext uri="{FF2B5EF4-FFF2-40B4-BE49-F238E27FC236}">
              <a16:creationId xmlns:a16="http://schemas.microsoft.com/office/drawing/2014/main" id="{00000000-0008-0000-0700-00002C000000}"/>
            </a:ext>
          </a:extLst>
        </xdr:cNvPr>
        <xdr:cNvSpPr/>
      </xdr:nvSpPr>
      <xdr:spPr>
        <a:xfrm>
          <a:off x="10944224" y="291465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6</a:t>
          </a:r>
        </a:p>
      </xdr:txBody>
    </xdr:sp>
    <xdr:clientData/>
  </xdr:twoCellAnchor>
  <xdr:twoCellAnchor>
    <xdr:from>
      <xdr:col>116</xdr:col>
      <xdr:colOff>114300</xdr:colOff>
      <xdr:row>84</xdr:row>
      <xdr:rowOff>76200</xdr:rowOff>
    </xdr:from>
    <xdr:to>
      <xdr:col>116</xdr:col>
      <xdr:colOff>366300</xdr:colOff>
      <xdr:row>87</xdr:row>
      <xdr:rowOff>47625</xdr:rowOff>
    </xdr:to>
    <xdr:sp macro="" textlink="">
      <xdr:nvSpPr>
        <xdr:cNvPr id="67" name="フローチャート : 結合子 10">
          <a:extLst>
            <a:ext uri="{FF2B5EF4-FFF2-40B4-BE49-F238E27FC236}">
              <a16:creationId xmlns:a16="http://schemas.microsoft.com/office/drawing/2014/main" id="{00000000-0008-0000-0700-000043000000}"/>
            </a:ext>
          </a:extLst>
        </xdr:cNvPr>
        <xdr:cNvSpPr/>
      </xdr:nvSpPr>
      <xdr:spPr>
        <a:xfrm>
          <a:off x="11630025" y="8172450"/>
          <a:ext cx="252000" cy="257175"/>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000" b="1">
            <a:solidFill>
              <a:sysClr val="windowText" lastClr="000000"/>
            </a:solidFill>
            <a:latin typeface="+mn-ea"/>
            <a:ea typeface="+mn-ea"/>
          </a:endParaRPr>
        </a:p>
      </xdr:txBody>
    </xdr:sp>
    <xdr:clientData/>
  </xdr:twoCellAnchor>
  <xdr:oneCellAnchor>
    <xdr:from>
      <xdr:col>116</xdr:col>
      <xdr:colOff>61912</xdr:colOff>
      <xdr:row>84</xdr:row>
      <xdr:rowOff>66675</xdr:rowOff>
    </xdr:from>
    <xdr:ext cx="312906" cy="259045"/>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1225212" y="8162925"/>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b="1">
              <a:latin typeface="+mn-ea"/>
              <a:ea typeface="+mn-ea"/>
            </a:rPr>
            <a:t>10</a:t>
          </a:r>
          <a:endParaRPr kumimoji="1" lang="ja-JP" altLang="en-US" sz="1000" b="1">
            <a:latin typeface="+mn-ea"/>
            <a:ea typeface="+mn-ea"/>
          </a:endParaRPr>
        </a:p>
      </xdr:txBody>
    </xdr:sp>
    <xdr:clientData/>
  </xdr:oneCellAnchor>
  <xdr:twoCellAnchor>
    <xdr:from>
      <xdr:col>113</xdr:col>
      <xdr:colOff>28574</xdr:colOff>
      <xdr:row>56</xdr:row>
      <xdr:rowOff>0</xdr:rowOff>
    </xdr:from>
    <xdr:to>
      <xdr:col>115</xdr:col>
      <xdr:colOff>90074</xdr:colOff>
      <xdr:row>58</xdr:row>
      <xdr:rowOff>61500</xdr:rowOff>
    </xdr:to>
    <xdr:sp macro="" textlink="">
      <xdr:nvSpPr>
        <xdr:cNvPr id="69" name="フローチャート : 結合子 10">
          <a:extLst>
            <a:ext uri="{FF2B5EF4-FFF2-40B4-BE49-F238E27FC236}">
              <a16:creationId xmlns:a16="http://schemas.microsoft.com/office/drawing/2014/main" id="{00000000-0008-0000-0700-000045000000}"/>
            </a:ext>
          </a:extLst>
        </xdr:cNvPr>
        <xdr:cNvSpPr/>
      </xdr:nvSpPr>
      <xdr:spPr>
        <a:xfrm>
          <a:off x="10906124" y="5334000"/>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7</a:t>
          </a:r>
        </a:p>
      </xdr:txBody>
    </xdr:sp>
    <xdr:clientData/>
  </xdr:twoCellAnchor>
  <xdr:twoCellAnchor>
    <xdr:from>
      <xdr:col>116</xdr:col>
      <xdr:colOff>92365</xdr:colOff>
      <xdr:row>61</xdr:row>
      <xdr:rowOff>47625</xdr:rowOff>
    </xdr:from>
    <xdr:to>
      <xdr:col>116</xdr:col>
      <xdr:colOff>344365</xdr:colOff>
      <xdr:row>64</xdr:row>
      <xdr:rowOff>13875</xdr:rowOff>
    </xdr:to>
    <xdr:sp macro="" textlink="">
      <xdr:nvSpPr>
        <xdr:cNvPr id="70" name="フローチャート : 結合子 26">
          <a:extLst>
            <a:ext uri="{FF2B5EF4-FFF2-40B4-BE49-F238E27FC236}">
              <a16:creationId xmlns:a16="http://schemas.microsoft.com/office/drawing/2014/main" id="{00000000-0008-0000-0700-000046000000}"/>
            </a:ext>
          </a:extLst>
        </xdr:cNvPr>
        <xdr:cNvSpPr/>
      </xdr:nvSpPr>
      <xdr:spPr>
        <a:xfrm>
          <a:off x="11255665" y="5857875"/>
          <a:ext cx="252000" cy="252000"/>
        </a:xfrm>
        <a:prstGeom prst="flowChartConnector">
          <a:avLst/>
        </a:prstGeom>
        <a:solidFill>
          <a:srgbClr val="FFEBFF"/>
        </a:solidFill>
        <a:ln>
          <a:solidFill>
            <a:srgbClr val="F4A6D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000" b="1">
              <a:solidFill>
                <a:sysClr val="windowText" lastClr="000000"/>
              </a:solidFill>
              <a:latin typeface="+mn-ea"/>
              <a:ea typeface="+mn-ea"/>
            </a:rPr>
            <a:t>8</a:t>
          </a:r>
        </a:p>
      </xdr:txBody>
    </xdr:sp>
    <xdr:clientData/>
  </xdr:twoCellAnchor>
  <xdr:twoCellAnchor>
    <xdr:from>
      <xdr:col>116</xdr:col>
      <xdr:colOff>254000</xdr:colOff>
      <xdr:row>150</xdr:row>
      <xdr:rowOff>29633</xdr:rowOff>
    </xdr:from>
    <xdr:to>
      <xdr:col>169</xdr:col>
      <xdr:colOff>313248</xdr:colOff>
      <xdr:row>167</xdr:row>
      <xdr:rowOff>9304</xdr:rowOff>
    </xdr:to>
    <xdr:sp macro="" textlink="">
      <xdr:nvSpPr>
        <xdr:cNvPr id="2" name="正方形/長方形 1">
          <a:extLst>
            <a:ext uri="{FF2B5EF4-FFF2-40B4-BE49-F238E27FC236}">
              <a16:creationId xmlns:a16="http://schemas.microsoft.com/office/drawing/2014/main" id="{407879C5-847F-4CB7-B0A7-0143E54316D9}"/>
            </a:ext>
          </a:extLst>
        </xdr:cNvPr>
        <xdr:cNvSpPr/>
      </xdr:nvSpPr>
      <xdr:spPr>
        <a:xfrm>
          <a:off x="10636250" y="11669183"/>
          <a:ext cx="5574223" cy="1637021"/>
        </a:xfrm>
        <a:prstGeom prst="rect">
          <a:avLst/>
        </a:prstGeom>
        <a:solidFill>
          <a:schemeClr val="accent1">
            <a:lumMod val="20000"/>
            <a:lumOff val="80000"/>
          </a:schemeClr>
        </a:solidFill>
        <a:ln w="444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latinLnBrk="0" hangingPunct="1"/>
          <a:r>
            <a:rPr lang="ja-JP" altLang="en-US" sz="900" b="0" i="0">
              <a:solidFill>
                <a:schemeClr val="tx1"/>
              </a:solidFill>
              <a:effectLst/>
              <a:latin typeface="+mn-lt"/>
              <a:ea typeface="+mn-ea"/>
              <a:cs typeface="+mn-cs"/>
            </a:rPr>
            <a:t>「脅威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ブロック」の無償付与に関して</a:t>
          </a:r>
        </a:p>
        <a:p>
          <a:pPr rtl="0" eaLnBrk="1" latinLnBrk="0" hangingPunct="1"/>
          <a:r>
            <a:rPr lang="ja-JP" altLang="en-US" sz="900" b="0" i="0">
              <a:solidFill>
                <a:schemeClr val="tx1"/>
              </a:solidFill>
              <a:effectLst/>
              <a:latin typeface="+mn-lt"/>
              <a:ea typeface="+mn-ea"/>
              <a:cs typeface="+mn-cs"/>
            </a:rPr>
            <a:t>以下の場合、「脅威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ブロック」オプションを無償で利用することが可能です。</a:t>
          </a:r>
          <a:endParaRPr lang="en-US" altLang="ja-JP" sz="900" b="0" i="0">
            <a:solidFill>
              <a:schemeClr val="tx1"/>
            </a:solidFill>
            <a:effectLst/>
            <a:latin typeface="+mn-lt"/>
            <a:ea typeface="+mn-ea"/>
            <a:cs typeface="+mn-cs"/>
          </a:endParaRPr>
        </a:p>
        <a:p>
          <a:pPr rtl="0" eaLnBrk="1" latinLnBrk="0" hangingPunct="1"/>
          <a:r>
            <a:rPr lang="ja-JP" altLang="en-US" sz="900" b="1" i="0">
              <a:solidFill>
                <a:sysClr val="windowText" lastClr="000000"/>
              </a:solidFill>
              <a:effectLst/>
              <a:latin typeface="+mn-lt"/>
              <a:ea typeface="+mn-ea"/>
              <a:cs typeface="+mn-cs"/>
            </a:rPr>
            <a:t>既に保有している、または新規に購入する「</a:t>
          </a:r>
          <a:r>
            <a:rPr lang="en-US" altLang="ja-JP" sz="900" b="1" i="0">
              <a:solidFill>
                <a:sysClr val="windowText" lastClr="000000"/>
              </a:solidFill>
              <a:effectLst/>
              <a:latin typeface="+mn-lt"/>
              <a:ea typeface="+mn-ea"/>
              <a:cs typeface="+mn-cs"/>
            </a:rPr>
            <a:t>i-FILTER</a:t>
          </a:r>
          <a:r>
            <a:rPr lang="ja-JP" altLang="en-US" sz="900" b="1" i="0">
              <a:solidFill>
                <a:sysClr val="windowText" lastClr="000000"/>
              </a:solidFill>
              <a:effectLst/>
              <a:latin typeface="+mn-lt"/>
              <a:ea typeface="+mn-ea"/>
              <a:cs typeface="+mn-cs"/>
            </a:rPr>
            <a:t>」「</a:t>
          </a:r>
          <a:r>
            <a:rPr lang="en-US" altLang="ja-JP" sz="900" b="1" i="0">
              <a:solidFill>
                <a:sysClr val="windowText" lastClr="000000"/>
              </a:solidFill>
              <a:effectLst/>
              <a:latin typeface="+mn-lt"/>
              <a:ea typeface="+mn-ea"/>
              <a:cs typeface="+mn-cs"/>
            </a:rPr>
            <a:t>i-FILTER@Cloud</a:t>
          </a:r>
          <a:r>
            <a:rPr lang="ja-JP" altLang="en-US" sz="900" b="1" i="0">
              <a:solidFill>
                <a:sysClr val="windowText" lastClr="000000"/>
              </a:solidFill>
              <a:effectLst/>
              <a:latin typeface="+mn-lt"/>
              <a:ea typeface="+mn-ea"/>
              <a:cs typeface="+mn-cs"/>
            </a:rPr>
            <a:t>」「</a:t>
          </a:r>
          <a:r>
            <a:rPr lang="en-US" altLang="ja-JP" sz="900" b="1" i="0">
              <a:solidFill>
                <a:sysClr val="windowText" lastClr="000000"/>
              </a:solidFill>
              <a:effectLst/>
              <a:latin typeface="+mn-lt"/>
              <a:ea typeface="+mn-ea"/>
              <a:cs typeface="+mn-cs"/>
            </a:rPr>
            <a:t>Z-FILTER</a:t>
          </a:r>
          <a:r>
            <a:rPr lang="ja-JP" altLang="en-US" sz="900" b="1" i="0">
              <a:solidFill>
                <a:sysClr val="windowText" lastClr="000000"/>
              </a:solidFill>
              <a:effectLst/>
              <a:latin typeface="+mn-lt"/>
              <a:ea typeface="+mn-ea"/>
              <a:cs typeface="+mn-cs"/>
            </a:rPr>
            <a:t>」のライセンス数が、</a:t>
          </a:r>
          <a:endParaRPr lang="en-US" altLang="ja-JP" sz="900" b="1" i="0">
            <a:solidFill>
              <a:sysClr val="windowText" lastClr="000000"/>
            </a:solidFill>
            <a:effectLst/>
            <a:latin typeface="+mn-lt"/>
            <a:ea typeface="+mn-ea"/>
            <a:cs typeface="+mn-cs"/>
          </a:endParaRPr>
        </a:p>
        <a:p>
          <a:pPr rtl="0" eaLnBrk="1" latinLnBrk="0" hangingPunct="1"/>
          <a:r>
            <a:rPr lang="ja-JP" altLang="en-US" sz="900" b="1" i="0">
              <a:solidFill>
                <a:srgbClr val="FF0000"/>
              </a:solidFill>
              <a:effectLst/>
              <a:latin typeface="+mn-lt"/>
              <a:ea typeface="+mn-ea"/>
              <a:cs typeface="+mn-cs"/>
            </a:rPr>
            <a:t>利用する「</a:t>
          </a:r>
          <a:r>
            <a:rPr lang="en-US" altLang="ja-JP" sz="900" b="1" i="0">
              <a:solidFill>
                <a:srgbClr val="FF0000"/>
              </a:solidFill>
              <a:effectLst/>
              <a:latin typeface="+mn-lt"/>
              <a:ea typeface="+mn-ea"/>
              <a:cs typeface="+mn-cs"/>
            </a:rPr>
            <a:t>m-FILTER</a:t>
          </a:r>
          <a:r>
            <a:rPr lang="ja-JP" altLang="en-US" sz="900" b="1" i="0">
              <a:solidFill>
                <a:srgbClr val="FF0000"/>
              </a:solidFill>
              <a:effectLst/>
              <a:latin typeface="+mn-lt"/>
              <a:ea typeface="+mn-ea"/>
              <a:cs typeface="+mn-cs"/>
            </a:rPr>
            <a:t>」のライセンス数の </a:t>
          </a:r>
          <a:r>
            <a:rPr lang="en-US" altLang="ja-JP" sz="900" b="1" i="0">
              <a:solidFill>
                <a:srgbClr val="FF0000"/>
              </a:solidFill>
              <a:effectLst/>
              <a:latin typeface="+mn-lt"/>
              <a:ea typeface="+mn-ea"/>
              <a:cs typeface="+mn-cs"/>
            </a:rPr>
            <a:t>90% </a:t>
          </a:r>
          <a:r>
            <a:rPr lang="ja-JP" altLang="en-US" sz="900" b="1" i="0">
              <a:solidFill>
                <a:srgbClr val="FF0000"/>
              </a:solidFill>
              <a:effectLst/>
              <a:latin typeface="+mn-lt"/>
              <a:ea typeface="+mn-ea"/>
              <a:cs typeface="+mn-cs"/>
            </a:rPr>
            <a:t>以上 </a:t>
          </a:r>
          <a:r>
            <a:rPr lang="ja-JP" altLang="en-US" sz="900" b="1" i="0">
              <a:solidFill>
                <a:sysClr val="windowText" lastClr="000000"/>
              </a:solidFill>
              <a:effectLst/>
              <a:latin typeface="+mn-lt"/>
              <a:ea typeface="+mn-ea"/>
              <a:cs typeface="+mn-cs"/>
            </a:rPr>
            <a:t>である場合（小数点以下は切り上げ）</a:t>
          </a:r>
          <a:endParaRPr lang="en-US" altLang="ja-JP" sz="900" b="1" i="0">
            <a:solidFill>
              <a:sysClr val="windowText" lastClr="000000"/>
            </a:solidFill>
            <a:effectLst/>
            <a:latin typeface="+mn-lt"/>
            <a:ea typeface="+mn-ea"/>
            <a:cs typeface="+mn-cs"/>
          </a:endParaRPr>
        </a:p>
        <a:p>
          <a:pPr rtl="0" eaLnBrk="1" latinLnBrk="0" hangingPunct="1"/>
          <a:endParaRPr lang="ja-JP" altLang="en-US" sz="900" b="1" i="0">
            <a:solidFill>
              <a:srgbClr val="FF0000"/>
            </a:solidFill>
            <a:effectLst/>
            <a:latin typeface="+mn-lt"/>
            <a:ea typeface="+mn-ea"/>
            <a:cs typeface="+mn-cs"/>
          </a:endParaRPr>
        </a:p>
        <a:p>
          <a:pPr rtl="0" eaLnBrk="1" latinLnBrk="0" hangingPunct="1"/>
          <a:r>
            <a:rPr lang="ja-JP" altLang="en-US" sz="900" b="0" i="0">
              <a:solidFill>
                <a:schemeClr val="tx1"/>
              </a:solidFill>
              <a:effectLst/>
              <a:latin typeface="+mn-lt"/>
              <a:ea typeface="+mn-ea"/>
              <a:cs typeface="+mn-cs"/>
            </a:rPr>
            <a:t>なお、「</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」と「</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」をご契約の場合は製品間連携が可能です。製品間連携を利用する条件も上記と同様に「</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」のライセンス数が、利用する「</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」のライセンス数の</a:t>
          </a:r>
          <a:r>
            <a:rPr lang="en-US" altLang="ja-JP" sz="900" b="0" i="0">
              <a:solidFill>
                <a:schemeClr val="tx1"/>
              </a:solidFill>
              <a:effectLst/>
              <a:latin typeface="+mn-lt"/>
              <a:ea typeface="+mn-ea"/>
              <a:cs typeface="+mn-cs"/>
            </a:rPr>
            <a:t>90%</a:t>
          </a:r>
          <a:r>
            <a:rPr lang="ja-JP" altLang="en-US" sz="900" b="0" i="0">
              <a:solidFill>
                <a:schemeClr val="tx1"/>
              </a:solidFill>
              <a:effectLst/>
              <a:latin typeface="+mn-lt"/>
              <a:ea typeface="+mn-ea"/>
              <a:cs typeface="+mn-cs"/>
            </a:rPr>
            <a:t>以上である必要がございます。</a:t>
          </a:r>
        </a:p>
        <a:p>
          <a:pPr rtl="0" eaLnBrk="1" latinLnBrk="0" hangingPunct="1"/>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i-FILTER@Cloud</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a:t>
          </a:r>
          <a:r>
            <a:rPr lang="ja-JP" altLang="en-US" sz="900" b="0" i="0">
              <a:solidFill>
                <a:schemeClr val="tx1"/>
              </a:solidFill>
              <a:effectLst/>
              <a:latin typeface="+mn-lt"/>
              <a:ea typeface="+mn-ea"/>
              <a:cs typeface="+mn-cs"/>
            </a:rPr>
            <a:t>「</a:t>
          </a:r>
          <a:r>
            <a:rPr lang="en-US" altLang="ja-JP" sz="900" b="0" i="0">
              <a:solidFill>
                <a:schemeClr val="tx1"/>
              </a:solidFill>
              <a:effectLst/>
              <a:latin typeface="+mn-lt"/>
              <a:ea typeface="+mn-ea"/>
              <a:cs typeface="+mn-cs"/>
            </a:rPr>
            <a:t>Z-FILTER</a:t>
          </a:r>
          <a:r>
            <a:rPr lang="ja-JP" altLang="en-US" sz="900" b="0" i="0">
              <a:solidFill>
                <a:schemeClr val="tx1"/>
              </a:solidFill>
              <a:effectLst/>
              <a:latin typeface="+mn-lt"/>
              <a:ea typeface="+mn-ea"/>
              <a:cs typeface="+mn-cs"/>
            </a:rPr>
            <a:t>」のライセンス追加や「</a:t>
          </a:r>
          <a:r>
            <a:rPr lang="en-US" altLang="ja-JP" sz="900" b="0" i="0">
              <a:solidFill>
                <a:schemeClr val="tx1"/>
              </a:solidFill>
              <a:effectLst/>
              <a:latin typeface="+mn-lt"/>
              <a:ea typeface="+mn-ea"/>
              <a:cs typeface="+mn-cs"/>
            </a:rPr>
            <a:t>m-FILTER</a:t>
          </a:r>
          <a:r>
            <a:rPr lang="ja-JP" altLang="en-US" sz="900" b="0" i="0">
              <a:solidFill>
                <a:schemeClr val="tx1"/>
              </a:solidFill>
              <a:effectLst/>
              <a:latin typeface="+mn-lt"/>
              <a:ea typeface="+mn-ea"/>
              <a:cs typeface="+mn-cs"/>
            </a:rPr>
            <a:t>」の減数更新によって上記の条件に合致した場合、「脅威</a:t>
          </a:r>
          <a:r>
            <a:rPr lang="en-US" altLang="ja-JP" sz="900" b="0" i="0">
              <a:solidFill>
                <a:schemeClr val="tx1"/>
              </a:solidFill>
              <a:effectLst/>
              <a:latin typeface="+mn-lt"/>
              <a:ea typeface="+mn-ea"/>
              <a:cs typeface="+mn-cs"/>
            </a:rPr>
            <a:t>URL</a:t>
          </a:r>
          <a:r>
            <a:rPr lang="ja-JP" altLang="en-US" sz="900" b="0" i="0">
              <a:solidFill>
                <a:schemeClr val="tx1"/>
              </a:solidFill>
              <a:effectLst/>
              <a:latin typeface="+mn-lt"/>
              <a:ea typeface="+mn-ea"/>
              <a:cs typeface="+mn-cs"/>
            </a:rPr>
            <a:t>ブロック」及び製品間連携を無償で利用可能となります。ご希望の場合は弊社担当までご連絡ください。</a:t>
          </a:r>
        </a:p>
      </xdr:txBody>
    </xdr:sp>
    <xdr:clientData/>
  </xdr:twoCellAnchor>
  <xdr:twoCellAnchor>
    <xdr:from>
      <xdr:col>116</xdr:col>
      <xdr:colOff>177800</xdr:colOff>
      <xdr:row>149</xdr:row>
      <xdr:rowOff>9525</xdr:rowOff>
    </xdr:from>
    <xdr:to>
      <xdr:col>116</xdr:col>
      <xdr:colOff>406400</xdr:colOff>
      <xdr:row>151</xdr:row>
      <xdr:rowOff>27065</xdr:rowOff>
    </xdr:to>
    <xdr:sp macro="" textlink="">
      <xdr:nvSpPr>
        <xdr:cNvPr id="6" name="楕円 5">
          <a:extLst>
            <a:ext uri="{FF2B5EF4-FFF2-40B4-BE49-F238E27FC236}">
              <a16:creationId xmlns:a16="http://schemas.microsoft.com/office/drawing/2014/main" id="{66F1D32D-DC47-4EE9-92F5-CE60AD46A8DB}"/>
            </a:ext>
          </a:extLst>
        </xdr:cNvPr>
        <xdr:cNvSpPr/>
      </xdr:nvSpPr>
      <xdr:spPr>
        <a:xfrm>
          <a:off x="10560050" y="11544300"/>
          <a:ext cx="228600" cy="217565"/>
        </a:xfrm>
        <a:prstGeom prst="ellipse">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xdr:txBody>
    </xdr:sp>
    <xdr:clientData/>
  </xdr:twoCellAnchor>
  <xdr:twoCellAnchor>
    <xdr:from>
      <xdr:col>0</xdr:col>
      <xdr:colOff>76200</xdr:colOff>
      <xdr:row>106</xdr:row>
      <xdr:rowOff>25400</xdr:rowOff>
    </xdr:from>
    <xdr:to>
      <xdr:col>1</xdr:col>
      <xdr:colOff>60177</xdr:colOff>
      <xdr:row>108</xdr:row>
      <xdr:rowOff>1886</xdr:rowOff>
    </xdr:to>
    <xdr:sp macro="" textlink="">
      <xdr:nvSpPr>
        <xdr:cNvPr id="7" name="楕円 6">
          <a:extLst>
            <a:ext uri="{FF2B5EF4-FFF2-40B4-BE49-F238E27FC236}">
              <a16:creationId xmlns:a16="http://schemas.microsoft.com/office/drawing/2014/main" id="{6151F9E1-A33E-4846-B33B-A1F78831773C}"/>
            </a:ext>
          </a:extLst>
        </xdr:cNvPr>
        <xdr:cNvSpPr/>
      </xdr:nvSpPr>
      <xdr:spPr>
        <a:xfrm>
          <a:off x="76200" y="10293350"/>
          <a:ext cx="164952" cy="166986"/>
        </a:xfrm>
        <a:prstGeom prst="ellipse">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7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p>
      </xdr:txBody>
    </xdr:sp>
    <xdr:clientData/>
  </xdr:twoCellAnchor>
</xdr:wsDr>
</file>

<file path=xl/persons/person.xml><?xml version="1.0" encoding="utf-8"?>
<personList xmlns="http://schemas.microsoft.com/office/spreadsheetml/2018/threadedcomments" xmlns:x="http://schemas.openxmlformats.org/spreadsheetml/2006/main">
  <person displayName="デジタルアーツ株式会社" id="{06FA9946-5BE8-4AE9-BEEE-3D948BAE87A1}" userId="デジタルアーツ株式会社" providerId="None"/>
</personList>
</file>

<file path=xl/theme/theme1.xml><?xml version="1.0" encoding="utf-8"?>
<a:theme xmlns:a="http://schemas.openxmlformats.org/drawingml/2006/main" name="Office テーマ">
  <a:themeElements>
    <a:clrScheme name="DAJ_Color">
      <a:dk1>
        <a:sysClr val="windowText" lastClr="000000"/>
      </a:dk1>
      <a:lt1>
        <a:sysClr val="window" lastClr="FFFFFF"/>
      </a:lt1>
      <a:dk2>
        <a:srgbClr val="7F7F7F"/>
      </a:dk2>
      <a:lt2>
        <a:srgbClr val="F2F2F2"/>
      </a:lt2>
      <a:accent1>
        <a:srgbClr val="E3560E"/>
      </a:accent1>
      <a:accent2>
        <a:srgbClr val="5C5943"/>
      </a:accent2>
      <a:accent3>
        <a:srgbClr val="053394"/>
      </a:accent3>
      <a:accent4>
        <a:srgbClr val="33A3CF"/>
      </a:accent4>
      <a:accent5>
        <a:srgbClr val="07825D"/>
      </a:accent5>
      <a:accent6>
        <a:srgbClr val="FA4619"/>
      </a:accent6>
      <a:hlink>
        <a:srgbClr val="0000FE"/>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Y83" dT="2023-03-17T11:27:59.61" personId="{06FA9946-5BE8-4AE9-BEEE-3D948BAE87A1}" id="{D848ACB0-F665-4426-AEC8-7CC2CC7C7AD2}">
    <text>100倍した後の値を渡す</text>
  </threadedComment>
  <threadedComment ref="I93" dT="2023-03-08T09:37:01.74" personId="{06FA9946-5BE8-4AE9-BEEE-3D948BAE87A1}" id="{ED8D52B3-42DE-4409-AD4D-DC14827B0DFC}">
    <text>Webinar試用版の有無で最後に直す
一旦試用版あり、試用版潰したら関数変わるため注意</text>
  </threadedComment>
  <threadedComment ref="M93" dT="2023-03-08T10:33:39.82" personId="{06FA9946-5BE8-4AE9-BEEE-3D948BAE87A1}" id="{FD274CB9-E466-43E9-82A9-1C6623CF14D0}">
    <text xml:space="preserve">Webinar試用版の有無で最後に直す
一旦試用版あり、試用版潰したら関数変わるため注意
⇒試用版なしのため変更
</text>
  </threadedComment>
  <threadedComment ref="N93" dT="2023-06-16T05:05:20.49" personId="{06FA9946-5BE8-4AE9-BEEE-3D948BAE87A1}" id="{E5A30E04-6B5F-4852-88CB-EA50627C3BF2}">
    <text>試用版なしのため変更</text>
  </threadedComment>
  <threadedComment ref="AK93" dT="2023-06-19T09:26:00.88" personId="{06FA9946-5BE8-4AE9-BEEE-3D948BAE87A1}" id="{BC611A97-A442-4EF7-905B-0353708992CF}">
    <text>試用版なし</text>
  </threadedComment>
  <threadedComment ref="AV93" dT="2023-03-08T10:16:58.16" personId="{06FA9946-5BE8-4AE9-BEEE-3D948BAE87A1}" id="{03BB8207-030D-467E-99DE-B8AB4B58B895}">
    <text>【保屋松さん確認】
・期間延長の最大はいくつか？
※項目上Max11か月しか入らない
【作業メモ】
取り込みエラーが出たら中間シートに処理して値だけ渡す</text>
  </threadedComment>
  <threadedComment ref="AX93" dT="2023-03-08T10:13:28.83" personId="{06FA9946-5BE8-4AE9-BEEE-3D948BAE87A1}" id="{3D8F59D5-E452-45E4-8BDF-8BC94C17C245}">
    <text>【井出さん確認】
Webinarアーカイブについて渡す値は
・入力された数字そのまま
・入力＊100された数値
か確認</text>
  </threadedComment>
  <threadedComment ref="S257" dT="2023-11-08T12:46:53.04" personId="{06FA9946-5BE8-4AE9-BEEE-3D948BAE87A1}" id="{96834C5E-35EA-4055-B4BD-12866215DA38}">
    <text>ここは「中間シート」でなく「お客様情報」シートから取得</text>
  </threadedComment>
  <threadedComment ref="T257" dT="2023-11-08T12:47:00.39" personId="{06FA9946-5BE8-4AE9-BEEE-3D948BAE87A1}" id="{E104A90A-A201-40BE-A346-560CC78C9659}">
    <text>ここは「中間シート」でなく「お客様情報」シートから取得</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dabp.daj.jp/salestools/atcloud/operation/" TargetMode="External"/><Relationship Id="rId2" Type="http://schemas.openxmlformats.org/officeDocument/2006/relationships/hyperlink" Target="https://www.daj.jp/privacy/" TargetMode="External"/><Relationship Id="rId1" Type="http://schemas.openxmlformats.org/officeDocument/2006/relationships/hyperlink" Target="https://www.daj.jp/term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daj.jp/term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daj.jp/sitepolicy/" TargetMode="External"/><Relationship Id="rId2" Type="http://schemas.openxmlformats.org/officeDocument/2006/relationships/hyperlink" Target="https://sec3.daj.co.jp/license/d-alert/" TargetMode="External"/><Relationship Id="rId1" Type="http://schemas.openxmlformats.org/officeDocument/2006/relationships/hyperlink" Target="https://www.daj.jp/bs/d-alert/" TargetMode="External"/><Relationship Id="rId5" Type="http://schemas.openxmlformats.org/officeDocument/2006/relationships/drawing" Target="../drawings/drawing9.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daj.jp/sitepolicy/" TargetMode="External"/><Relationship Id="rId1" Type="http://schemas.openxmlformats.org/officeDocument/2006/relationships/hyperlink" Target="https://www.daj.jp/bs/d-alert/"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i-FILTER@Cloud"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onfluence.daj-net.daj.co.jp:8443/wiki/pages/viewpage.action?pageId=64857746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daj.jp/bs/requirements/" TargetMode="External"/><Relationship Id="rId7" Type="http://schemas.openxmlformats.org/officeDocument/2006/relationships/drawing" Target="../drawings/drawing2.xml"/><Relationship Id="rId2" Type="http://schemas.openxmlformats.org/officeDocument/2006/relationships/hyperlink" Target="https://www.daj.jp/sitepolicy/" TargetMode="External"/><Relationship Id="rId1" Type="http://schemas.openxmlformats.org/officeDocument/2006/relationships/hyperlink" Target="mailto:&#26082;&#12395;&#20445;&#26377;&#12373;&#12428;&#12390;&#12356;&#12427;DigitalArts@Cloud&#35069;&#21697;&#12398;&#12471;&#12522;&#12450;&#12523;&#12434;&#12304;&#12356;&#12378;&#12428;&#12363;1&#12388;&#12305;&#12372;&#20837;&#21147;&#12367;&#12384;&#12373;&#12356;&#12290;&#12371;&#12398;&#27396;&#12395;&#20837;&#21147;&#12373;&#12428;&#12383;&#12471;&#12522;&#12450;&#12523;&#12434;&#20803;&#12395;&#26082;&#23384;&#12398;&#20445;&#26377;&#24773;&#22577;&#12434;&#29305;&#23450;&#12375;&#12414;&#12377;&#12290;" TargetMode="External"/><Relationship Id="rId6" Type="http://schemas.openxmlformats.org/officeDocument/2006/relationships/printerSettings" Target="../printerSettings/printerSettings3.bin"/><Relationship Id="rId5" Type="http://schemas.openxmlformats.org/officeDocument/2006/relationships/hyperlink" Target="mailto:i-FILTER@Cloud%0a&#12525;&#12464;DL&#26399;&#38480;&#24310;&#38263;&#24076;&#26395;" TargetMode="External"/><Relationship Id="rId4" Type="http://schemas.openxmlformats.org/officeDocument/2006/relationships/hyperlink" Target="https://sec3.daj.co.jp/license/d-alert/"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ec3.daj.co.jp/license/d-alert/" TargetMode="External"/><Relationship Id="rId7" Type="http://schemas.openxmlformats.org/officeDocument/2006/relationships/drawing" Target="../drawings/drawing3.xml"/><Relationship Id="rId2" Type="http://schemas.openxmlformats.org/officeDocument/2006/relationships/hyperlink" Target="https://www.daj.jp/bs/d-alert/" TargetMode="External"/><Relationship Id="rId1" Type="http://schemas.openxmlformats.org/officeDocument/2006/relationships/hyperlink" Target="https://www.daj.jp/bs/requirements/" TargetMode="External"/><Relationship Id="rId6" Type="http://schemas.openxmlformats.org/officeDocument/2006/relationships/printerSettings" Target="../printerSettings/printerSettings4.bin"/><Relationship Id="rId5" Type="http://schemas.openxmlformats.org/officeDocument/2006/relationships/hyperlink" Target="https://www.daj.jp/sitepolicy/" TargetMode="External"/><Relationship Id="rId4" Type="http://schemas.openxmlformats.org/officeDocument/2006/relationships/hyperlink" Target="mailto:&#26082;&#12395;&#20445;&#26377;&#12373;&#12428;&#12390;&#12356;&#12427;DigitalArts@Cloud&#35069;&#21697;&#12398;&#12471;&#12522;&#12450;&#12523;&#12434;&#12304;&#12356;&#12378;&#12428;&#12363;1&#12388;&#12305;&#12372;&#20837;&#21147;&#12367;&#12384;&#12373;&#12356;&#12290;&#12371;&#12398;&#27396;&#12395;&#20837;&#21147;&#12373;&#12428;&#12383;&#12471;&#12522;&#12450;&#12523;&#12434;&#20803;&#12395;&#26082;&#23384;&#12398;&#20445;&#26377;&#24773;&#22577;&#12434;&#29305;&#23450;&#12375;&#12414;&#12377;&#12290;&#12414;&#12383;&#12289;iF/mF&#36899;&#25658;&#12420;&#65357;F/FinalCode&#36899;&#25658;&#12434;&#12372;&#24076;&#26395;&#12391;&#12289;&#36899;&#25658;&#35069;&#21697;&#12398;&#12356;&#12378;&#12428;&#12363;&#12434;&#26082;&#12395;&#20445;&#26377;&#12373;&#12428;&#12390;&#12356;&#12427;&#22580;&#21512;&#12399;&#12381;&#12398;&#12471;&#12522;&#12450;&#12523;&#12434;&#12372;&#20837;&#21147;&#12367;&#12384;&#12373;&#12356;&#1229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daj.jp/sitepolicy/" TargetMode="External"/><Relationship Id="rId2" Type="http://schemas.openxmlformats.org/officeDocument/2006/relationships/hyperlink" Target="https://sec3.daj.co.jp/license/d-alert/" TargetMode="External"/><Relationship Id="rId1" Type="http://schemas.openxmlformats.org/officeDocument/2006/relationships/hyperlink" Target="https://www.daj.jp/bs/d-alert/"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daj.jp/sitepolicy/" TargetMode="External"/><Relationship Id="rId1" Type="http://schemas.openxmlformats.org/officeDocument/2006/relationships/hyperlink" Target="mailto:&#26082;&#12395;&#20445;&#26377;&#12373;&#12428;&#12390;&#12356;&#12427;DigitalArts@Cloud&#35069;&#21697;&#12398;&#12471;&#12522;&#12450;&#12523;&#12434;&#12304;&#12356;&#12378;&#12428;&#12363;1&#12388;&#12305;&#12372;&#20837;&#21147;&#12367;&#12384;&#12373;&#12356;&#12290;&#12371;&#12398;&#27396;&#12395;&#20837;&#21147;&#12373;&#12428;&#12383;&#12471;&#12522;&#12450;&#12523;&#12434;&#20803;&#12395;&#26082;&#23384;&#12398;&#20445;&#26377;&#24773;&#22577;&#12434;&#29305;&#23450;&#12375;&#12414;&#12377;&#12290;"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daj.jp/sitepolicy/"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daj.jp/sitepolicy/"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daj.jp/sitepolicy/" TargetMode="External"/><Relationship Id="rId1" Type="http://schemas.openxmlformats.org/officeDocument/2006/relationships/hyperlink" Target="https://www.daj.jp/bs/d-aler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DL76"/>
  <sheetViews>
    <sheetView zoomScale="90" zoomScaleNormal="90" workbookViewId="0">
      <selection activeCell="AE32" sqref="AE32:BD33"/>
    </sheetView>
  </sheetViews>
  <sheetFormatPr defaultColWidth="8.7265625" defaultRowHeight="13"/>
  <cols>
    <col min="1" max="116" width="1.6328125" style="127" customWidth="1"/>
    <col min="117" max="16384" width="8.7265625" style="127"/>
  </cols>
  <sheetData>
    <row r="1" spans="1:116" ht="10" customHeight="1">
      <c r="A1" s="729" t="s">
        <v>1520</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c r="AO1" s="730"/>
      <c r="AP1" s="730"/>
      <c r="AQ1" s="730"/>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1"/>
    </row>
    <row r="2" spans="1:116" ht="10" customHeight="1">
      <c r="A2" s="732"/>
      <c r="B2" s="733"/>
      <c r="C2" s="733"/>
      <c r="D2" s="733"/>
      <c r="E2" s="733"/>
      <c r="F2" s="733"/>
      <c r="G2" s="733"/>
      <c r="H2" s="733"/>
      <c r="I2" s="733"/>
      <c r="J2" s="733"/>
      <c r="K2" s="733"/>
      <c r="L2" s="733"/>
      <c r="M2" s="733"/>
      <c r="N2" s="733"/>
      <c r="O2" s="733"/>
      <c r="P2" s="733"/>
      <c r="Q2" s="733"/>
      <c r="R2" s="733"/>
      <c r="S2" s="733"/>
      <c r="T2" s="733"/>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c r="AT2" s="733"/>
      <c r="AU2" s="733"/>
      <c r="AV2" s="733"/>
      <c r="AW2" s="733"/>
      <c r="AX2" s="733"/>
      <c r="AY2" s="733"/>
      <c r="AZ2" s="733"/>
      <c r="BA2" s="733"/>
      <c r="BB2" s="733"/>
      <c r="BC2" s="733"/>
      <c r="BD2" s="733"/>
      <c r="BE2" s="733"/>
      <c r="BF2" s="733"/>
      <c r="BG2" s="733"/>
      <c r="BH2" s="733"/>
      <c r="BI2" s="733"/>
      <c r="BJ2" s="733"/>
      <c r="BK2" s="733"/>
      <c r="BL2" s="733"/>
      <c r="BM2" s="733"/>
      <c r="BN2" s="733"/>
      <c r="BO2" s="733"/>
      <c r="BP2" s="733"/>
      <c r="BQ2" s="733"/>
      <c r="BR2" s="733"/>
      <c r="BS2" s="733"/>
      <c r="BT2" s="733"/>
      <c r="BU2" s="733"/>
      <c r="BV2" s="733"/>
      <c r="BW2" s="733"/>
      <c r="BX2" s="733"/>
      <c r="BY2" s="733"/>
      <c r="BZ2" s="733"/>
      <c r="CA2" s="733"/>
      <c r="CB2" s="733"/>
      <c r="CC2" s="733"/>
      <c r="CD2" s="733"/>
      <c r="CE2" s="733"/>
      <c r="CF2" s="733"/>
      <c r="CG2" s="733"/>
      <c r="CH2" s="733"/>
      <c r="CI2" s="733"/>
      <c r="CJ2" s="733"/>
      <c r="CK2" s="733"/>
      <c r="CL2" s="733"/>
      <c r="CM2" s="733"/>
      <c r="CN2" s="733"/>
      <c r="CO2" s="733"/>
      <c r="CP2" s="733"/>
      <c r="CQ2" s="733"/>
      <c r="CR2" s="733"/>
      <c r="CS2" s="733"/>
      <c r="CT2" s="733"/>
      <c r="CU2" s="733"/>
      <c r="CV2" s="733"/>
      <c r="CW2" s="733"/>
      <c r="CX2" s="733"/>
      <c r="CY2" s="733"/>
      <c r="CZ2" s="733"/>
      <c r="DA2" s="733"/>
      <c r="DB2" s="733"/>
      <c r="DC2" s="733"/>
      <c r="DD2" s="733"/>
      <c r="DE2" s="733"/>
      <c r="DF2" s="733"/>
      <c r="DG2" s="733"/>
      <c r="DH2" s="733"/>
      <c r="DI2" s="733"/>
      <c r="DJ2" s="733"/>
      <c r="DK2" s="733"/>
      <c r="DL2" s="734"/>
    </row>
    <row r="3" spans="1:116" ht="10" customHeight="1" thickBot="1">
      <c r="A3" s="735"/>
      <c r="B3" s="736"/>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736"/>
      <c r="CB3" s="736"/>
      <c r="CC3" s="736"/>
      <c r="CD3" s="736"/>
      <c r="CE3" s="736"/>
      <c r="CF3" s="736"/>
      <c r="CG3" s="736"/>
      <c r="CH3" s="736"/>
      <c r="CI3" s="736"/>
      <c r="CJ3" s="736"/>
      <c r="CK3" s="736"/>
      <c r="CL3" s="736"/>
      <c r="CM3" s="736"/>
      <c r="CN3" s="736"/>
      <c r="CO3" s="736"/>
      <c r="CP3" s="736"/>
      <c r="CQ3" s="736"/>
      <c r="CR3" s="736"/>
      <c r="CS3" s="736"/>
      <c r="CT3" s="736"/>
      <c r="CU3" s="736"/>
      <c r="CV3" s="736"/>
      <c r="CW3" s="736"/>
      <c r="CX3" s="736"/>
      <c r="CY3" s="736"/>
      <c r="CZ3" s="736"/>
      <c r="DA3" s="736"/>
      <c r="DB3" s="736"/>
      <c r="DC3" s="736"/>
      <c r="DD3" s="736"/>
      <c r="DE3" s="736"/>
      <c r="DF3" s="736"/>
      <c r="DG3" s="736"/>
      <c r="DH3" s="736"/>
      <c r="DI3" s="736"/>
      <c r="DJ3" s="736"/>
      <c r="DK3" s="736"/>
      <c r="DL3" s="737"/>
    </row>
    <row r="4" spans="1:116" ht="10" customHeight="1">
      <c r="A4" s="728" t="s">
        <v>584</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row>
    <row r="5" spans="1:116" ht="10" customHeight="1">
      <c r="A5" s="728"/>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row>
    <row r="6" spans="1:116" ht="10" customHeight="1" thickBot="1">
      <c r="A6" s="728"/>
      <c r="B6" s="728"/>
      <c r="C6" s="728"/>
      <c r="D6" s="728"/>
      <c r="E6" s="728"/>
      <c r="F6" s="728"/>
      <c r="G6" s="728"/>
      <c r="H6" s="728"/>
      <c r="I6" s="728"/>
      <c r="J6" s="728"/>
      <c r="K6" s="728"/>
      <c r="L6" s="728"/>
      <c r="M6" s="728"/>
      <c r="N6" s="728"/>
      <c r="O6" s="728"/>
      <c r="P6" s="728"/>
      <c r="Q6" s="728"/>
      <c r="R6" s="728"/>
      <c r="S6" s="728"/>
      <c r="T6" s="728"/>
      <c r="U6" s="728"/>
      <c r="V6" s="728"/>
      <c r="W6" s="728"/>
      <c r="X6" s="728"/>
      <c r="Y6" s="728"/>
      <c r="Z6" s="728"/>
      <c r="AA6" s="728"/>
      <c r="AB6" s="728"/>
      <c r="AC6" s="728"/>
      <c r="AD6" s="728"/>
    </row>
    <row r="7" spans="1:116" ht="10" customHeight="1">
      <c r="B7" s="738" t="s">
        <v>818</v>
      </c>
      <c r="C7" s="739"/>
      <c r="D7" s="739"/>
      <c r="E7" s="739"/>
      <c r="F7" s="739"/>
      <c r="G7" s="739"/>
      <c r="H7" s="739"/>
      <c r="I7" s="739"/>
      <c r="J7" s="739"/>
      <c r="K7" s="739"/>
      <c r="L7" s="739"/>
      <c r="M7" s="739"/>
      <c r="N7" s="739"/>
      <c r="O7" s="739"/>
      <c r="P7" s="739"/>
      <c r="Q7" s="739"/>
      <c r="R7" s="739"/>
      <c r="S7" s="739"/>
      <c r="T7" s="739"/>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c r="AT7" s="739"/>
      <c r="AU7" s="739"/>
      <c r="AV7" s="739"/>
      <c r="AW7" s="739"/>
      <c r="AX7" s="739"/>
      <c r="AY7" s="739"/>
      <c r="AZ7" s="739"/>
      <c r="BA7" s="739"/>
      <c r="BB7" s="739"/>
      <c r="BC7" s="739"/>
      <c r="BD7" s="739"/>
      <c r="BE7" s="739"/>
      <c r="BF7" s="739"/>
      <c r="BG7" s="739"/>
      <c r="BH7" s="739"/>
      <c r="BI7" s="739"/>
      <c r="BJ7" s="739"/>
      <c r="BK7" s="739"/>
      <c r="BL7" s="739"/>
      <c r="BM7" s="739"/>
      <c r="BN7" s="739"/>
      <c r="BO7" s="739"/>
      <c r="BP7" s="739"/>
      <c r="BQ7" s="739"/>
      <c r="BR7" s="739"/>
      <c r="BS7" s="739"/>
      <c r="BT7" s="739"/>
      <c r="BU7" s="739"/>
      <c r="BV7" s="739"/>
      <c r="BW7" s="739"/>
      <c r="BX7" s="739"/>
      <c r="BY7" s="739"/>
      <c r="BZ7" s="739"/>
      <c r="CA7" s="739"/>
      <c r="CB7" s="739"/>
      <c r="CC7" s="740"/>
    </row>
    <row r="8" spans="1:116" ht="10" customHeight="1">
      <c r="B8" s="741"/>
      <c r="C8" s="742"/>
      <c r="D8" s="742"/>
      <c r="E8" s="742"/>
      <c r="F8" s="742"/>
      <c r="G8" s="742"/>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c r="BH8" s="742"/>
      <c r="BI8" s="742"/>
      <c r="BJ8" s="742"/>
      <c r="BK8" s="742"/>
      <c r="BL8" s="742"/>
      <c r="BM8" s="742"/>
      <c r="BN8" s="742"/>
      <c r="BO8" s="742"/>
      <c r="BP8" s="742"/>
      <c r="BQ8" s="742"/>
      <c r="BR8" s="742"/>
      <c r="BS8" s="742"/>
      <c r="BT8" s="742"/>
      <c r="BU8" s="742"/>
      <c r="BV8" s="742"/>
      <c r="BW8" s="742"/>
      <c r="BX8" s="742"/>
      <c r="BY8" s="742"/>
      <c r="BZ8" s="742"/>
      <c r="CA8" s="742"/>
      <c r="CB8" s="742"/>
      <c r="CC8" s="743"/>
    </row>
    <row r="9" spans="1:116" ht="10" customHeight="1">
      <c r="B9" s="741"/>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742"/>
      <c r="CA9" s="742"/>
      <c r="CB9" s="742"/>
      <c r="CC9" s="743"/>
    </row>
    <row r="10" spans="1:116" ht="10" customHeight="1">
      <c r="B10" s="744"/>
      <c r="C10" s="745"/>
      <c r="D10" s="745"/>
      <c r="E10" s="745"/>
      <c r="F10" s="745"/>
      <c r="G10" s="745"/>
      <c r="H10" s="745"/>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c r="BH10" s="745"/>
      <c r="BI10" s="745"/>
      <c r="BJ10" s="745"/>
      <c r="BK10" s="745"/>
      <c r="BL10" s="745"/>
      <c r="BM10" s="745"/>
      <c r="BN10" s="745"/>
      <c r="BO10" s="745"/>
      <c r="BP10" s="745"/>
      <c r="BQ10" s="745"/>
      <c r="BR10" s="745"/>
      <c r="BS10" s="745"/>
      <c r="BT10" s="745"/>
      <c r="BU10" s="745"/>
      <c r="BV10" s="745"/>
      <c r="BW10" s="745"/>
      <c r="BX10" s="745"/>
      <c r="BY10" s="745"/>
      <c r="BZ10" s="745"/>
      <c r="CA10" s="745"/>
      <c r="CB10" s="745"/>
      <c r="CC10" s="746"/>
    </row>
    <row r="11" spans="1:116" ht="10" customHeight="1">
      <c r="B11" s="747" t="s">
        <v>819</v>
      </c>
      <c r="C11" s="748"/>
      <c r="D11" s="748"/>
      <c r="E11" s="748"/>
      <c r="F11" s="748"/>
      <c r="G11" s="748"/>
      <c r="H11" s="748"/>
      <c r="I11" s="751" t="s">
        <v>1576</v>
      </c>
      <c r="J11" s="751"/>
      <c r="K11" s="751"/>
      <c r="L11" s="751"/>
      <c r="M11" s="751"/>
      <c r="N11" s="751"/>
      <c r="O11" s="751"/>
      <c r="P11" s="751"/>
      <c r="Q11" s="751"/>
      <c r="R11" s="751"/>
      <c r="S11" s="751"/>
      <c r="T11" s="751"/>
      <c r="U11" s="751"/>
      <c r="V11" s="751"/>
      <c r="W11" s="751"/>
      <c r="X11" s="751"/>
      <c r="Y11" s="751"/>
      <c r="Z11" s="751"/>
      <c r="AA11" s="751"/>
      <c r="AB11" s="751"/>
      <c r="AC11" s="605"/>
      <c r="AD11" s="605"/>
      <c r="AE11" s="605"/>
      <c r="AF11" s="605"/>
      <c r="AG11" s="605"/>
      <c r="AH11" s="605"/>
      <c r="AI11" s="605"/>
      <c r="AJ11" s="605"/>
      <c r="AK11" s="605"/>
      <c r="AL11" s="605"/>
      <c r="AM11" s="605"/>
      <c r="AN11" s="605"/>
      <c r="AO11" s="605"/>
      <c r="AP11" s="605"/>
      <c r="AQ11" s="605"/>
      <c r="AR11" s="605"/>
      <c r="AS11" s="605"/>
      <c r="AT11" s="605"/>
      <c r="AU11" s="605"/>
      <c r="AV11" s="605"/>
      <c r="AW11" s="605"/>
      <c r="AX11" s="605"/>
      <c r="AY11" s="605"/>
      <c r="AZ11" s="605"/>
      <c r="BA11" s="605"/>
      <c r="BB11" s="605"/>
      <c r="BC11" s="605"/>
      <c r="BD11" s="605"/>
      <c r="BE11" s="605"/>
      <c r="BF11" s="605"/>
      <c r="BG11" s="605"/>
      <c r="BH11" s="605"/>
      <c r="BI11" s="605"/>
      <c r="BJ11" s="605"/>
      <c r="BK11" s="605"/>
      <c r="BL11" s="605"/>
      <c r="BM11" s="605"/>
      <c r="BN11" s="605"/>
      <c r="BO11" s="605"/>
      <c r="BP11" s="605"/>
      <c r="BQ11" s="605"/>
      <c r="BR11" s="605"/>
      <c r="BS11" s="605"/>
      <c r="BT11" s="605"/>
      <c r="BU11" s="605"/>
      <c r="BV11" s="605"/>
      <c r="BW11" s="605"/>
      <c r="BX11" s="605"/>
      <c r="BY11" s="605"/>
      <c r="BZ11" s="605"/>
      <c r="CA11" s="605"/>
      <c r="CB11" s="605"/>
      <c r="CC11" s="606"/>
    </row>
    <row r="12" spans="1:116" ht="10" customHeight="1" thickBot="1">
      <c r="B12" s="749"/>
      <c r="C12" s="750"/>
      <c r="D12" s="750"/>
      <c r="E12" s="750"/>
      <c r="F12" s="750"/>
      <c r="G12" s="750"/>
      <c r="H12" s="750"/>
      <c r="I12" s="752"/>
      <c r="J12" s="752"/>
      <c r="K12" s="752"/>
      <c r="L12" s="752"/>
      <c r="M12" s="752"/>
      <c r="N12" s="752"/>
      <c r="O12" s="752"/>
      <c r="P12" s="752"/>
      <c r="Q12" s="752"/>
      <c r="R12" s="752"/>
      <c r="S12" s="752"/>
      <c r="T12" s="752"/>
      <c r="U12" s="752"/>
      <c r="V12" s="752"/>
      <c r="W12" s="752"/>
      <c r="X12" s="752"/>
      <c r="Y12" s="752"/>
      <c r="Z12" s="752"/>
      <c r="AA12" s="752"/>
      <c r="AB12" s="752"/>
      <c r="AC12" s="607"/>
      <c r="AD12" s="607"/>
      <c r="AE12" s="607"/>
      <c r="AF12" s="607"/>
      <c r="AG12" s="607"/>
      <c r="AH12" s="607"/>
      <c r="AI12" s="607"/>
      <c r="AJ12" s="607"/>
      <c r="AK12" s="607"/>
      <c r="AL12" s="607"/>
      <c r="AM12" s="607"/>
      <c r="AN12" s="607"/>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8"/>
    </row>
    <row r="13" spans="1:116" ht="10" customHeight="1"/>
    <row r="14" spans="1:116" ht="10" customHeight="1"/>
    <row r="15" spans="1:116" ht="10" customHeight="1"/>
    <row r="16" spans="1:116" ht="10" customHeight="1"/>
    <row r="17" spans="2:56" ht="10" customHeight="1"/>
    <row r="18" spans="2:56" ht="10" customHeight="1"/>
    <row r="19" spans="2:56" ht="10" customHeight="1"/>
    <row r="20" spans="2:56" ht="10" customHeight="1"/>
    <row r="21" spans="2:56" ht="10" customHeight="1"/>
    <row r="22" spans="2:56" ht="10" customHeight="1"/>
    <row r="23" spans="2:56" ht="10" customHeight="1" thickBot="1"/>
    <row r="24" spans="2:56" ht="10" customHeight="1">
      <c r="B24" s="722" t="s">
        <v>651</v>
      </c>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4"/>
    </row>
    <row r="25" spans="2:56" ht="10" customHeight="1">
      <c r="B25" s="725"/>
      <c r="C25" s="726"/>
      <c r="D25" s="726"/>
      <c r="E25" s="726"/>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7"/>
    </row>
    <row r="26" spans="2:56" ht="10" customHeight="1">
      <c r="B26" s="725"/>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7"/>
    </row>
    <row r="27" spans="2:56" ht="10" customHeight="1">
      <c r="B27" s="725"/>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7"/>
    </row>
    <row r="28" spans="2:56" ht="10" customHeight="1">
      <c r="B28" s="725"/>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7"/>
    </row>
    <row r="29" spans="2:56" ht="10" customHeight="1" thickBot="1">
      <c r="B29" s="725"/>
      <c r="C29" s="726"/>
      <c r="D29" s="726"/>
      <c r="E29" s="726"/>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7"/>
    </row>
    <row r="30" spans="2:56" ht="10" customHeight="1">
      <c r="B30" s="702" t="s">
        <v>557</v>
      </c>
      <c r="C30" s="703"/>
      <c r="D30" s="703"/>
      <c r="E30" s="703"/>
      <c r="F30" s="703"/>
      <c r="G30" s="703"/>
      <c r="H30" s="703"/>
      <c r="I30" s="703"/>
      <c r="J30" s="703"/>
      <c r="K30" s="703"/>
      <c r="L30" s="703"/>
      <c r="M30" s="703"/>
      <c r="N30" s="703"/>
      <c r="O30" s="703"/>
      <c r="P30" s="703"/>
      <c r="Q30" s="703"/>
      <c r="R30" s="703"/>
      <c r="S30" s="703"/>
      <c r="T30" s="703"/>
      <c r="U30" s="703"/>
      <c r="V30" s="703"/>
      <c r="W30" s="703"/>
      <c r="X30" s="703"/>
      <c r="Y30" s="703"/>
      <c r="Z30" s="703"/>
      <c r="AA30" s="703"/>
      <c r="AB30" s="703" t="s">
        <v>555</v>
      </c>
      <c r="AC30" s="703"/>
      <c r="AD30" s="703"/>
      <c r="AE30" s="706" t="s">
        <v>585</v>
      </c>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7"/>
    </row>
    <row r="31" spans="2:56" ht="10" customHeight="1" thickBot="1">
      <c r="B31" s="704"/>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c r="AA31" s="705"/>
      <c r="AB31" s="705"/>
      <c r="AC31" s="705"/>
      <c r="AD31" s="705"/>
      <c r="AE31" s="708"/>
      <c r="AF31" s="708"/>
      <c r="AG31" s="708"/>
      <c r="AH31" s="708"/>
      <c r="AI31" s="708"/>
      <c r="AJ31" s="708"/>
      <c r="AK31" s="708"/>
      <c r="AL31" s="708"/>
      <c r="AM31" s="708"/>
      <c r="AN31" s="708"/>
      <c r="AO31" s="708"/>
      <c r="AP31" s="708"/>
      <c r="AQ31" s="708"/>
      <c r="AR31" s="708"/>
      <c r="AS31" s="708"/>
      <c r="AT31" s="708"/>
      <c r="AU31" s="708"/>
      <c r="AV31" s="708"/>
      <c r="AW31" s="708"/>
      <c r="AX31" s="708"/>
      <c r="AY31" s="708"/>
      <c r="AZ31" s="708"/>
      <c r="BA31" s="708"/>
      <c r="BB31" s="708"/>
      <c r="BC31" s="708"/>
      <c r="BD31" s="709"/>
    </row>
    <row r="32" spans="2:56" ht="10" customHeight="1">
      <c r="B32" s="715" t="s">
        <v>1524</v>
      </c>
      <c r="C32" s="716"/>
      <c r="D32" s="716"/>
      <c r="E32" s="716"/>
      <c r="F32" s="716"/>
      <c r="G32" s="716"/>
      <c r="H32" s="716"/>
      <c r="I32" s="716"/>
      <c r="J32" s="716"/>
      <c r="K32" s="716"/>
      <c r="L32" s="716"/>
      <c r="M32" s="716"/>
      <c r="N32" s="716"/>
      <c r="O32" s="716"/>
      <c r="P32" s="716"/>
      <c r="Q32" s="716"/>
      <c r="R32" s="716"/>
      <c r="S32" s="716"/>
      <c r="T32" s="716"/>
      <c r="U32" s="716"/>
      <c r="V32" s="716"/>
      <c r="W32" s="716"/>
      <c r="X32" s="716"/>
      <c r="Y32" s="716"/>
      <c r="Z32" s="716"/>
      <c r="AA32" s="716"/>
      <c r="AB32" s="716" t="s">
        <v>555</v>
      </c>
      <c r="AC32" s="716"/>
      <c r="AD32" s="716"/>
      <c r="AE32" s="718" t="s">
        <v>1557</v>
      </c>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9"/>
    </row>
    <row r="33" spans="2:116" ht="10" customHeight="1">
      <c r="B33" s="717"/>
      <c r="C33" s="712"/>
      <c r="D33" s="712"/>
      <c r="E33" s="712"/>
      <c r="F33" s="712"/>
      <c r="G33" s="712"/>
      <c r="H33" s="712"/>
      <c r="I33" s="712"/>
      <c r="J33" s="712"/>
      <c r="K33" s="712"/>
      <c r="L33" s="712"/>
      <c r="M33" s="712"/>
      <c r="N33" s="712"/>
      <c r="O33" s="712"/>
      <c r="P33" s="712"/>
      <c r="Q33" s="712"/>
      <c r="R33" s="712"/>
      <c r="S33" s="712"/>
      <c r="T33" s="712"/>
      <c r="U33" s="712"/>
      <c r="V33" s="712"/>
      <c r="W33" s="712"/>
      <c r="X33" s="712"/>
      <c r="Y33" s="712"/>
      <c r="Z33" s="712"/>
      <c r="AA33" s="712"/>
      <c r="AB33" s="712"/>
      <c r="AC33" s="712"/>
      <c r="AD33" s="712"/>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1"/>
    </row>
    <row r="34" spans="2:116" ht="10" customHeight="1">
      <c r="B34" s="710" t="s">
        <v>571</v>
      </c>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2" t="s">
        <v>555</v>
      </c>
      <c r="AC34" s="712"/>
      <c r="AD34" s="712"/>
      <c r="AE34" s="713" t="s">
        <v>582</v>
      </c>
      <c r="AF34" s="713"/>
      <c r="AG34" s="713"/>
      <c r="AH34" s="713"/>
      <c r="AI34" s="713"/>
      <c r="AJ34" s="713"/>
      <c r="AK34" s="713"/>
      <c r="AL34" s="713"/>
      <c r="AM34" s="713"/>
      <c r="AN34" s="713"/>
      <c r="AO34" s="713"/>
      <c r="AP34" s="713"/>
      <c r="AQ34" s="713"/>
      <c r="AR34" s="713"/>
      <c r="AS34" s="713"/>
      <c r="AT34" s="713"/>
      <c r="AU34" s="713"/>
      <c r="AV34" s="713"/>
      <c r="AW34" s="713"/>
      <c r="AX34" s="713"/>
      <c r="AY34" s="713"/>
      <c r="AZ34" s="713"/>
      <c r="BA34" s="713"/>
      <c r="BB34" s="713"/>
      <c r="BC34" s="713"/>
      <c r="BD34" s="714"/>
    </row>
    <row r="35" spans="2:116" ht="10" customHeight="1">
      <c r="B35" s="710"/>
      <c r="C35" s="711"/>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2"/>
      <c r="AC35" s="712"/>
      <c r="AD35" s="712"/>
      <c r="AE35" s="713"/>
      <c r="AF35" s="713"/>
      <c r="AG35" s="713"/>
      <c r="AH35" s="713"/>
      <c r="AI35" s="713"/>
      <c r="AJ35" s="713"/>
      <c r="AK35" s="713"/>
      <c r="AL35" s="713"/>
      <c r="AM35" s="713"/>
      <c r="AN35" s="713"/>
      <c r="AO35" s="713"/>
      <c r="AP35" s="713"/>
      <c r="AQ35" s="713"/>
      <c r="AR35" s="713"/>
      <c r="AS35" s="713"/>
      <c r="AT35" s="713"/>
      <c r="AU35" s="713"/>
      <c r="AV35" s="713"/>
      <c r="AW35" s="713"/>
      <c r="AX35" s="713"/>
      <c r="AY35" s="713"/>
      <c r="AZ35" s="713"/>
      <c r="BA35" s="713"/>
      <c r="BB35" s="713"/>
      <c r="BC35" s="713"/>
      <c r="BD35" s="714"/>
    </row>
    <row r="36" spans="2:116" ht="10" customHeight="1">
      <c r="B36" s="710"/>
      <c r="C36" s="711"/>
      <c r="D36" s="711"/>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2"/>
      <c r="AC36" s="712"/>
      <c r="AD36" s="712"/>
      <c r="AE36" s="713"/>
      <c r="AF36" s="713"/>
      <c r="AG36" s="713"/>
      <c r="AH36" s="713"/>
      <c r="AI36" s="713"/>
      <c r="AJ36" s="713"/>
      <c r="AK36" s="713"/>
      <c r="AL36" s="713"/>
      <c r="AM36" s="713"/>
      <c r="AN36" s="713"/>
      <c r="AO36" s="713"/>
      <c r="AP36" s="713"/>
      <c r="AQ36" s="713"/>
      <c r="AR36" s="713"/>
      <c r="AS36" s="713"/>
      <c r="AT36" s="713"/>
      <c r="AU36" s="713"/>
      <c r="AV36" s="713"/>
      <c r="AW36" s="713"/>
      <c r="AX36" s="713"/>
      <c r="AY36" s="713"/>
      <c r="AZ36" s="713"/>
      <c r="BA36" s="713"/>
      <c r="BB36" s="713"/>
      <c r="BC36" s="713"/>
      <c r="BD36" s="714"/>
      <c r="BF36" s="753" t="s">
        <v>1512</v>
      </c>
      <c r="BG36" s="754"/>
      <c r="BH36" s="754"/>
      <c r="BI36" s="754"/>
      <c r="BJ36" s="754"/>
      <c r="BK36" s="754"/>
      <c r="BL36" s="754"/>
      <c r="BM36" s="754"/>
      <c r="BN36" s="754"/>
      <c r="BO36" s="754"/>
      <c r="BP36" s="754"/>
      <c r="BQ36" s="754"/>
      <c r="BR36" s="754"/>
      <c r="BS36" s="754"/>
      <c r="BT36" s="754"/>
      <c r="BU36" s="754"/>
      <c r="BV36" s="754"/>
      <c r="BW36" s="754"/>
      <c r="BX36" s="754"/>
      <c r="BY36" s="754"/>
      <c r="BZ36" s="754"/>
      <c r="CA36" s="754"/>
      <c r="CB36" s="754"/>
      <c r="CC36" s="754"/>
      <c r="CD36" s="754"/>
      <c r="CE36" s="754"/>
      <c r="CF36" s="754"/>
      <c r="CG36" s="754"/>
      <c r="CH36" s="754"/>
      <c r="CI36" s="754"/>
      <c r="CJ36" s="754"/>
      <c r="CK36" s="754"/>
      <c r="CL36" s="754"/>
      <c r="CM36" s="754"/>
      <c r="CN36" s="754"/>
      <c r="CO36" s="754"/>
      <c r="CP36" s="754"/>
      <c r="CQ36" s="754"/>
      <c r="CR36" s="754"/>
      <c r="CS36" s="754"/>
      <c r="CT36" s="754"/>
      <c r="CU36" s="754"/>
      <c r="CV36" s="754"/>
      <c r="CW36" s="754"/>
      <c r="CX36" s="754"/>
      <c r="CY36" s="754"/>
      <c r="CZ36" s="754"/>
      <c r="DA36" s="754"/>
      <c r="DB36" s="754"/>
      <c r="DC36" s="754"/>
      <c r="DD36" s="754"/>
      <c r="DE36" s="754"/>
      <c r="DF36" s="754"/>
      <c r="DG36" s="754"/>
      <c r="DH36" s="754"/>
      <c r="DI36" s="754"/>
      <c r="DJ36" s="754"/>
      <c r="DK36" s="754"/>
      <c r="DL36" s="754"/>
    </row>
    <row r="37" spans="2:116" ht="10" customHeight="1">
      <c r="B37" s="710"/>
      <c r="C37" s="711"/>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2"/>
      <c r="AC37" s="712"/>
      <c r="AD37" s="712"/>
      <c r="AE37" s="713"/>
      <c r="AF37" s="713"/>
      <c r="AG37" s="713"/>
      <c r="AH37" s="713"/>
      <c r="AI37" s="713"/>
      <c r="AJ37" s="713"/>
      <c r="AK37" s="713"/>
      <c r="AL37" s="713"/>
      <c r="AM37" s="713"/>
      <c r="AN37" s="713"/>
      <c r="AO37" s="713"/>
      <c r="AP37" s="713"/>
      <c r="AQ37" s="713"/>
      <c r="AR37" s="713"/>
      <c r="AS37" s="713"/>
      <c r="AT37" s="713"/>
      <c r="AU37" s="713"/>
      <c r="AV37" s="713"/>
      <c r="AW37" s="713"/>
      <c r="AX37" s="713"/>
      <c r="AY37" s="713"/>
      <c r="AZ37" s="713"/>
      <c r="BA37" s="713"/>
      <c r="BB37" s="713"/>
      <c r="BC37" s="713"/>
      <c r="BD37" s="714"/>
      <c r="BF37" s="754"/>
      <c r="BG37" s="754"/>
      <c r="BH37" s="754"/>
      <c r="BI37" s="754"/>
      <c r="BJ37" s="754"/>
      <c r="BK37" s="754"/>
      <c r="BL37" s="754"/>
      <c r="BM37" s="754"/>
      <c r="BN37" s="754"/>
      <c r="BO37" s="754"/>
      <c r="BP37" s="754"/>
      <c r="BQ37" s="754"/>
      <c r="BR37" s="754"/>
      <c r="BS37" s="754"/>
      <c r="BT37" s="754"/>
      <c r="BU37" s="754"/>
      <c r="BV37" s="754"/>
      <c r="BW37" s="754"/>
      <c r="BX37" s="754"/>
      <c r="BY37" s="754"/>
      <c r="BZ37" s="754"/>
      <c r="CA37" s="754"/>
      <c r="CB37" s="754"/>
      <c r="CC37" s="754"/>
      <c r="CD37" s="754"/>
      <c r="CE37" s="754"/>
      <c r="CF37" s="754"/>
      <c r="CG37" s="754"/>
      <c r="CH37" s="754"/>
      <c r="CI37" s="754"/>
      <c r="CJ37" s="754"/>
      <c r="CK37" s="754"/>
      <c r="CL37" s="754"/>
      <c r="CM37" s="754"/>
      <c r="CN37" s="754"/>
      <c r="CO37" s="754"/>
      <c r="CP37" s="754"/>
      <c r="CQ37" s="754"/>
      <c r="CR37" s="754"/>
      <c r="CS37" s="754"/>
      <c r="CT37" s="754"/>
      <c r="CU37" s="754"/>
      <c r="CV37" s="754"/>
      <c r="CW37" s="754"/>
      <c r="CX37" s="754"/>
      <c r="CY37" s="754"/>
      <c r="CZ37" s="754"/>
      <c r="DA37" s="754"/>
      <c r="DB37" s="754"/>
      <c r="DC37" s="754"/>
      <c r="DD37" s="754"/>
      <c r="DE37" s="754"/>
      <c r="DF37" s="754"/>
      <c r="DG37" s="754"/>
      <c r="DH37" s="754"/>
      <c r="DI37" s="754"/>
      <c r="DJ37" s="754"/>
      <c r="DK37" s="754"/>
      <c r="DL37" s="754"/>
    </row>
    <row r="38" spans="2:116" ht="10" customHeight="1">
      <c r="B38" s="710"/>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2"/>
      <c r="AC38" s="712"/>
      <c r="AD38" s="712"/>
      <c r="AE38" s="713"/>
      <c r="AF38" s="713"/>
      <c r="AG38" s="713"/>
      <c r="AH38" s="713"/>
      <c r="AI38" s="713"/>
      <c r="AJ38" s="713"/>
      <c r="AK38" s="713"/>
      <c r="AL38" s="713"/>
      <c r="AM38" s="713"/>
      <c r="AN38" s="713"/>
      <c r="AO38" s="713"/>
      <c r="AP38" s="713"/>
      <c r="AQ38" s="713"/>
      <c r="AR38" s="713"/>
      <c r="AS38" s="713"/>
      <c r="AT38" s="713"/>
      <c r="AU38" s="713"/>
      <c r="AV38" s="713"/>
      <c r="AW38" s="713"/>
      <c r="AX38" s="713"/>
      <c r="AY38" s="713"/>
      <c r="AZ38" s="713"/>
      <c r="BA38" s="713"/>
      <c r="BB38" s="713"/>
      <c r="BC38" s="713"/>
      <c r="BD38" s="714"/>
    </row>
    <row r="39" spans="2:116" ht="10" customHeight="1">
      <c r="B39" s="710"/>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2"/>
      <c r="AC39" s="712"/>
      <c r="AD39" s="712"/>
      <c r="AE39" s="713"/>
      <c r="AF39" s="713"/>
      <c r="AG39" s="713"/>
      <c r="AH39" s="713"/>
      <c r="AI39" s="713"/>
      <c r="AJ39" s="713"/>
      <c r="AK39" s="713"/>
      <c r="AL39" s="713"/>
      <c r="AM39" s="713"/>
      <c r="AN39" s="713"/>
      <c r="AO39" s="713"/>
      <c r="AP39" s="713"/>
      <c r="AQ39" s="713"/>
      <c r="AR39" s="713"/>
      <c r="AS39" s="713"/>
      <c r="AT39" s="713"/>
      <c r="AU39" s="713"/>
      <c r="AV39" s="713"/>
      <c r="AW39" s="713"/>
      <c r="AX39" s="713"/>
      <c r="AY39" s="713"/>
      <c r="AZ39" s="713"/>
      <c r="BA39" s="713"/>
      <c r="BB39" s="713"/>
      <c r="BC39" s="713"/>
      <c r="BD39" s="714"/>
    </row>
    <row r="40" spans="2:116" ht="10" customHeight="1">
      <c r="B40" s="710"/>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2"/>
      <c r="AC40" s="712"/>
      <c r="AD40" s="712"/>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4"/>
    </row>
    <row r="41" spans="2:116" ht="10" customHeight="1">
      <c r="B41" s="710"/>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2"/>
      <c r="AC41" s="712"/>
      <c r="AD41" s="712"/>
      <c r="AE41" s="713"/>
      <c r="AF41" s="713"/>
      <c r="AG41" s="713"/>
      <c r="AH41" s="713"/>
      <c r="AI41" s="713"/>
      <c r="AJ41" s="713"/>
      <c r="AK41" s="713"/>
      <c r="AL41" s="713"/>
      <c r="AM41" s="713"/>
      <c r="AN41" s="713"/>
      <c r="AO41" s="713"/>
      <c r="AP41" s="713"/>
      <c r="AQ41" s="713"/>
      <c r="AR41" s="713"/>
      <c r="AS41" s="713"/>
      <c r="AT41" s="713"/>
      <c r="AU41" s="713"/>
      <c r="AV41" s="713"/>
      <c r="AW41" s="713"/>
      <c r="AX41" s="713"/>
      <c r="AY41" s="713"/>
      <c r="AZ41" s="713"/>
      <c r="BA41" s="713"/>
      <c r="BB41" s="713"/>
      <c r="BC41" s="713"/>
      <c r="BD41" s="714"/>
    </row>
    <row r="42" spans="2:116" ht="10" customHeight="1">
      <c r="B42" s="710"/>
      <c r="C42" s="711"/>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2"/>
      <c r="AC42" s="712"/>
      <c r="AD42" s="712"/>
      <c r="AE42" s="713"/>
      <c r="AF42" s="713"/>
      <c r="AG42" s="713"/>
      <c r="AH42" s="713"/>
      <c r="AI42" s="713"/>
      <c r="AJ42" s="713"/>
      <c r="AK42" s="713"/>
      <c r="AL42" s="713"/>
      <c r="AM42" s="713"/>
      <c r="AN42" s="713"/>
      <c r="AO42" s="713"/>
      <c r="AP42" s="713"/>
      <c r="AQ42" s="713"/>
      <c r="AR42" s="713"/>
      <c r="AS42" s="713"/>
      <c r="AT42" s="713"/>
      <c r="AU42" s="713"/>
      <c r="AV42" s="713"/>
      <c r="AW42" s="713"/>
      <c r="AX42" s="713"/>
      <c r="AY42" s="713"/>
      <c r="AZ42" s="713"/>
      <c r="BA42" s="713"/>
      <c r="BB42" s="713"/>
      <c r="BC42" s="713"/>
      <c r="BD42" s="714"/>
    </row>
    <row r="43" spans="2:116" ht="10" customHeight="1">
      <c r="B43" s="710" t="s">
        <v>1319</v>
      </c>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2" t="s">
        <v>555</v>
      </c>
      <c r="AC43" s="712"/>
      <c r="AD43" s="712"/>
      <c r="AE43" s="713" t="s">
        <v>1114</v>
      </c>
      <c r="AF43" s="713"/>
      <c r="AG43" s="713"/>
      <c r="AH43" s="713"/>
      <c r="AI43" s="713"/>
      <c r="AJ43" s="713"/>
      <c r="AK43" s="713"/>
      <c r="AL43" s="713"/>
      <c r="AM43" s="713"/>
      <c r="AN43" s="713"/>
      <c r="AO43" s="713"/>
      <c r="AP43" s="713"/>
      <c r="AQ43" s="713"/>
      <c r="AR43" s="713"/>
      <c r="AS43" s="713"/>
      <c r="AT43" s="713"/>
      <c r="AU43" s="713"/>
      <c r="AV43" s="713"/>
      <c r="AW43" s="713"/>
      <c r="AX43" s="713"/>
      <c r="AY43" s="713"/>
      <c r="AZ43" s="713"/>
      <c r="BA43" s="713"/>
      <c r="BB43" s="713"/>
      <c r="BC43" s="713"/>
      <c r="BD43" s="714"/>
    </row>
    <row r="44" spans="2:116" ht="10" customHeight="1">
      <c r="B44" s="710"/>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2"/>
      <c r="AC44" s="712"/>
      <c r="AD44" s="712"/>
      <c r="AE44" s="713"/>
      <c r="AF44" s="713"/>
      <c r="AG44" s="713"/>
      <c r="AH44" s="713"/>
      <c r="AI44" s="713"/>
      <c r="AJ44" s="713"/>
      <c r="AK44" s="713"/>
      <c r="AL44" s="713"/>
      <c r="AM44" s="713"/>
      <c r="AN44" s="713"/>
      <c r="AO44" s="713"/>
      <c r="AP44" s="713"/>
      <c r="AQ44" s="713"/>
      <c r="AR44" s="713"/>
      <c r="AS44" s="713"/>
      <c r="AT44" s="713"/>
      <c r="AU44" s="713"/>
      <c r="AV44" s="713"/>
      <c r="AW44" s="713"/>
      <c r="AX44" s="713"/>
      <c r="AY44" s="713"/>
      <c r="AZ44" s="713"/>
      <c r="BA44" s="713"/>
      <c r="BB44" s="713"/>
      <c r="BC44" s="713"/>
      <c r="BD44" s="714"/>
    </row>
    <row r="45" spans="2:116" ht="10" customHeight="1">
      <c r="B45" s="710"/>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2"/>
      <c r="AC45" s="712"/>
      <c r="AD45" s="712"/>
      <c r="AE45" s="713"/>
      <c r="AF45" s="713"/>
      <c r="AG45" s="713"/>
      <c r="AH45" s="713"/>
      <c r="AI45" s="713"/>
      <c r="AJ45" s="713"/>
      <c r="AK45" s="713"/>
      <c r="AL45" s="713"/>
      <c r="AM45" s="713"/>
      <c r="AN45" s="713"/>
      <c r="AO45" s="713"/>
      <c r="AP45" s="713"/>
      <c r="AQ45" s="713"/>
      <c r="AR45" s="713"/>
      <c r="AS45" s="713"/>
      <c r="AT45" s="713"/>
      <c r="AU45" s="713"/>
      <c r="AV45" s="713"/>
      <c r="AW45" s="713"/>
      <c r="AX45" s="713"/>
      <c r="AY45" s="713"/>
      <c r="AZ45" s="713"/>
      <c r="BA45" s="713"/>
      <c r="BB45" s="713"/>
      <c r="BC45" s="713"/>
      <c r="BD45" s="714"/>
    </row>
    <row r="46" spans="2:116" ht="10" customHeight="1">
      <c r="B46" s="710"/>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2"/>
      <c r="AC46" s="712"/>
      <c r="AD46" s="712"/>
      <c r="AE46" s="713"/>
      <c r="AF46" s="713"/>
      <c r="AG46" s="713"/>
      <c r="AH46" s="713"/>
      <c r="AI46" s="713"/>
      <c r="AJ46" s="713"/>
      <c r="AK46" s="713"/>
      <c r="AL46" s="713"/>
      <c r="AM46" s="713"/>
      <c r="AN46" s="713"/>
      <c r="AO46" s="713"/>
      <c r="AP46" s="713"/>
      <c r="AQ46" s="713"/>
      <c r="AR46" s="713"/>
      <c r="AS46" s="713"/>
      <c r="AT46" s="713"/>
      <c r="AU46" s="713"/>
      <c r="AV46" s="713"/>
      <c r="AW46" s="713"/>
      <c r="AX46" s="713"/>
      <c r="AY46" s="713"/>
      <c r="AZ46" s="713"/>
      <c r="BA46" s="713"/>
      <c r="BB46" s="713"/>
      <c r="BC46" s="713"/>
      <c r="BD46" s="714"/>
    </row>
    <row r="47" spans="2:116" ht="10" customHeight="1">
      <c r="B47" s="717" t="s">
        <v>1320</v>
      </c>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t="s">
        <v>555</v>
      </c>
      <c r="AC47" s="712"/>
      <c r="AD47" s="712"/>
      <c r="AE47" s="713" t="s">
        <v>1349</v>
      </c>
      <c r="AF47" s="713"/>
      <c r="AG47" s="713"/>
      <c r="AH47" s="713"/>
      <c r="AI47" s="713"/>
      <c r="AJ47" s="713"/>
      <c r="AK47" s="713"/>
      <c r="AL47" s="713"/>
      <c r="AM47" s="713"/>
      <c r="AN47" s="713"/>
      <c r="AO47" s="713"/>
      <c r="AP47" s="713"/>
      <c r="AQ47" s="713"/>
      <c r="AR47" s="713"/>
      <c r="AS47" s="713"/>
      <c r="AT47" s="713"/>
      <c r="AU47" s="713"/>
      <c r="AV47" s="713"/>
      <c r="AW47" s="713"/>
      <c r="AX47" s="713"/>
      <c r="AY47" s="713"/>
      <c r="AZ47" s="713"/>
      <c r="BA47" s="713"/>
      <c r="BB47" s="713"/>
      <c r="BC47" s="713"/>
      <c r="BD47" s="714"/>
    </row>
    <row r="48" spans="2:116" ht="10" customHeight="1">
      <c r="B48" s="717"/>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3"/>
      <c r="AF48" s="713"/>
      <c r="AG48" s="713"/>
      <c r="AH48" s="713"/>
      <c r="AI48" s="713"/>
      <c r="AJ48" s="713"/>
      <c r="AK48" s="713"/>
      <c r="AL48" s="713"/>
      <c r="AM48" s="713"/>
      <c r="AN48" s="713"/>
      <c r="AO48" s="713"/>
      <c r="AP48" s="713"/>
      <c r="AQ48" s="713"/>
      <c r="AR48" s="713"/>
      <c r="AS48" s="713"/>
      <c r="AT48" s="713"/>
      <c r="AU48" s="713"/>
      <c r="AV48" s="713"/>
      <c r="AW48" s="713"/>
      <c r="AX48" s="713"/>
      <c r="AY48" s="713"/>
      <c r="AZ48" s="713"/>
      <c r="BA48" s="713"/>
      <c r="BB48" s="713"/>
      <c r="BC48" s="713"/>
      <c r="BD48" s="714"/>
    </row>
    <row r="49" spans="2:116" ht="10" customHeight="1">
      <c r="B49" s="717" t="s">
        <v>1596</v>
      </c>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t="s">
        <v>555</v>
      </c>
      <c r="AC49" s="712"/>
      <c r="AD49" s="712"/>
      <c r="AE49" s="713" t="s">
        <v>1601</v>
      </c>
      <c r="AF49" s="713"/>
      <c r="AG49" s="713"/>
      <c r="AH49" s="713"/>
      <c r="AI49" s="713"/>
      <c r="AJ49" s="713"/>
      <c r="AK49" s="713"/>
      <c r="AL49" s="713"/>
      <c r="AM49" s="713"/>
      <c r="AN49" s="713"/>
      <c r="AO49" s="713"/>
      <c r="AP49" s="713"/>
      <c r="AQ49" s="713"/>
      <c r="AR49" s="713"/>
      <c r="AS49" s="713"/>
      <c r="AT49" s="713"/>
      <c r="AU49" s="713"/>
      <c r="AV49" s="713"/>
      <c r="AW49" s="713"/>
      <c r="AX49" s="713"/>
      <c r="AY49" s="713"/>
      <c r="AZ49" s="713"/>
      <c r="BA49" s="713"/>
      <c r="BB49" s="713"/>
      <c r="BC49" s="713"/>
      <c r="BD49" s="714"/>
    </row>
    <row r="50" spans="2:116" ht="10" customHeight="1">
      <c r="B50" s="717"/>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3"/>
      <c r="AF50" s="713"/>
      <c r="AG50" s="713"/>
      <c r="AH50" s="713"/>
      <c r="AI50" s="713"/>
      <c r="AJ50" s="713"/>
      <c r="AK50" s="713"/>
      <c r="AL50" s="713"/>
      <c r="AM50" s="713"/>
      <c r="AN50" s="713"/>
      <c r="AO50" s="713"/>
      <c r="AP50" s="713"/>
      <c r="AQ50" s="713"/>
      <c r="AR50" s="713"/>
      <c r="AS50" s="713"/>
      <c r="AT50" s="713"/>
      <c r="AU50" s="713"/>
      <c r="AV50" s="713"/>
      <c r="AW50" s="713"/>
      <c r="AX50" s="713"/>
      <c r="AY50" s="713"/>
      <c r="AZ50" s="713"/>
      <c r="BA50" s="713"/>
      <c r="BB50" s="713"/>
      <c r="BC50" s="713"/>
      <c r="BD50" s="714"/>
    </row>
    <row r="51" spans="2:116" ht="10" customHeight="1">
      <c r="B51" s="717" t="s">
        <v>1358</v>
      </c>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Z51" s="712"/>
      <c r="AA51" s="712"/>
      <c r="AB51" s="712" t="s">
        <v>555</v>
      </c>
      <c r="AC51" s="712"/>
      <c r="AD51" s="712"/>
      <c r="AE51" s="755" t="s">
        <v>1365</v>
      </c>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6"/>
    </row>
    <row r="52" spans="2:116" ht="10" customHeight="1">
      <c r="B52" s="717"/>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55"/>
      <c r="AF52" s="755"/>
      <c r="AG52" s="755"/>
      <c r="AH52" s="755"/>
      <c r="AI52" s="755"/>
      <c r="AJ52" s="755"/>
      <c r="AK52" s="755"/>
      <c r="AL52" s="755"/>
      <c r="AM52" s="755"/>
      <c r="AN52" s="755"/>
      <c r="AO52" s="755"/>
      <c r="AP52" s="755"/>
      <c r="AQ52" s="755"/>
      <c r="AR52" s="755"/>
      <c r="AS52" s="755"/>
      <c r="AT52" s="755"/>
      <c r="AU52" s="755"/>
      <c r="AV52" s="755"/>
      <c r="AW52" s="755"/>
      <c r="AX52" s="755"/>
      <c r="AY52" s="755"/>
      <c r="AZ52" s="755"/>
      <c r="BA52" s="755"/>
      <c r="BB52" s="755"/>
      <c r="BC52" s="755"/>
      <c r="BD52" s="756"/>
    </row>
    <row r="53" spans="2:116" ht="10" customHeight="1">
      <c r="B53" s="717" t="s">
        <v>556</v>
      </c>
      <c r="C53" s="712"/>
      <c r="D53" s="712"/>
      <c r="E53" s="712"/>
      <c r="F53" s="712"/>
      <c r="G53" s="712"/>
      <c r="H53" s="712"/>
      <c r="I53" s="712"/>
      <c r="J53" s="712"/>
      <c r="K53" s="712"/>
      <c r="L53" s="712"/>
      <c r="M53" s="712"/>
      <c r="N53" s="712"/>
      <c r="O53" s="712"/>
      <c r="P53" s="712"/>
      <c r="Q53" s="712"/>
      <c r="R53" s="712"/>
      <c r="S53" s="712"/>
      <c r="T53" s="712"/>
      <c r="U53" s="712"/>
      <c r="V53" s="712"/>
      <c r="W53" s="712"/>
      <c r="X53" s="712"/>
      <c r="Y53" s="712"/>
      <c r="Z53" s="712"/>
      <c r="AA53" s="712"/>
      <c r="AB53" s="712" t="s">
        <v>555</v>
      </c>
      <c r="AC53" s="712"/>
      <c r="AD53" s="712"/>
      <c r="AE53" s="713" t="s">
        <v>583</v>
      </c>
      <c r="AF53" s="713"/>
      <c r="AG53" s="713"/>
      <c r="AH53" s="713"/>
      <c r="AI53" s="713"/>
      <c r="AJ53" s="713"/>
      <c r="AK53" s="713"/>
      <c r="AL53" s="713"/>
      <c r="AM53" s="713"/>
      <c r="AN53" s="713"/>
      <c r="AO53" s="713"/>
      <c r="AP53" s="713"/>
      <c r="AQ53" s="713"/>
      <c r="AR53" s="713"/>
      <c r="AS53" s="713"/>
      <c r="AT53" s="713"/>
      <c r="AU53" s="713"/>
      <c r="AV53" s="713"/>
      <c r="AW53" s="713"/>
      <c r="AX53" s="713"/>
      <c r="AY53" s="713"/>
      <c r="AZ53" s="713"/>
      <c r="BA53" s="713"/>
      <c r="BB53" s="713"/>
      <c r="BC53" s="713"/>
      <c r="BD53" s="714"/>
    </row>
    <row r="54" spans="2:116" ht="10" customHeight="1">
      <c r="B54" s="717"/>
      <c r="C54" s="712"/>
      <c r="D54" s="712"/>
      <c r="E54" s="712"/>
      <c r="F54" s="712"/>
      <c r="G54" s="712"/>
      <c r="H54" s="712"/>
      <c r="I54" s="712"/>
      <c r="J54" s="712"/>
      <c r="K54" s="712"/>
      <c r="L54" s="712"/>
      <c r="M54" s="712"/>
      <c r="N54" s="712"/>
      <c r="O54" s="712"/>
      <c r="P54" s="712"/>
      <c r="Q54" s="712"/>
      <c r="R54" s="712"/>
      <c r="S54" s="712"/>
      <c r="T54" s="712"/>
      <c r="U54" s="712"/>
      <c r="V54" s="712"/>
      <c r="W54" s="712"/>
      <c r="X54" s="712"/>
      <c r="Y54" s="712"/>
      <c r="Z54" s="712"/>
      <c r="AA54" s="712"/>
      <c r="AB54" s="712"/>
      <c r="AC54" s="712"/>
      <c r="AD54" s="712"/>
      <c r="AE54" s="713"/>
      <c r="AF54" s="713"/>
      <c r="AG54" s="713"/>
      <c r="AH54" s="713"/>
      <c r="AI54" s="713"/>
      <c r="AJ54" s="713"/>
      <c r="AK54" s="713"/>
      <c r="AL54" s="713"/>
      <c r="AM54" s="713"/>
      <c r="AN54" s="713"/>
      <c r="AO54" s="713"/>
      <c r="AP54" s="713"/>
      <c r="AQ54" s="713"/>
      <c r="AR54" s="713"/>
      <c r="AS54" s="713"/>
      <c r="AT54" s="713"/>
      <c r="AU54" s="713"/>
      <c r="AV54" s="713"/>
      <c r="AW54" s="713"/>
      <c r="AX54" s="713"/>
      <c r="AY54" s="713"/>
      <c r="AZ54" s="713"/>
      <c r="BA54" s="713"/>
      <c r="BB54" s="713"/>
      <c r="BC54" s="713"/>
      <c r="BD54" s="714"/>
    </row>
    <row r="55" spans="2:116" ht="10" customHeight="1">
      <c r="B55" s="710" t="s">
        <v>1322</v>
      </c>
      <c r="C55" s="712"/>
      <c r="D55" s="712"/>
      <c r="E55" s="712"/>
      <c r="F55" s="712"/>
      <c r="G55" s="712"/>
      <c r="H55" s="712"/>
      <c r="I55" s="712"/>
      <c r="J55" s="712"/>
      <c r="K55" s="712"/>
      <c r="L55" s="712"/>
      <c r="M55" s="712"/>
      <c r="N55" s="712"/>
      <c r="O55" s="712"/>
      <c r="P55" s="712"/>
      <c r="Q55" s="712"/>
      <c r="R55" s="712"/>
      <c r="S55" s="712"/>
      <c r="T55" s="712"/>
      <c r="U55" s="712"/>
      <c r="V55" s="712"/>
      <c r="W55" s="712"/>
      <c r="X55" s="712"/>
      <c r="Y55" s="712"/>
      <c r="Z55" s="712"/>
      <c r="AA55" s="712"/>
      <c r="AB55" s="712" t="s">
        <v>555</v>
      </c>
      <c r="AC55" s="712"/>
      <c r="AD55" s="712"/>
      <c r="AE55" s="713" t="s">
        <v>891</v>
      </c>
      <c r="AF55" s="713"/>
      <c r="AG55" s="713"/>
      <c r="AH55" s="713"/>
      <c r="AI55" s="713"/>
      <c r="AJ55" s="713"/>
      <c r="AK55" s="713"/>
      <c r="AL55" s="713"/>
      <c r="AM55" s="713"/>
      <c r="AN55" s="713"/>
      <c r="AO55" s="713"/>
      <c r="AP55" s="713"/>
      <c r="AQ55" s="713"/>
      <c r="AR55" s="713"/>
      <c r="AS55" s="713"/>
      <c r="AT55" s="713"/>
      <c r="AU55" s="713"/>
      <c r="AV55" s="713"/>
      <c r="AW55" s="713"/>
      <c r="AX55" s="713"/>
      <c r="AY55" s="713"/>
      <c r="AZ55" s="713"/>
      <c r="BA55" s="713"/>
      <c r="BB55" s="713"/>
      <c r="BC55" s="713"/>
      <c r="BD55" s="714"/>
    </row>
    <row r="56" spans="2:116" ht="10" customHeight="1">
      <c r="B56" s="717"/>
      <c r="C56" s="712"/>
      <c r="D56" s="712"/>
      <c r="E56" s="712"/>
      <c r="F56" s="712"/>
      <c r="G56" s="712"/>
      <c r="H56" s="712"/>
      <c r="I56" s="712"/>
      <c r="J56" s="712"/>
      <c r="K56" s="712"/>
      <c r="L56" s="712"/>
      <c r="M56" s="712"/>
      <c r="N56" s="712"/>
      <c r="O56" s="712"/>
      <c r="P56" s="712"/>
      <c r="Q56" s="712"/>
      <c r="R56" s="712"/>
      <c r="S56" s="712"/>
      <c r="T56" s="712"/>
      <c r="U56" s="712"/>
      <c r="V56" s="712"/>
      <c r="W56" s="712"/>
      <c r="X56" s="712"/>
      <c r="Y56" s="712"/>
      <c r="Z56" s="712"/>
      <c r="AA56" s="712"/>
      <c r="AB56" s="712"/>
      <c r="AC56" s="712"/>
      <c r="AD56" s="712"/>
      <c r="AE56" s="713"/>
      <c r="AF56" s="713"/>
      <c r="AG56" s="713"/>
      <c r="AH56" s="713"/>
      <c r="AI56" s="713"/>
      <c r="AJ56" s="713"/>
      <c r="AK56" s="713"/>
      <c r="AL56" s="713"/>
      <c r="AM56" s="713"/>
      <c r="AN56" s="713"/>
      <c r="AO56" s="713"/>
      <c r="AP56" s="713"/>
      <c r="AQ56" s="713"/>
      <c r="AR56" s="713"/>
      <c r="AS56" s="713"/>
      <c r="AT56" s="713"/>
      <c r="AU56" s="713"/>
      <c r="AV56" s="713"/>
      <c r="AW56" s="713"/>
      <c r="AX56" s="713"/>
      <c r="AY56" s="713"/>
      <c r="AZ56" s="713"/>
      <c r="BA56" s="713"/>
      <c r="BB56" s="713"/>
      <c r="BC56" s="713"/>
      <c r="BD56" s="714"/>
    </row>
    <row r="57" spans="2:116" ht="10" customHeight="1">
      <c r="B57" s="717"/>
      <c r="C57" s="712"/>
      <c r="D57" s="712"/>
      <c r="E57" s="712"/>
      <c r="F57" s="712"/>
      <c r="G57" s="712"/>
      <c r="H57" s="712"/>
      <c r="I57" s="712"/>
      <c r="J57" s="712"/>
      <c r="K57" s="712"/>
      <c r="L57" s="712"/>
      <c r="M57" s="712"/>
      <c r="N57" s="712"/>
      <c r="O57" s="712"/>
      <c r="P57" s="712"/>
      <c r="Q57" s="712"/>
      <c r="R57" s="712"/>
      <c r="S57" s="712"/>
      <c r="T57" s="712"/>
      <c r="U57" s="712"/>
      <c r="V57" s="712"/>
      <c r="W57" s="712"/>
      <c r="X57" s="712"/>
      <c r="Y57" s="712"/>
      <c r="Z57" s="712"/>
      <c r="AA57" s="712"/>
      <c r="AB57" s="712"/>
      <c r="AC57" s="712"/>
      <c r="AD57" s="712"/>
      <c r="AE57" s="713"/>
      <c r="AF57" s="713"/>
      <c r="AG57" s="713"/>
      <c r="AH57" s="713"/>
      <c r="AI57" s="713"/>
      <c r="AJ57" s="713"/>
      <c r="AK57" s="713"/>
      <c r="AL57" s="713"/>
      <c r="AM57" s="713"/>
      <c r="AN57" s="713"/>
      <c r="AO57" s="713"/>
      <c r="AP57" s="713"/>
      <c r="AQ57" s="713"/>
      <c r="AR57" s="713"/>
      <c r="AS57" s="713"/>
      <c r="AT57" s="713"/>
      <c r="AU57" s="713"/>
      <c r="AV57" s="713"/>
      <c r="AW57" s="713"/>
      <c r="AX57" s="713"/>
      <c r="AY57" s="713"/>
      <c r="AZ57" s="713"/>
      <c r="BA57" s="713"/>
      <c r="BB57" s="713"/>
      <c r="BC57" s="713"/>
      <c r="BD57" s="714"/>
    </row>
    <row r="58" spans="2:116" ht="10" customHeight="1">
      <c r="B58" s="717"/>
      <c r="C58" s="712"/>
      <c r="D58" s="712"/>
      <c r="E58" s="712"/>
      <c r="F58" s="712"/>
      <c r="G58" s="712"/>
      <c r="H58" s="712"/>
      <c r="I58" s="712"/>
      <c r="J58" s="712"/>
      <c r="K58" s="712"/>
      <c r="L58" s="712"/>
      <c r="M58" s="712"/>
      <c r="N58" s="712"/>
      <c r="O58" s="712"/>
      <c r="P58" s="712"/>
      <c r="Q58" s="712"/>
      <c r="R58" s="712"/>
      <c r="S58" s="712"/>
      <c r="T58" s="712"/>
      <c r="U58" s="712"/>
      <c r="V58" s="712"/>
      <c r="W58" s="712"/>
      <c r="X58" s="712"/>
      <c r="Y58" s="712"/>
      <c r="Z58" s="712"/>
      <c r="AA58" s="712"/>
      <c r="AB58" s="712"/>
      <c r="AC58" s="712"/>
      <c r="AD58" s="712"/>
      <c r="AE58" s="713"/>
      <c r="AF58" s="713"/>
      <c r="AG58" s="713"/>
      <c r="AH58" s="713"/>
      <c r="AI58" s="713"/>
      <c r="AJ58" s="713"/>
      <c r="AK58" s="713"/>
      <c r="AL58" s="713"/>
      <c r="AM58" s="713"/>
      <c r="AN58" s="713"/>
      <c r="AO58" s="713"/>
      <c r="AP58" s="713"/>
      <c r="AQ58" s="713"/>
      <c r="AR58" s="713"/>
      <c r="AS58" s="713"/>
      <c r="AT58" s="713"/>
      <c r="AU58" s="713"/>
      <c r="AV58" s="713"/>
      <c r="AW58" s="713"/>
      <c r="AX58" s="713"/>
      <c r="AY58" s="713"/>
      <c r="AZ58" s="713"/>
      <c r="BA58" s="713"/>
      <c r="BB58" s="713"/>
      <c r="BC58" s="713"/>
      <c r="BD58" s="714"/>
      <c r="BF58" s="695"/>
    </row>
    <row r="59" spans="2:116" ht="10" customHeight="1">
      <c r="B59" s="710" t="s">
        <v>1323</v>
      </c>
      <c r="C59" s="712"/>
      <c r="D59" s="712"/>
      <c r="E59" s="712"/>
      <c r="F59" s="712"/>
      <c r="G59" s="712"/>
      <c r="H59" s="712"/>
      <c r="I59" s="712"/>
      <c r="J59" s="712"/>
      <c r="K59" s="712"/>
      <c r="L59" s="712"/>
      <c r="M59" s="712"/>
      <c r="N59" s="712"/>
      <c r="O59" s="712"/>
      <c r="P59" s="712"/>
      <c r="Q59" s="712"/>
      <c r="R59" s="712"/>
      <c r="S59" s="712"/>
      <c r="T59" s="712"/>
      <c r="U59" s="712"/>
      <c r="V59" s="712"/>
      <c r="W59" s="712"/>
      <c r="X59" s="712"/>
      <c r="Y59" s="712"/>
      <c r="Z59" s="712"/>
      <c r="AA59" s="712"/>
      <c r="AB59" s="712" t="s">
        <v>555</v>
      </c>
      <c r="AC59" s="712"/>
      <c r="AD59" s="712"/>
      <c r="AE59" s="713" t="s">
        <v>890</v>
      </c>
      <c r="AF59" s="713"/>
      <c r="AG59" s="713"/>
      <c r="AH59" s="713"/>
      <c r="AI59" s="713"/>
      <c r="AJ59" s="713"/>
      <c r="AK59" s="713"/>
      <c r="AL59" s="713"/>
      <c r="AM59" s="713"/>
      <c r="AN59" s="713"/>
      <c r="AO59" s="713"/>
      <c r="AP59" s="713"/>
      <c r="AQ59" s="713"/>
      <c r="AR59" s="713"/>
      <c r="AS59" s="713"/>
      <c r="AT59" s="713"/>
      <c r="AU59" s="713"/>
      <c r="AV59" s="713"/>
      <c r="AW59" s="713"/>
      <c r="AX59" s="713"/>
      <c r="AY59" s="713"/>
      <c r="AZ59" s="713"/>
      <c r="BA59" s="713"/>
      <c r="BB59" s="713"/>
      <c r="BC59" s="713"/>
      <c r="BD59" s="714"/>
      <c r="BF59" s="753" t="s">
        <v>1513</v>
      </c>
      <c r="BG59" s="754"/>
      <c r="BH59" s="754"/>
      <c r="BI59" s="754"/>
      <c r="BJ59" s="754"/>
      <c r="BK59" s="754"/>
      <c r="BL59" s="754"/>
      <c r="BM59" s="754"/>
      <c r="BN59" s="754"/>
      <c r="BO59" s="754"/>
      <c r="BP59" s="754"/>
      <c r="BQ59" s="754"/>
      <c r="BR59" s="754"/>
      <c r="BS59" s="754"/>
      <c r="BT59" s="754"/>
      <c r="BU59" s="754"/>
      <c r="BV59" s="754"/>
      <c r="BW59" s="754"/>
      <c r="BX59" s="754"/>
      <c r="BY59" s="754"/>
      <c r="BZ59" s="754"/>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754"/>
      <c r="DH59" s="754"/>
      <c r="DI59" s="754"/>
      <c r="DJ59" s="754"/>
      <c r="DK59" s="754"/>
      <c r="DL59" s="754"/>
    </row>
    <row r="60" spans="2:116" ht="10" customHeight="1">
      <c r="B60" s="717"/>
      <c r="C60" s="712"/>
      <c r="D60" s="712"/>
      <c r="E60" s="712"/>
      <c r="F60" s="712"/>
      <c r="G60" s="712"/>
      <c r="H60" s="712"/>
      <c r="I60" s="712"/>
      <c r="J60" s="712"/>
      <c r="K60" s="712"/>
      <c r="L60" s="712"/>
      <c r="M60" s="712"/>
      <c r="N60" s="712"/>
      <c r="O60" s="712"/>
      <c r="P60" s="712"/>
      <c r="Q60" s="712"/>
      <c r="R60" s="712"/>
      <c r="S60" s="712"/>
      <c r="T60" s="712"/>
      <c r="U60" s="712"/>
      <c r="V60" s="712"/>
      <c r="W60" s="712"/>
      <c r="X60" s="712"/>
      <c r="Y60" s="712"/>
      <c r="Z60" s="712"/>
      <c r="AA60" s="712"/>
      <c r="AB60" s="712"/>
      <c r="AC60" s="712"/>
      <c r="AD60" s="712"/>
      <c r="AE60" s="713"/>
      <c r="AF60" s="713"/>
      <c r="AG60" s="713"/>
      <c r="AH60" s="713"/>
      <c r="AI60" s="713"/>
      <c r="AJ60" s="713"/>
      <c r="AK60" s="713"/>
      <c r="AL60" s="713"/>
      <c r="AM60" s="713"/>
      <c r="AN60" s="713"/>
      <c r="AO60" s="713"/>
      <c r="AP60" s="713"/>
      <c r="AQ60" s="713"/>
      <c r="AR60" s="713"/>
      <c r="AS60" s="713"/>
      <c r="AT60" s="713"/>
      <c r="AU60" s="713"/>
      <c r="AV60" s="713"/>
      <c r="AW60" s="713"/>
      <c r="AX60" s="713"/>
      <c r="AY60" s="713"/>
      <c r="AZ60" s="713"/>
      <c r="BA60" s="713"/>
      <c r="BB60" s="713"/>
      <c r="BC60" s="713"/>
      <c r="BD60" s="71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c r="CB60" s="754"/>
      <c r="CC60" s="754"/>
      <c r="CD60" s="754"/>
      <c r="CE60" s="754"/>
      <c r="CF60" s="754"/>
      <c r="CG60" s="754"/>
      <c r="CH60" s="754"/>
      <c r="CI60" s="754"/>
      <c r="CJ60" s="754"/>
      <c r="CK60" s="754"/>
      <c r="CL60" s="754"/>
      <c r="CM60" s="754"/>
      <c r="CN60" s="754"/>
      <c r="CO60" s="754"/>
      <c r="CP60" s="754"/>
      <c r="CQ60" s="754"/>
      <c r="CR60" s="754"/>
      <c r="CS60" s="754"/>
      <c r="CT60" s="754"/>
      <c r="CU60" s="754"/>
      <c r="CV60" s="754"/>
      <c r="CW60" s="754"/>
      <c r="CX60" s="754"/>
      <c r="CY60" s="754"/>
      <c r="CZ60" s="754"/>
      <c r="DA60" s="754"/>
      <c r="DB60" s="754"/>
      <c r="DC60" s="754"/>
      <c r="DD60" s="754"/>
      <c r="DE60" s="754"/>
      <c r="DF60" s="754"/>
      <c r="DG60" s="754"/>
      <c r="DH60" s="754"/>
      <c r="DI60" s="754"/>
      <c r="DJ60" s="754"/>
      <c r="DK60" s="754"/>
      <c r="DL60" s="754"/>
    </row>
    <row r="61" spans="2:116" ht="10" customHeight="1">
      <c r="B61" s="717"/>
      <c r="C61" s="712"/>
      <c r="D61" s="712"/>
      <c r="E61" s="712"/>
      <c r="F61" s="712"/>
      <c r="G61" s="712"/>
      <c r="H61" s="712"/>
      <c r="I61" s="712"/>
      <c r="J61" s="712"/>
      <c r="K61" s="712"/>
      <c r="L61" s="712"/>
      <c r="M61" s="712"/>
      <c r="N61" s="712"/>
      <c r="O61" s="712"/>
      <c r="P61" s="712"/>
      <c r="Q61" s="712"/>
      <c r="R61" s="712"/>
      <c r="S61" s="712"/>
      <c r="T61" s="712"/>
      <c r="U61" s="712"/>
      <c r="V61" s="712"/>
      <c r="W61" s="712"/>
      <c r="X61" s="712"/>
      <c r="Y61" s="712"/>
      <c r="Z61" s="712"/>
      <c r="AA61" s="712"/>
      <c r="AB61" s="712"/>
      <c r="AC61" s="712"/>
      <c r="AD61" s="712"/>
      <c r="AE61" s="713"/>
      <c r="AF61" s="713"/>
      <c r="AG61" s="713"/>
      <c r="AH61" s="713"/>
      <c r="AI61" s="713"/>
      <c r="AJ61" s="713"/>
      <c r="AK61" s="713"/>
      <c r="AL61" s="713"/>
      <c r="AM61" s="713"/>
      <c r="AN61" s="713"/>
      <c r="AO61" s="713"/>
      <c r="AP61" s="713"/>
      <c r="AQ61" s="713"/>
      <c r="AR61" s="713"/>
      <c r="AS61" s="713"/>
      <c r="AT61" s="713"/>
      <c r="AU61" s="713"/>
      <c r="AV61" s="713"/>
      <c r="AW61" s="713"/>
      <c r="AX61" s="713"/>
      <c r="AY61" s="713"/>
      <c r="AZ61" s="713"/>
      <c r="BA61" s="713"/>
      <c r="BB61" s="713"/>
      <c r="BC61" s="713"/>
      <c r="BD61" s="714"/>
    </row>
    <row r="62" spans="2:116" ht="10" customHeight="1" thickBot="1">
      <c r="B62" s="757"/>
      <c r="C62" s="758"/>
      <c r="D62" s="758"/>
      <c r="E62" s="758"/>
      <c r="F62" s="758"/>
      <c r="G62" s="758"/>
      <c r="H62" s="758"/>
      <c r="I62" s="758"/>
      <c r="J62" s="758"/>
      <c r="K62" s="758"/>
      <c r="L62" s="758"/>
      <c r="M62" s="758"/>
      <c r="N62" s="758"/>
      <c r="O62" s="758"/>
      <c r="P62" s="758"/>
      <c r="Q62" s="758"/>
      <c r="R62" s="758"/>
      <c r="S62" s="758"/>
      <c r="T62" s="758"/>
      <c r="U62" s="758"/>
      <c r="V62" s="758"/>
      <c r="W62" s="758"/>
      <c r="X62" s="758"/>
      <c r="Y62" s="758"/>
      <c r="Z62" s="758"/>
      <c r="AA62" s="758"/>
      <c r="AB62" s="758"/>
      <c r="AC62" s="758"/>
      <c r="AD62" s="758"/>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60"/>
    </row>
    <row r="63" spans="2:116" ht="10" customHeight="1"/>
    <row r="64" spans="2:116" ht="10" customHeight="1"/>
    <row r="65" spans="3:16" ht="10" customHeight="1"/>
    <row r="66" spans="3:16" ht="10" customHeight="1"/>
    <row r="67" spans="3:16" ht="10" customHeight="1">
      <c r="C67" s="127" t="s">
        <v>1321</v>
      </c>
    </row>
    <row r="68" spans="3:16" ht="10" customHeight="1"/>
    <row r="69" spans="3:16" ht="10" customHeight="1"/>
    <row r="70" spans="3:16" ht="10" customHeight="1"/>
    <row r="71" spans="3:16" ht="10" customHeight="1"/>
    <row r="72" spans="3:16" ht="10" customHeight="1"/>
    <row r="73" spans="3:16" ht="10" customHeight="1"/>
    <row r="74" spans="3:16" ht="10" customHeight="1">
      <c r="P74" s="127" t="s">
        <v>1321</v>
      </c>
    </row>
    <row r="75" spans="3:16" ht="10" customHeight="1"/>
    <row r="76" spans="3:16" ht="10" customHeight="1"/>
  </sheetData>
  <sheetProtection algorithmName="SHA-512" hashValue="UuquX0tPlaQph5QsTjjJ1KfW2X++3bVSBYPsTCiJSCIUa+EPDWWFUJ6XpKCSc6gYWYQbWtBGHYkqNIke90gaNA==" saltValue="nDXIkoDA+1G7H2JsKxeaaQ==" spinCount="100000" sheet="1" selectLockedCells="1"/>
  <mergeCells count="38">
    <mergeCell ref="AE51:BD52"/>
    <mergeCell ref="B55:AA58"/>
    <mergeCell ref="AB55:AD58"/>
    <mergeCell ref="AE55:BD58"/>
    <mergeCell ref="B59:AA62"/>
    <mergeCell ref="AB59:AD62"/>
    <mergeCell ref="AE59:BD62"/>
    <mergeCell ref="BF36:DL37"/>
    <mergeCell ref="BF59:DL60"/>
    <mergeCell ref="B43:AA46"/>
    <mergeCell ref="AB43:AD46"/>
    <mergeCell ref="AE43:BD46"/>
    <mergeCell ref="B53:AA54"/>
    <mergeCell ref="AB53:AD54"/>
    <mergeCell ref="AE53:BD54"/>
    <mergeCell ref="B47:AA48"/>
    <mergeCell ref="AB47:AD48"/>
    <mergeCell ref="AE47:BD48"/>
    <mergeCell ref="B49:AA50"/>
    <mergeCell ref="AB49:AD50"/>
    <mergeCell ref="AE49:BD50"/>
    <mergeCell ref="B51:AA52"/>
    <mergeCell ref="AB51:AD52"/>
    <mergeCell ref="B24:BD29"/>
    <mergeCell ref="A4:AD6"/>
    <mergeCell ref="A1:DL3"/>
    <mergeCell ref="B7:CC10"/>
    <mergeCell ref="B11:H12"/>
    <mergeCell ref="I11:AB12"/>
    <mergeCell ref="B30:AA31"/>
    <mergeCell ref="AB30:AD31"/>
    <mergeCell ref="AE30:BD31"/>
    <mergeCell ref="B34:AA42"/>
    <mergeCell ref="AB34:AD42"/>
    <mergeCell ref="AE34:BD42"/>
    <mergeCell ref="B32:AA33"/>
    <mergeCell ref="AB32:AD33"/>
    <mergeCell ref="AE32:BD33"/>
  </mergeCells>
  <phoneticPr fontId="68"/>
  <hyperlinks>
    <hyperlink ref="I11:AB12" r:id="rId1" display="https://www.daj.jp/terms/" xr:uid="{00000000-0004-0000-0000-000000000000}"/>
    <hyperlink ref="AE34:BD42" location="入力フォームiF・mF・FC・iFBC・MA!J20" display="入力フォームiF・mF・FC・iFBC・MA" xr:uid="{00000000-0004-0000-0000-000001000000}"/>
    <hyperlink ref="AE43:BD46" location="入力フォームDA_Cloud!J20" display="入力フォームDA_Cloud" xr:uid="{00000000-0004-0000-0000-000002000000}"/>
    <hyperlink ref="AE53:BD54" location="入力フォームDSPA!J20" display="入力フォームDSPA" xr:uid="{00000000-0004-0000-0000-000003000000}"/>
    <hyperlink ref="AE55:BD58" location="代ホ_入力フォームiF・mF・MA!J20" display="代ホ_入力フォームiF・mF・MA" xr:uid="{00000000-0004-0000-0000-000004000000}"/>
    <hyperlink ref="AE59:BD62" location="代ホ_入力フォームDSPA!J20" display="代ホ_入力フォームDSPA" xr:uid="{00000000-0004-0000-0000-000005000000}"/>
    <hyperlink ref="AE51:BD52" location="'入力フォーム_f-FILTER'!J20" display="入力フォーム f-FILTER" xr:uid="{00000000-0004-0000-0000-000007000000}"/>
    <hyperlink ref="AE47:BD48" location="入力フォーム_Desk!j20" display="入力フォーム_Desk" xr:uid="{00000000-0004-0000-0000-000008000000}"/>
    <hyperlink ref="BF36" r:id="rId2" xr:uid="{0EA98C54-DCC7-4CA7-BA45-110728C2581E}"/>
    <hyperlink ref="BF59" r:id="rId3" location="product_oath" xr:uid="{F558337E-19EC-4ABF-8BC7-B9F2A87894D1}"/>
    <hyperlink ref="AE32:BD33" location="'入力フォーム_Z-FILTER'!J20" display="入力フォーム Z-FILTER" xr:uid="{6BA4793C-F838-4391-B1DE-A1A70A2EDD48}"/>
    <hyperlink ref="I11" r:id="rId4" xr:uid="{E6F98BED-CBD3-47B8-BCAF-109659B37393}"/>
    <hyperlink ref="AE49:BD50" location="'入力フォーム_a-FILTER'!J20" display="入力フォーム a-FILTER" xr:uid="{00000000-0004-0000-0000-000006000000}"/>
  </hyperlinks>
  <pageMargins left="0.7" right="0.7" top="0.75" bottom="0.75" header="0.3" footer="0.3"/>
  <pageSetup paperSize="120"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ES160"/>
  <sheetViews>
    <sheetView zoomScaleNormal="100" workbookViewId="0">
      <selection activeCell="G31" sqref="G31:BF32"/>
    </sheetView>
  </sheetViews>
  <sheetFormatPr defaultColWidth="1.26953125" defaultRowHeight="7.5" customHeight="1"/>
  <cols>
    <col min="1" max="1" width="2.6328125" style="45" customWidth="1"/>
    <col min="2" max="2" width="2" style="45" customWidth="1"/>
    <col min="3" max="6" width="1.26953125" style="45"/>
    <col min="7" max="7" width="1.26953125" style="45" customWidth="1"/>
    <col min="8" max="9" width="1.26953125" style="45"/>
    <col min="10" max="10" width="1.26953125" style="45" customWidth="1"/>
    <col min="11" max="12" width="1.26953125" style="45"/>
    <col min="13" max="13" width="1.36328125" style="45" customWidth="1"/>
    <col min="14" max="48" width="1.26953125" style="45"/>
    <col min="49" max="49" width="1.26953125" style="45" customWidth="1"/>
    <col min="50" max="57" width="1.26953125" style="45"/>
    <col min="58" max="58" width="1.26953125" style="45" customWidth="1"/>
    <col min="59" max="69" width="1.26953125" style="45"/>
    <col min="70" max="70" width="1.90625" style="45" customWidth="1"/>
    <col min="71" max="74" width="1.26953125" style="45"/>
    <col min="75" max="75" width="2.90625" style="45" customWidth="1"/>
    <col min="76" max="85" width="1.26953125" style="45"/>
    <col min="86" max="86" width="1.26953125" style="45" customWidth="1"/>
    <col min="87" max="92" width="1.26953125" style="45"/>
    <col min="93" max="93" width="1.26953125" style="45" customWidth="1"/>
    <col min="94" max="94" width="1.26953125" style="45"/>
    <col min="95" max="95" width="1.26953125" style="45" customWidth="1"/>
    <col min="96" max="104" width="1.26953125" style="45"/>
    <col min="105" max="105" width="2.90625" style="45" customWidth="1"/>
    <col min="106" max="116" width="1.26953125" style="45"/>
    <col min="117" max="117" width="8.08984375" style="45" bestFit="1" customWidth="1"/>
    <col min="118" max="121" width="1.26953125" style="45"/>
    <col min="122" max="122" width="8.36328125" style="45" bestFit="1" customWidth="1"/>
    <col min="123" max="169" width="1.26953125" style="45"/>
    <col min="170" max="170" width="7.36328125" style="45" bestFit="1" customWidth="1"/>
    <col min="171" max="16384" width="1.26953125" style="45"/>
  </cols>
  <sheetData>
    <row r="1" spans="1:117" ht="7.5" customHeight="1">
      <c r="A1" s="2873" t="s">
        <v>1521</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3"/>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c r="BU1" s="2873"/>
      <c r="BV1" s="2873"/>
      <c r="BW1" s="2873"/>
      <c r="BX1" s="2873"/>
      <c r="BY1" s="2873"/>
      <c r="BZ1" s="2873"/>
      <c r="CA1" s="2873"/>
      <c r="CB1" s="2873"/>
      <c r="CC1" s="2873"/>
      <c r="CD1" s="2873"/>
      <c r="CE1" s="2873"/>
      <c r="CF1" s="2873"/>
      <c r="CG1" s="2873"/>
      <c r="CH1" s="2873"/>
      <c r="CI1" s="2873"/>
      <c r="CJ1" s="2873"/>
      <c r="CK1" s="2873"/>
      <c r="CL1" s="2873"/>
      <c r="CM1" s="2873"/>
      <c r="CN1" s="2873"/>
      <c r="CO1" s="2873"/>
      <c r="CP1" s="2873"/>
      <c r="CQ1" s="2873"/>
      <c r="CR1" s="2873"/>
      <c r="CS1" s="2873"/>
      <c r="CT1" s="2873"/>
      <c r="CU1" s="2873"/>
      <c r="CV1" s="2873"/>
      <c r="CW1" s="2873"/>
      <c r="CX1" s="2873"/>
      <c r="CY1" s="2873"/>
      <c r="CZ1" s="2873"/>
      <c r="DA1" s="2873"/>
      <c r="DB1" s="2873"/>
      <c r="DC1" s="2873"/>
      <c r="DD1" s="2873"/>
      <c r="DE1" s="2873"/>
      <c r="DF1" s="2873"/>
      <c r="DG1" s="2873"/>
      <c r="DH1" s="2873"/>
      <c r="DI1" s="2873"/>
      <c r="DJ1" s="2873"/>
      <c r="DK1" s="2873"/>
      <c r="DL1" s="2873"/>
      <c r="DM1" s="49"/>
    </row>
    <row r="2" spans="1:117" ht="7.5" customHeight="1">
      <c r="A2" s="2873"/>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49"/>
    </row>
    <row r="3" spans="1:117" ht="7.5" customHeight="1">
      <c r="A3" s="2873"/>
      <c r="B3" s="2873"/>
      <c r="C3" s="2873"/>
      <c r="D3" s="2873"/>
      <c r="E3" s="2873"/>
      <c r="F3" s="2873"/>
      <c r="G3" s="2873"/>
      <c r="H3" s="2873"/>
      <c r="I3" s="2873"/>
      <c r="J3" s="2873"/>
      <c r="K3" s="2873"/>
      <c r="L3" s="2873"/>
      <c r="M3" s="2873"/>
      <c r="N3" s="2873"/>
      <c r="O3" s="2873"/>
      <c r="P3" s="2873"/>
      <c r="Q3" s="2873"/>
      <c r="R3" s="2873"/>
      <c r="S3" s="2873"/>
      <c r="T3" s="2873"/>
      <c r="U3" s="2873"/>
      <c r="V3" s="2873"/>
      <c r="W3" s="2873"/>
      <c r="X3" s="2873"/>
      <c r="Y3" s="2873"/>
      <c r="Z3" s="2873"/>
      <c r="AA3" s="2873"/>
      <c r="AB3" s="2873"/>
      <c r="AC3" s="2873"/>
      <c r="AD3" s="2873"/>
      <c r="AE3" s="2873"/>
      <c r="AF3" s="2873"/>
      <c r="AG3" s="2873"/>
      <c r="AH3" s="2873"/>
      <c r="AI3" s="2873"/>
      <c r="AJ3" s="2873"/>
      <c r="AK3" s="2873"/>
      <c r="AL3" s="2873"/>
      <c r="AM3" s="2873"/>
      <c r="AN3" s="2873"/>
      <c r="AO3" s="2873"/>
      <c r="AP3" s="2873"/>
      <c r="AQ3" s="2873"/>
      <c r="AR3" s="2873"/>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c r="BP3" s="2873"/>
      <c r="BQ3" s="2873"/>
      <c r="BR3" s="2873"/>
      <c r="BS3" s="2873"/>
      <c r="BT3" s="2873"/>
      <c r="BU3" s="2873"/>
      <c r="BV3" s="2873"/>
      <c r="BW3" s="2873"/>
      <c r="BX3" s="2873"/>
      <c r="BY3" s="2873"/>
      <c r="BZ3" s="2873"/>
      <c r="CA3" s="2873"/>
      <c r="CB3" s="2873"/>
      <c r="CC3" s="2873"/>
      <c r="CD3" s="2873"/>
      <c r="CE3" s="2873"/>
      <c r="CF3" s="2873"/>
      <c r="CG3" s="2873"/>
      <c r="CH3" s="2873"/>
      <c r="CI3" s="2873"/>
      <c r="CJ3" s="2873"/>
      <c r="CK3" s="2873"/>
      <c r="CL3" s="2873"/>
      <c r="CM3" s="2873"/>
      <c r="CN3" s="2873"/>
      <c r="CO3" s="2873"/>
      <c r="CP3" s="2873"/>
      <c r="CQ3" s="2873"/>
      <c r="CR3" s="2873"/>
      <c r="CS3" s="2873"/>
      <c r="CT3" s="2873"/>
      <c r="CU3" s="2873"/>
      <c r="CV3" s="2873"/>
      <c r="CW3" s="2873"/>
      <c r="CX3" s="2873"/>
      <c r="CY3" s="2873"/>
      <c r="CZ3" s="2873"/>
      <c r="DA3" s="2873"/>
      <c r="DB3" s="2873"/>
      <c r="DC3" s="2873"/>
      <c r="DD3" s="2873"/>
      <c r="DE3" s="2873"/>
      <c r="DF3" s="2873"/>
      <c r="DG3" s="2873"/>
      <c r="DH3" s="2873"/>
      <c r="DI3" s="2873"/>
      <c r="DJ3" s="2873"/>
      <c r="DK3" s="2873"/>
      <c r="DL3" s="2873"/>
      <c r="DM3" s="49"/>
    </row>
    <row r="4" spans="1:117" ht="7.5" customHeight="1">
      <c r="A4" s="2868" t="s">
        <v>1035</v>
      </c>
      <c r="B4" s="2868"/>
      <c r="C4" s="2868"/>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c r="AL4" s="2868"/>
      <c r="AM4" s="2868"/>
      <c r="AN4" s="2868"/>
      <c r="AO4" s="2868"/>
      <c r="AP4" s="2868"/>
      <c r="AQ4" s="2868"/>
      <c r="AR4" s="2868"/>
      <c r="AS4" s="2868"/>
      <c r="AT4" s="2868"/>
      <c r="AU4" s="2868"/>
      <c r="AV4" s="2868"/>
      <c r="AW4" s="2868"/>
      <c r="AX4" s="2868"/>
      <c r="AY4" s="2868"/>
      <c r="AZ4" s="2868"/>
      <c r="BA4" s="2868"/>
      <c r="BB4" s="2868"/>
      <c r="BC4" s="2868"/>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44"/>
      <c r="CV4" s="44"/>
      <c r="CW4" s="44"/>
      <c r="CX4" s="44"/>
      <c r="CY4" s="44"/>
      <c r="CZ4" s="44"/>
      <c r="DA4" s="44"/>
      <c r="DB4" s="44"/>
      <c r="DC4" s="44"/>
      <c r="DD4" s="44"/>
      <c r="DE4" s="44"/>
      <c r="DF4" s="44"/>
      <c r="DG4" s="44"/>
      <c r="DH4" s="44"/>
      <c r="DI4" s="44"/>
      <c r="DJ4" s="44"/>
      <c r="DK4" s="44"/>
      <c r="DL4" s="44"/>
    </row>
    <row r="5" spans="1:117" ht="7.5" customHeight="1">
      <c r="A5" s="2868"/>
      <c r="B5" s="2868"/>
      <c r="C5" s="2868"/>
      <c r="D5" s="2868"/>
      <c r="E5" s="2868"/>
      <c r="F5" s="2868"/>
      <c r="G5" s="2868"/>
      <c r="H5" s="2868"/>
      <c r="I5" s="2868"/>
      <c r="J5" s="2868"/>
      <c r="K5" s="2868"/>
      <c r="L5" s="2868"/>
      <c r="M5" s="2868"/>
      <c r="N5" s="2868"/>
      <c r="O5" s="2868"/>
      <c r="P5" s="2868"/>
      <c r="Q5" s="2868"/>
      <c r="R5" s="2868"/>
      <c r="S5" s="2868"/>
      <c r="T5" s="2868"/>
      <c r="U5" s="2868"/>
      <c r="V5" s="2868"/>
      <c r="W5" s="2868"/>
      <c r="X5" s="2868"/>
      <c r="Y5" s="2868"/>
      <c r="Z5" s="2868"/>
      <c r="AA5" s="2868"/>
      <c r="AB5" s="2868"/>
      <c r="AC5" s="2868"/>
      <c r="AD5" s="2868"/>
      <c r="AE5" s="2868"/>
      <c r="AF5" s="2868"/>
      <c r="AG5" s="2868"/>
      <c r="AH5" s="2868"/>
      <c r="AI5" s="2868"/>
      <c r="AJ5" s="2868"/>
      <c r="AK5" s="2868"/>
      <c r="AL5" s="2868"/>
      <c r="AM5" s="2868"/>
      <c r="AN5" s="2868"/>
      <c r="AO5" s="2868"/>
      <c r="AP5" s="2868"/>
      <c r="AQ5" s="2868"/>
      <c r="AR5" s="2868"/>
      <c r="AS5" s="2868"/>
      <c r="AT5" s="2868"/>
      <c r="AU5" s="2868"/>
      <c r="AV5" s="2868"/>
      <c r="AW5" s="2868"/>
      <c r="AX5" s="2868"/>
      <c r="AY5" s="2868"/>
      <c r="AZ5" s="2868"/>
      <c r="BA5" s="2868"/>
      <c r="BB5" s="2868"/>
      <c r="BC5" s="2868"/>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44"/>
      <c r="CV5" s="44"/>
      <c r="CW5" s="44"/>
      <c r="CX5" s="44"/>
      <c r="CY5" s="44"/>
      <c r="CZ5" s="44"/>
      <c r="DA5" s="44"/>
      <c r="DB5" s="44"/>
      <c r="DC5" s="44"/>
      <c r="DD5" s="44"/>
      <c r="DE5" s="44"/>
      <c r="DF5" s="44"/>
      <c r="DG5" s="44"/>
      <c r="DH5" s="44"/>
      <c r="DI5" s="44"/>
      <c r="DJ5" s="44"/>
      <c r="DK5" s="44"/>
      <c r="DL5" s="44"/>
    </row>
    <row r="6" spans="1:117" ht="7.5" customHeight="1">
      <c r="A6" s="2868"/>
      <c r="B6" s="2868"/>
      <c r="C6" s="2868"/>
      <c r="D6" s="2868"/>
      <c r="E6" s="2868"/>
      <c r="F6" s="2868"/>
      <c r="G6" s="2868"/>
      <c r="H6" s="2868"/>
      <c r="I6" s="2868"/>
      <c r="J6" s="2868"/>
      <c r="K6" s="2868"/>
      <c r="L6" s="2868"/>
      <c r="M6" s="2868"/>
      <c r="N6" s="2868"/>
      <c r="O6" s="2868"/>
      <c r="P6" s="2868"/>
      <c r="Q6" s="2868"/>
      <c r="R6" s="2868"/>
      <c r="S6" s="2868"/>
      <c r="T6" s="2868"/>
      <c r="U6" s="2868"/>
      <c r="V6" s="2868"/>
      <c r="W6" s="2868"/>
      <c r="X6" s="2868"/>
      <c r="Y6" s="2868"/>
      <c r="Z6" s="2868"/>
      <c r="AA6" s="2868"/>
      <c r="AB6" s="2868"/>
      <c r="AC6" s="2868"/>
      <c r="AD6" s="2868"/>
      <c r="AE6" s="2868"/>
      <c r="AF6" s="2868"/>
      <c r="AG6" s="2868"/>
      <c r="AH6" s="2868"/>
      <c r="AI6" s="2868"/>
      <c r="AJ6" s="2868"/>
      <c r="AK6" s="2868"/>
      <c r="AL6" s="2868"/>
      <c r="AM6" s="2868"/>
      <c r="AN6" s="2868"/>
      <c r="AO6" s="2868"/>
      <c r="AP6" s="2868"/>
      <c r="AQ6" s="2868"/>
      <c r="AR6" s="2868"/>
      <c r="AS6" s="2868"/>
      <c r="AT6" s="2868"/>
      <c r="AU6" s="2868"/>
      <c r="AV6" s="2868"/>
      <c r="AW6" s="2868"/>
      <c r="AX6" s="2868"/>
      <c r="AY6" s="2868"/>
      <c r="AZ6" s="2868"/>
      <c r="BA6" s="2868"/>
      <c r="BB6" s="2868"/>
      <c r="BC6" s="2868"/>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44"/>
      <c r="CV6" s="44"/>
      <c r="CW6" s="44"/>
      <c r="CX6" s="44"/>
      <c r="CY6" s="44"/>
      <c r="CZ6" s="44"/>
      <c r="DA6" s="44"/>
      <c r="DB6" s="44"/>
      <c r="DC6" s="44"/>
      <c r="DD6" s="44"/>
      <c r="DE6" s="44"/>
      <c r="DF6" s="44"/>
      <c r="DG6" s="44"/>
      <c r="DH6" s="44"/>
      <c r="DI6" s="44"/>
      <c r="DJ6" s="44"/>
      <c r="DK6" s="44"/>
      <c r="DL6" s="44"/>
    </row>
    <row r="7" spans="1:117" ht="7.5" customHeight="1">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row>
    <row r="8" spans="1:117" ht="7.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row>
    <row r="9" spans="1:117" ht="7.5" customHeigh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row>
    <row r="10" spans="1:117" ht="7.5" customHeigh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row>
    <row r="11" spans="1:117" ht="7.5"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row>
    <row r="12" spans="1:117" ht="7.5" customHeight="1">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row>
    <row r="13" spans="1:117" ht="7.5" customHeight="1">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row>
    <row r="14" spans="1:117" ht="7.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row>
    <row r="15" spans="1:117" ht="7.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row>
    <row r="16" spans="1:117" ht="7.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row>
    <row r="17" spans="1:119" ht="7.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row>
    <row r="18" spans="1:119" ht="7.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row>
    <row r="19" spans="1:119" ht="7.5" customHeight="1" thickBo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row>
    <row r="20" spans="1:119" ht="7.5" customHeight="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370"/>
      <c r="DK20" s="370"/>
      <c r="DL20" s="46"/>
    </row>
    <row r="21" spans="1:119"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370"/>
      <c r="CJ21" s="370"/>
      <c r="CK21" s="370"/>
      <c r="CL21" s="370"/>
      <c r="CM21" s="370"/>
      <c r="CN21" s="370"/>
      <c r="CO21" s="370"/>
      <c r="CP21" s="370"/>
      <c r="CQ21" s="370"/>
      <c r="CR21" s="370"/>
      <c r="CS21" s="370"/>
      <c r="CT21" s="370"/>
      <c r="CU21" s="370"/>
      <c r="CV21" s="370"/>
      <c r="CW21" s="370"/>
      <c r="CX21" s="370"/>
      <c r="CY21" s="370"/>
      <c r="CZ21" s="370"/>
      <c r="DA21" s="370"/>
      <c r="DB21" s="370"/>
      <c r="DC21" s="370"/>
      <c r="DD21" s="370"/>
      <c r="DE21" s="370"/>
      <c r="DF21" s="370"/>
      <c r="DG21" s="370"/>
      <c r="DH21" s="370"/>
      <c r="DI21" s="370"/>
      <c r="DJ21" s="370"/>
      <c r="DK21" s="370"/>
      <c r="DL21" s="46"/>
    </row>
    <row r="22" spans="1:119" ht="7.5" customHeight="1" thickTop="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4476" t="s">
        <v>792</v>
      </c>
      <c r="BJ22" s="4477"/>
      <c r="BK22" s="4477"/>
      <c r="BL22" s="4477"/>
      <c r="BM22" s="4477"/>
      <c r="BN22" s="4477"/>
      <c r="BO22" s="4477"/>
      <c r="BP22" s="4477"/>
      <c r="BQ22" s="4477"/>
      <c r="BR22" s="4477"/>
      <c r="BS22" s="4477"/>
      <c r="BT22" s="4477"/>
      <c r="BU22" s="4477"/>
      <c r="BV22" s="4477"/>
      <c r="BW22" s="4477"/>
      <c r="BX22" s="4477"/>
      <c r="BY22" s="4477"/>
      <c r="BZ22" s="4477"/>
      <c r="CA22" s="4477"/>
      <c r="CB22" s="4477"/>
      <c r="CC22" s="4477"/>
      <c r="CD22" s="4477"/>
      <c r="CE22" s="4477"/>
      <c r="CF22" s="4477"/>
      <c r="CG22" s="4477"/>
      <c r="CH22" s="4477"/>
      <c r="CI22" s="4477"/>
      <c r="CJ22" s="4477"/>
      <c r="CK22" s="4477"/>
      <c r="CL22" s="4477"/>
      <c r="CM22" s="4477"/>
      <c r="CN22" s="4477"/>
      <c r="CO22" s="4477"/>
      <c r="CP22" s="4477"/>
      <c r="CQ22" s="4477"/>
      <c r="CR22" s="4477"/>
      <c r="CS22" s="4477"/>
      <c r="CT22" s="4477"/>
      <c r="CU22" s="4477"/>
      <c r="CV22" s="4477"/>
      <c r="CW22" s="4477"/>
      <c r="CX22" s="4477"/>
      <c r="CY22" s="4477"/>
      <c r="CZ22" s="4477"/>
      <c r="DA22" s="4477"/>
      <c r="DB22" s="4477"/>
      <c r="DC22" s="4477"/>
      <c r="DD22" s="4477"/>
      <c r="DE22" s="4477"/>
      <c r="DF22" s="4477"/>
      <c r="DG22" s="4477"/>
      <c r="DH22" s="4477"/>
      <c r="DI22" s="4477"/>
      <c r="DJ22" s="4477"/>
      <c r="DK22" s="4478"/>
      <c r="DL22" s="370"/>
      <c r="DM22" s="370"/>
    </row>
    <row r="23" spans="1:119"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4479"/>
      <c r="BJ23" s="4480"/>
      <c r="BK23" s="4480"/>
      <c r="BL23" s="4480"/>
      <c r="BM23" s="4480"/>
      <c r="BN23" s="4480"/>
      <c r="BO23" s="4480"/>
      <c r="BP23" s="4480"/>
      <c r="BQ23" s="4480"/>
      <c r="BR23" s="4480"/>
      <c r="BS23" s="4480"/>
      <c r="BT23" s="4480"/>
      <c r="BU23" s="4480"/>
      <c r="BV23" s="4480"/>
      <c r="BW23" s="4480"/>
      <c r="BX23" s="4480"/>
      <c r="BY23" s="4480"/>
      <c r="BZ23" s="4480"/>
      <c r="CA23" s="4480"/>
      <c r="CB23" s="4480"/>
      <c r="CC23" s="4480"/>
      <c r="CD23" s="4480"/>
      <c r="CE23" s="4480"/>
      <c r="CF23" s="4480"/>
      <c r="CG23" s="4480"/>
      <c r="CH23" s="4480"/>
      <c r="CI23" s="4480"/>
      <c r="CJ23" s="4480"/>
      <c r="CK23" s="4480"/>
      <c r="CL23" s="4480"/>
      <c r="CM23" s="4480"/>
      <c r="CN23" s="4480"/>
      <c r="CO23" s="4480"/>
      <c r="CP23" s="4480"/>
      <c r="CQ23" s="4480"/>
      <c r="CR23" s="4480"/>
      <c r="CS23" s="4480"/>
      <c r="CT23" s="4480"/>
      <c r="CU23" s="4480"/>
      <c r="CV23" s="4480"/>
      <c r="CW23" s="4480"/>
      <c r="CX23" s="4480"/>
      <c r="CY23" s="4480"/>
      <c r="CZ23" s="4480"/>
      <c r="DA23" s="4480"/>
      <c r="DB23" s="4480"/>
      <c r="DC23" s="4480"/>
      <c r="DD23" s="4480"/>
      <c r="DE23" s="4480"/>
      <c r="DF23" s="4480"/>
      <c r="DG23" s="4480"/>
      <c r="DH23" s="4480"/>
      <c r="DI23" s="4480"/>
      <c r="DJ23" s="4480"/>
      <c r="DK23" s="4481"/>
      <c r="DL23" s="370"/>
      <c r="DM23" s="370"/>
    </row>
    <row r="24" spans="1:119"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866" t="s">
        <v>72</v>
      </c>
      <c r="BJ24" s="867"/>
      <c r="BK24" s="867"/>
      <c r="BL24" s="867"/>
      <c r="BM24" s="868"/>
      <c r="BN24" s="4510"/>
      <c r="BO24" s="4511"/>
      <c r="BP24" s="4511"/>
      <c r="BQ24" s="4511"/>
      <c r="BR24" s="4511"/>
      <c r="BS24" s="4511"/>
      <c r="BT24" s="4511"/>
      <c r="BU24" s="4511"/>
      <c r="BV24" s="4511"/>
      <c r="BW24" s="4511"/>
      <c r="BX24" s="4511"/>
      <c r="BY24" s="4511"/>
      <c r="BZ24" s="4511"/>
      <c r="CA24" s="4511"/>
      <c r="CB24" s="4511"/>
      <c r="CC24" s="4511"/>
      <c r="CD24" s="4511"/>
      <c r="CE24" s="4511"/>
      <c r="CF24" s="4511"/>
      <c r="CG24" s="4511"/>
      <c r="CH24" s="4511"/>
      <c r="CI24" s="4511"/>
      <c r="CJ24" s="4511"/>
      <c r="CK24" s="4511"/>
      <c r="CL24" s="4511"/>
      <c r="CM24" s="4511"/>
      <c r="CN24" s="4511"/>
      <c r="CO24" s="4511"/>
      <c r="CP24" s="4511"/>
      <c r="CQ24" s="4511"/>
      <c r="CR24" s="4511"/>
      <c r="CS24" s="4511"/>
      <c r="CT24" s="4511"/>
      <c r="CU24" s="4512"/>
      <c r="CV24" s="836" t="s">
        <v>887</v>
      </c>
      <c r="CW24" s="836"/>
      <c r="CX24" s="836"/>
      <c r="CY24" s="836"/>
      <c r="CZ24" s="4501"/>
      <c r="DA24" s="4502"/>
      <c r="DB24" s="4502"/>
      <c r="DC24" s="4502"/>
      <c r="DD24" s="4502"/>
      <c r="DE24" s="4502"/>
      <c r="DF24" s="4502"/>
      <c r="DG24" s="4502"/>
      <c r="DH24" s="4502"/>
      <c r="DI24" s="4502"/>
      <c r="DJ24" s="4502"/>
      <c r="DK24" s="4503"/>
      <c r="DL24" s="525"/>
      <c r="DM24" s="268"/>
    </row>
    <row r="25" spans="1:119" ht="7.5" customHeight="1" thickTop="1">
      <c r="A25" s="48"/>
      <c r="B25" s="2910" t="s">
        <v>566</v>
      </c>
      <c r="C25" s="2911"/>
      <c r="D25" s="2911"/>
      <c r="E25" s="2911"/>
      <c r="F25" s="2912"/>
      <c r="G25" s="813"/>
      <c r="H25" s="814"/>
      <c r="I25" s="814"/>
      <c r="J25" s="814"/>
      <c r="K25" s="814"/>
      <c r="L25" s="814"/>
      <c r="M25" s="814"/>
      <c r="N25" s="814"/>
      <c r="O25" s="814"/>
      <c r="P25" s="814"/>
      <c r="Q25" s="814"/>
      <c r="R25" s="814"/>
      <c r="S25" s="814"/>
      <c r="T25" s="814"/>
      <c r="U25" s="814"/>
      <c r="V25" s="814"/>
      <c r="W25" s="814"/>
      <c r="X25" s="814"/>
      <c r="Y25" s="814"/>
      <c r="Z25" s="814"/>
      <c r="AA25" s="814"/>
      <c r="AB25" s="814"/>
      <c r="AC25" s="814"/>
      <c r="AD25" s="815"/>
      <c r="AE25" s="2920" t="s">
        <v>170</v>
      </c>
      <c r="AF25" s="2920"/>
      <c r="AG25" s="2920"/>
      <c r="AH25" s="2920"/>
      <c r="AI25" s="2920"/>
      <c r="AJ25" s="2922"/>
      <c r="AK25" s="4467"/>
      <c r="AL25" s="4467"/>
      <c r="AM25" s="4467"/>
      <c r="AN25" s="4467"/>
      <c r="AO25" s="4467"/>
      <c r="AP25" s="4467"/>
      <c r="AQ25" s="4467"/>
      <c r="AR25" s="4467"/>
      <c r="AS25" s="4467"/>
      <c r="AT25" s="4467"/>
      <c r="AU25" s="4467"/>
      <c r="AV25" s="4467"/>
      <c r="AW25" s="4467"/>
      <c r="AX25" s="4467"/>
      <c r="AY25" s="4467"/>
      <c r="AZ25" s="4467"/>
      <c r="BA25" s="4467"/>
      <c r="BB25" s="4467"/>
      <c r="BC25" s="4467"/>
      <c r="BD25" s="4467"/>
      <c r="BE25" s="4467"/>
      <c r="BF25" s="4468"/>
      <c r="BG25" s="201"/>
      <c r="BH25" s="48"/>
      <c r="BI25" s="910" t="s">
        <v>794</v>
      </c>
      <c r="BJ25" s="911"/>
      <c r="BK25" s="911"/>
      <c r="BL25" s="911"/>
      <c r="BM25" s="912"/>
      <c r="BN25" s="4472"/>
      <c r="BO25" s="4473"/>
      <c r="BP25" s="4473"/>
      <c r="BQ25" s="4473"/>
      <c r="BR25" s="4473"/>
      <c r="BS25" s="4473"/>
      <c r="BT25" s="4473"/>
      <c r="BU25" s="4473"/>
      <c r="BV25" s="4473"/>
      <c r="BW25" s="4473"/>
      <c r="BX25" s="4513"/>
      <c r="BY25" s="4514"/>
      <c r="BZ25" s="4514"/>
      <c r="CA25" s="4514"/>
      <c r="CB25" s="4514"/>
      <c r="CC25" s="4514"/>
      <c r="CD25" s="4514"/>
      <c r="CE25" s="4514"/>
      <c r="CF25" s="4514"/>
      <c r="CG25" s="4514"/>
      <c r="CH25" s="4514"/>
      <c r="CI25" s="4514"/>
      <c r="CJ25" s="4514"/>
      <c r="CK25" s="4514"/>
      <c r="CL25" s="4514"/>
      <c r="CM25" s="4517"/>
      <c r="CN25" s="4513"/>
      <c r="CO25" s="4514"/>
      <c r="CP25" s="4514"/>
      <c r="CQ25" s="4514"/>
      <c r="CR25" s="4514"/>
      <c r="CS25" s="4514"/>
      <c r="CT25" s="4514"/>
      <c r="CU25" s="4515"/>
      <c r="CV25" s="4465"/>
      <c r="CW25" s="4465"/>
      <c r="CX25" s="4465"/>
      <c r="CY25" s="4465"/>
      <c r="CZ25" s="4504"/>
      <c r="DA25" s="4505"/>
      <c r="DB25" s="4505"/>
      <c r="DC25" s="4505"/>
      <c r="DD25" s="4505"/>
      <c r="DE25" s="4505"/>
      <c r="DF25" s="4505"/>
      <c r="DG25" s="4505"/>
      <c r="DH25" s="4505"/>
      <c r="DI25" s="4505"/>
      <c r="DJ25" s="4505"/>
      <c r="DK25" s="4506"/>
      <c r="DL25" s="525"/>
      <c r="DM25" s="268"/>
    </row>
    <row r="26" spans="1:119" ht="7.5" customHeight="1" thickBot="1">
      <c r="A26" s="48"/>
      <c r="B26" s="2913"/>
      <c r="C26" s="2914"/>
      <c r="D26" s="2914"/>
      <c r="E26" s="2914"/>
      <c r="F26" s="2915"/>
      <c r="G26" s="816"/>
      <c r="H26" s="817"/>
      <c r="I26" s="817"/>
      <c r="J26" s="817"/>
      <c r="K26" s="817"/>
      <c r="L26" s="817"/>
      <c r="M26" s="817"/>
      <c r="N26" s="817"/>
      <c r="O26" s="817"/>
      <c r="P26" s="817"/>
      <c r="Q26" s="817"/>
      <c r="R26" s="817"/>
      <c r="S26" s="817"/>
      <c r="T26" s="817"/>
      <c r="U26" s="817"/>
      <c r="V26" s="817"/>
      <c r="W26" s="817"/>
      <c r="X26" s="817"/>
      <c r="Y26" s="817"/>
      <c r="Z26" s="817"/>
      <c r="AA26" s="817"/>
      <c r="AB26" s="817"/>
      <c r="AC26" s="817"/>
      <c r="AD26" s="818"/>
      <c r="AE26" s="2921"/>
      <c r="AF26" s="2921"/>
      <c r="AG26" s="2921"/>
      <c r="AH26" s="2921"/>
      <c r="AI26" s="2921"/>
      <c r="AJ26" s="4469"/>
      <c r="AK26" s="4470"/>
      <c r="AL26" s="4470"/>
      <c r="AM26" s="4470"/>
      <c r="AN26" s="4470"/>
      <c r="AO26" s="4470"/>
      <c r="AP26" s="4470"/>
      <c r="AQ26" s="4470"/>
      <c r="AR26" s="4470"/>
      <c r="AS26" s="4470"/>
      <c r="AT26" s="4470"/>
      <c r="AU26" s="4470"/>
      <c r="AV26" s="4470"/>
      <c r="AW26" s="4470"/>
      <c r="AX26" s="4470"/>
      <c r="AY26" s="4470"/>
      <c r="AZ26" s="4470"/>
      <c r="BA26" s="4470"/>
      <c r="BB26" s="4470"/>
      <c r="BC26" s="4470"/>
      <c r="BD26" s="4470"/>
      <c r="BE26" s="4470"/>
      <c r="BF26" s="4471"/>
      <c r="BG26" s="48"/>
      <c r="BH26" s="48"/>
      <c r="BI26" s="913"/>
      <c r="BJ26" s="914"/>
      <c r="BK26" s="914"/>
      <c r="BL26" s="914"/>
      <c r="BM26" s="915"/>
      <c r="BN26" s="4474"/>
      <c r="BO26" s="4475"/>
      <c r="BP26" s="4475"/>
      <c r="BQ26" s="4475"/>
      <c r="BR26" s="4475"/>
      <c r="BS26" s="4475"/>
      <c r="BT26" s="4475"/>
      <c r="BU26" s="4475"/>
      <c r="BV26" s="4475"/>
      <c r="BW26" s="4475"/>
      <c r="BX26" s="4507"/>
      <c r="BY26" s="4508"/>
      <c r="BZ26" s="4508"/>
      <c r="CA26" s="4508"/>
      <c r="CB26" s="4508"/>
      <c r="CC26" s="4508"/>
      <c r="CD26" s="4508"/>
      <c r="CE26" s="4508"/>
      <c r="CF26" s="4508"/>
      <c r="CG26" s="4508"/>
      <c r="CH26" s="4508"/>
      <c r="CI26" s="4508"/>
      <c r="CJ26" s="4508"/>
      <c r="CK26" s="4508"/>
      <c r="CL26" s="4508"/>
      <c r="CM26" s="4518"/>
      <c r="CN26" s="4507"/>
      <c r="CO26" s="4508"/>
      <c r="CP26" s="4508"/>
      <c r="CQ26" s="4508"/>
      <c r="CR26" s="4508"/>
      <c r="CS26" s="4508"/>
      <c r="CT26" s="4508"/>
      <c r="CU26" s="4516"/>
      <c r="CV26" s="839"/>
      <c r="CW26" s="839"/>
      <c r="CX26" s="839"/>
      <c r="CY26" s="839"/>
      <c r="CZ26" s="4507"/>
      <c r="DA26" s="4508"/>
      <c r="DB26" s="4508"/>
      <c r="DC26" s="4508"/>
      <c r="DD26" s="4508"/>
      <c r="DE26" s="4508"/>
      <c r="DF26" s="4508"/>
      <c r="DG26" s="4508"/>
      <c r="DH26" s="4508"/>
      <c r="DI26" s="4508"/>
      <c r="DJ26" s="4508"/>
      <c r="DK26" s="4509"/>
      <c r="DL26" s="525"/>
      <c r="DM26" s="268"/>
      <c r="DN26" s="49"/>
      <c r="DO26" s="49"/>
    </row>
    <row r="27" spans="1:119"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857" t="s">
        <v>75</v>
      </c>
      <c r="BJ27" s="858"/>
      <c r="BK27" s="858"/>
      <c r="BL27" s="858"/>
      <c r="BM27" s="859"/>
      <c r="BN27" s="799" t="s">
        <v>73</v>
      </c>
      <c r="BO27" s="800"/>
      <c r="BP27" s="800"/>
      <c r="BQ27" s="800"/>
      <c r="BR27" s="800"/>
      <c r="BS27" s="801"/>
      <c r="BT27" s="793"/>
      <c r="BU27" s="794"/>
      <c r="BV27" s="794"/>
      <c r="BW27" s="794"/>
      <c r="BX27" s="794"/>
      <c r="BY27" s="794"/>
      <c r="BZ27" s="794"/>
      <c r="CA27" s="794"/>
      <c r="CB27" s="794"/>
      <c r="CC27" s="794"/>
      <c r="CD27" s="795"/>
      <c r="CE27" s="799" t="s">
        <v>11</v>
      </c>
      <c r="CF27" s="800"/>
      <c r="CG27" s="800"/>
      <c r="CH27" s="800"/>
      <c r="CI27" s="800"/>
      <c r="CJ27" s="801"/>
      <c r="CK27" s="793"/>
      <c r="CL27" s="794"/>
      <c r="CM27" s="794"/>
      <c r="CN27" s="794"/>
      <c r="CO27" s="794"/>
      <c r="CP27" s="794"/>
      <c r="CQ27" s="794"/>
      <c r="CR27" s="794"/>
      <c r="CS27" s="794"/>
      <c r="CT27" s="794"/>
      <c r="CU27" s="795"/>
      <c r="CV27" s="799" t="s">
        <v>74</v>
      </c>
      <c r="CW27" s="800"/>
      <c r="CX27" s="800"/>
      <c r="CY27" s="800"/>
      <c r="CZ27" s="800"/>
      <c r="DA27" s="801"/>
      <c r="DB27" s="4489"/>
      <c r="DC27" s="4490"/>
      <c r="DD27" s="4490"/>
      <c r="DE27" s="4490"/>
      <c r="DF27" s="4490"/>
      <c r="DG27" s="4490"/>
      <c r="DH27" s="4490"/>
      <c r="DI27" s="4490"/>
      <c r="DJ27" s="4490"/>
      <c r="DK27" s="4491"/>
      <c r="DL27" s="521"/>
      <c r="DM27" s="268"/>
      <c r="DN27" s="49"/>
      <c r="DO27" s="49"/>
    </row>
    <row r="28" spans="1:119" ht="7.5" customHeight="1" thickTop="1">
      <c r="A28" s="48"/>
      <c r="B28" s="4242" t="s">
        <v>884</v>
      </c>
      <c r="C28" s="4243"/>
      <c r="D28" s="4243"/>
      <c r="E28" s="4243"/>
      <c r="F28" s="4243"/>
      <c r="G28" s="4243"/>
      <c r="H28" s="4243"/>
      <c r="I28" s="4243"/>
      <c r="J28" s="4243"/>
      <c r="K28" s="4243"/>
      <c r="L28" s="4243"/>
      <c r="M28" s="4243"/>
      <c r="N28" s="4243"/>
      <c r="O28" s="4243"/>
      <c r="P28" s="4243"/>
      <c r="Q28" s="4243"/>
      <c r="R28" s="4243"/>
      <c r="S28" s="4243"/>
      <c r="T28" s="4243"/>
      <c r="U28" s="4243"/>
      <c r="V28" s="4243"/>
      <c r="W28" s="4243"/>
      <c r="X28" s="4243"/>
      <c r="Y28" s="4243"/>
      <c r="Z28" s="4243"/>
      <c r="AA28" s="4243"/>
      <c r="AB28" s="4243"/>
      <c r="AC28" s="4243"/>
      <c r="AD28" s="4243"/>
      <c r="AE28" s="4243"/>
      <c r="AF28" s="4243"/>
      <c r="AG28" s="4243"/>
      <c r="AH28" s="4243"/>
      <c r="AI28" s="4243"/>
      <c r="AJ28" s="4243"/>
      <c r="AK28" s="4243"/>
      <c r="AL28" s="4243"/>
      <c r="AM28" s="4243"/>
      <c r="AN28" s="4243"/>
      <c r="AO28" s="4243"/>
      <c r="AP28" s="4243"/>
      <c r="AQ28" s="4243"/>
      <c r="AR28" s="4243"/>
      <c r="AS28" s="4243"/>
      <c r="AT28" s="4243"/>
      <c r="AU28" s="4243"/>
      <c r="AV28" s="4243"/>
      <c r="AW28" s="4243"/>
      <c r="AX28" s="4243"/>
      <c r="AY28" s="4243"/>
      <c r="AZ28" s="4243"/>
      <c r="BA28" s="4243"/>
      <c r="BB28" s="4243"/>
      <c r="BC28" s="4243"/>
      <c r="BD28" s="4243"/>
      <c r="BE28" s="4243"/>
      <c r="BF28" s="4244"/>
      <c r="BG28" s="48"/>
      <c r="BH28" s="48"/>
      <c r="BI28" s="860"/>
      <c r="BJ28" s="861"/>
      <c r="BK28" s="861"/>
      <c r="BL28" s="861"/>
      <c r="BM28" s="862"/>
      <c r="BN28" s="802"/>
      <c r="BO28" s="803"/>
      <c r="BP28" s="803"/>
      <c r="BQ28" s="803"/>
      <c r="BR28" s="803"/>
      <c r="BS28" s="804"/>
      <c r="BT28" s="796"/>
      <c r="BU28" s="797"/>
      <c r="BV28" s="797"/>
      <c r="BW28" s="797"/>
      <c r="BX28" s="797"/>
      <c r="BY28" s="797"/>
      <c r="BZ28" s="797"/>
      <c r="CA28" s="797"/>
      <c r="CB28" s="797"/>
      <c r="CC28" s="797"/>
      <c r="CD28" s="798"/>
      <c r="CE28" s="802"/>
      <c r="CF28" s="803"/>
      <c r="CG28" s="803"/>
      <c r="CH28" s="803"/>
      <c r="CI28" s="803"/>
      <c r="CJ28" s="804"/>
      <c r="CK28" s="796"/>
      <c r="CL28" s="797"/>
      <c r="CM28" s="797"/>
      <c r="CN28" s="797"/>
      <c r="CO28" s="797"/>
      <c r="CP28" s="797"/>
      <c r="CQ28" s="797"/>
      <c r="CR28" s="797"/>
      <c r="CS28" s="797"/>
      <c r="CT28" s="797"/>
      <c r="CU28" s="798"/>
      <c r="CV28" s="802"/>
      <c r="CW28" s="803"/>
      <c r="CX28" s="803"/>
      <c r="CY28" s="803"/>
      <c r="CZ28" s="803"/>
      <c r="DA28" s="804"/>
      <c r="DB28" s="4492"/>
      <c r="DC28" s="4493"/>
      <c r="DD28" s="4493"/>
      <c r="DE28" s="4493"/>
      <c r="DF28" s="4493"/>
      <c r="DG28" s="4493"/>
      <c r="DH28" s="4493"/>
      <c r="DI28" s="4493"/>
      <c r="DJ28" s="4493"/>
      <c r="DK28" s="4494"/>
      <c r="DL28" s="521"/>
      <c r="DM28" s="268"/>
      <c r="DN28" s="49"/>
      <c r="DO28" s="49"/>
    </row>
    <row r="29" spans="1:119" ht="7.5" customHeight="1">
      <c r="A29" s="48"/>
      <c r="B29" s="4245"/>
      <c r="C29" s="4246"/>
      <c r="D29" s="4246"/>
      <c r="E29" s="4246"/>
      <c r="F29" s="4246"/>
      <c r="G29" s="4246"/>
      <c r="H29" s="4246"/>
      <c r="I29" s="4246"/>
      <c r="J29" s="4246"/>
      <c r="K29" s="4246"/>
      <c r="L29" s="4246"/>
      <c r="M29" s="4246"/>
      <c r="N29" s="4246"/>
      <c r="O29" s="4246"/>
      <c r="P29" s="4246"/>
      <c r="Q29" s="4246"/>
      <c r="R29" s="4246"/>
      <c r="S29" s="4246"/>
      <c r="T29" s="4246"/>
      <c r="U29" s="4246"/>
      <c r="V29" s="4246"/>
      <c r="W29" s="4246"/>
      <c r="X29" s="4246"/>
      <c r="Y29" s="4246"/>
      <c r="Z29" s="4246"/>
      <c r="AA29" s="4246"/>
      <c r="AB29" s="4246"/>
      <c r="AC29" s="4246"/>
      <c r="AD29" s="4246"/>
      <c r="AE29" s="4246"/>
      <c r="AF29" s="4246"/>
      <c r="AG29" s="4246"/>
      <c r="AH29" s="4246"/>
      <c r="AI29" s="4246"/>
      <c r="AJ29" s="4246"/>
      <c r="AK29" s="4246"/>
      <c r="AL29" s="4246"/>
      <c r="AM29" s="4246"/>
      <c r="AN29" s="4246"/>
      <c r="AO29" s="4246"/>
      <c r="AP29" s="4246"/>
      <c r="AQ29" s="4246"/>
      <c r="AR29" s="4246"/>
      <c r="AS29" s="4246"/>
      <c r="AT29" s="4246"/>
      <c r="AU29" s="4246"/>
      <c r="AV29" s="4246"/>
      <c r="AW29" s="4246"/>
      <c r="AX29" s="4246"/>
      <c r="AY29" s="4246"/>
      <c r="AZ29" s="4246"/>
      <c r="BA29" s="4246"/>
      <c r="BB29" s="4246"/>
      <c r="BC29" s="4246"/>
      <c r="BD29" s="4246"/>
      <c r="BE29" s="4246"/>
      <c r="BF29" s="4247"/>
      <c r="BG29" s="48"/>
      <c r="BH29" s="48"/>
      <c r="BI29" s="860"/>
      <c r="BJ29" s="861"/>
      <c r="BK29" s="861"/>
      <c r="BL29" s="861"/>
      <c r="BM29" s="862"/>
      <c r="BN29" s="799" t="s">
        <v>76</v>
      </c>
      <c r="BO29" s="800"/>
      <c r="BP29" s="800"/>
      <c r="BQ29" s="800"/>
      <c r="BR29" s="800"/>
      <c r="BS29" s="801"/>
      <c r="BT29" s="793"/>
      <c r="BU29" s="794"/>
      <c r="BV29" s="794"/>
      <c r="BW29" s="794"/>
      <c r="BX29" s="794"/>
      <c r="BY29" s="794"/>
      <c r="BZ29" s="794"/>
      <c r="CA29" s="794"/>
      <c r="CB29" s="794"/>
      <c r="CC29" s="794"/>
      <c r="CD29" s="794"/>
      <c r="CE29" s="794"/>
      <c r="CF29" s="794"/>
      <c r="CG29" s="794"/>
      <c r="CH29" s="794"/>
      <c r="CI29" s="794"/>
      <c r="CJ29" s="794"/>
      <c r="CK29" s="794"/>
      <c r="CL29" s="794"/>
      <c r="CM29" s="795"/>
      <c r="CN29" s="799" t="s">
        <v>77</v>
      </c>
      <c r="CO29" s="800"/>
      <c r="CP29" s="800"/>
      <c r="CQ29" s="800"/>
      <c r="CR29" s="800"/>
      <c r="CS29" s="801"/>
      <c r="CT29" s="4495"/>
      <c r="CU29" s="4496"/>
      <c r="CV29" s="4496"/>
      <c r="CW29" s="4496"/>
      <c r="CX29" s="4496"/>
      <c r="CY29" s="4496"/>
      <c r="CZ29" s="4496"/>
      <c r="DA29" s="4496"/>
      <c r="DB29" s="4496"/>
      <c r="DC29" s="4496"/>
      <c r="DD29" s="4496"/>
      <c r="DE29" s="4496"/>
      <c r="DF29" s="4496"/>
      <c r="DG29" s="4496"/>
      <c r="DH29" s="4496"/>
      <c r="DI29" s="4496"/>
      <c r="DJ29" s="4496"/>
      <c r="DK29" s="4497"/>
      <c r="DL29" s="522"/>
      <c r="DM29" s="268"/>
      <c r="DN29" s="49"/>
      <c r="DO29" s="49"/>
    </row>
    <row r="30" spans="1:119" ht="7.5" customHeight="1" thickBot="1">
      <c r="A30" s="48"/>
      <c r="B30" s="866" t="s">
        <v>72</v>
      </c>
      <c r="C30" s="867"/>
      <c r="D30" s="867"/>
      <c r="E30" s="867"/>
      <c r="F30" s="868"/>
      <c r="G30" s="869"/>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1"/>
      <c r="BG30" s="54"/>
      <c r="BH30" s="48"/>
      <c r="BI30" s="4482"/>
      <c r="BJ30" s="4483"/>
      <c r="BK30" s="4483"/>
      <c r="BL30" s="4483"/>
      <c r="BM30" s="4484"/>
      <c r="BN30" s="3686"/>
      <c r="BO30" s="3687"/>
      <c r="BP30" s="3687"/>
      <c r="BQ30" s="3687"/>
      <c r="BR30" s="3687"/>
      <c r="BS30" s="4485"/>
      <c r="BT30" s="4486"/>
      <c r="BU30" s="4487"/>
      <c r="BV30" s="4487"/>
      <c r="BW30" s="4487"/>
      <c r="BX30" s="4487"/>
      <c r="BY30" s="4487"/>
      <c r="BZ30" s="4487"/>
      <c r="CA30" s="4487"/>
      <c r="CB30" s="4487"/>
      <c r="CC30" s="4487"/>
      <c r="CD30" s="4487"/>
      <c r="CE30" s="4487"/>
      <c r="CF30" s="4487"/>
      <c r="CG30" s="4487"/>
      <c r="CH30" s="4487"/>
      <c r="CI30" s="4487"/>
      <c r="CJ30" s="4487"/>
      <c r="CK30" s="4487"/>
      <c r="CL30" s="4487"/>
      <c r="CM30" s="4488"/>
      <c r="CN30" s="3686"/>
      <c r="CO30" s="3687"/>
      <c r="CP30" s="3687"/>
      <c r="CQ30" s="3687"/>
      <c r="CR30" s="3687"/>
      <c r="CS30" s="4485"/>
      <c r="CT30" s="4498"/>
      <c r="CU30" s="4499"/>
      <c r="CV30" s="4499"/>
      <c r="CW30" s="4499"/>
      <c r="CX30" s="4499"/>
      <c r="CY30" s="4499"/>
      <c r="CZ30" s="4499"/>
      <c r="DA30" s="4499"/>
      <c r="DB30" s="4499"/>
      <c r="DC30" s="4499"/>
      <c r="DD30" s="4499"/>
      <c r="DE30" s="4499"/>
      <c r="DF30" s="4499"/>
      <c r="DG30" s="4499"/>
      <c r="DH30" s="4499"/>
      <c r="DI30" s="4499"/>
      <c r="DJ30" s="4499"/>
      <c r="DK30" s="4500"/>
      <c r="DL30" s="522"/>
      <c r="DM30" s="268"/>
    </row>
    <row r="31" spans="1:119" ht="7.5" customHeight="1" thickTop="1" thickBot="1">
      <c r="A31" s="48"/>
      <c r="B31" s="910" t="s">
        <v>794</v>
      </c>
      <c r="C31" s="911"/>
      <c r="D31" s="911"/>
      <c r="E31" s="911"/>
      <c r="F31" s="912"/>
      <c r="G31" s="4452"/>
      <c r="H31" s="4453"/>
      <c r="I31" s="4453"/>
      <c r="J31" s="4453"/>
      <c r="K31" s="4453"/>
      <c r="L31" s="4453"/>
      <c r="M31" s="4453"/>
      <c r="N31" s="4453"/>
      <c r="O31" s="4453"/>
      <c r="P31" s="4453"/>
      <c r="Q31" s="4453"/>
      <c r="R31" s="4453"/>
      <c r="S31" s="4453"/>
      <c r="T31" s="4453"/>
      <c r="U31" s="4453"/>
      <c r="V31" s="4453"/>
      <c r="W31" s="4453"/>
      <c r="X31" s="4453"/>
      <c r="Y31" s="4453"/>
      <c r="Z31" s="4453"/>
      <c r="AA31" s="4453"/>
      <c r="AB31" s="4453"/>
      <c r="AC31" s="4453"/>
      <c r="AD31" s="4453"/>
      <c r="AE31" s="4453"/>
      <c r="AF31" s="4453"/>
      <c r="AG31" s="4453"/>
      <c r="AH31" s="4453"/>
      <c r="AI31" s="4453"/>
      <c r="AJ31" s="4453"/>
      <c r="AK31" s="4453"/>
      <c r="AL31" s="4453"/>
      <c r="AM31" s="4453"/>
      <c r="AN31" s="4453"/>
      <c r="AO31" s="4453"/>
      <c r="AP31" s="4453"/>
      <c r="AQ31" s="4453"/>
      <c r="AR31" s="4453"/>
      <c r="AS31" s="4453"/>
      <c r="AT31" s="4453"/>
      <c r="AU31" s="4453"/>
      <c r="AV31" s="4453"/>
      <c r="AW31" s="4453"/>
      <c r="AX31" s="4453"/>
      <c r="AY31" s="4453"/>
      <c r="AZ31" s="4453"/>
      <c r="BA31" s="4453"/>
      <c r="BB31" s="4453"/>
      <c r="BC31" s="4453"/>
      <c r="BD31" s="4453"/>
      <c r="BE31" s="4453"/>
      <c r="BF31" s="4454"/>
      <c r="BG31" s="54"/>
      <c r="BH31" s="48"/>
      <c r="BI31" s="368"/>
      <c r="BJ31" s="368"/>
      <c r="BK31" s="368"/>
      <c r="BL31" s="368"/>
      <c r="BM31" s="368"/>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368"/>
      <c r="CL31" s="368"/>
      <c r="CM31" s="368"/>
      <c r="CN31" s="368"/>
      <c r="CO31" s="368"/>
      <c r="CP31" s="527"/>
      <c r="CQ31" s="527"/>
      <c r="CR31" s="527"/>
      <c r="CS31" s="527"/>
      <c r="CT31" s="527"/>
      <c r="CU31" s="527"/>
      <c r="CV31" s="527"/>
      <c r="CW31" s="527"/>
      <c r="CX31" s="527"/>
      <c r="CY31" s="527"/>
      <c r="CZ31" s="527"/>
      <c r="DA31" s="527"/>
      <c r="DB31" s="527"/>
      <c r="DC31" s="527"/>
      <c r="DD31" s="527"/>
      <c r="DE31" s="527"/>
      <c r="DF31" s="527"/>
      <c r="DG31" s="527"/>
      <c r="DH31" s="527"/>
      <c r="DI31" s="527"/>
      <c r="DJ31" s="527"/>
      <c r="DK31" s="527"/>
      <c r="DL31" s="371"/>
    </row>
    <row r="32" spans="1:119" ht="7.5" customHeight="1" thickTop="1">
      <c r="A32" s="48"/>
      <c r="B32" s="913"/>
      <c r="C32" s="914"/>
      <c r="D32" s="914"/>
      <c r="E32" s="914"/>
      <c r="F32" s="915"/>
      <c r="G32" s="4455"/>
      <c r="H32" s="4456"/>
      <c r="I32" s="4456"/>
      <c r="J32" s="4456"/>
      <c r="K32" s="4456"/>
      <c r="L32" s="4456"/>
      <c r="M32" s="4456"/>
      <c r="N32" s="4456"/>
      <c r="O32" s="4456"/>
      <c r="P32" s="4456"/>
      <c r="Q32" s="4456"/>
      <c r="R32" s="4456"/>
      <c r="S32" s="4456"/>
      <c r="T32" s="4456"/>
      <c r="U32" s="4456"/>
      <c r="V32" s="4456"/>
      <c r="W32" s="4456"/>
      <c r="X32" s="4456"/>
      <c r="Y32" s="4456"/>
      <c r="Z32" s="4456"/>
      <c r="AA32" s="4456"/>
      <c r="AB32" s="4456"/>
      <c r="AC32" s="4456"/>
      <c r="AD32" s="4456"/>
      <c r="AE32" s="4456"/>
      <c r="AF32" s="4456"/>
      <c r="AG32" s="4456"/>
      <c r="AH32" s="4456"/>
      <c r="AI32" s="4456"/>
      <c r="AJ32" s="4456"/>
      <c r="AK32" s="4456"/>
      <c r="AL32" s="4456"/>
      <c r="AM32" s="4456"/>
      <c r="AN32" s="4456"/>
      <c r="AO32" s="4456"/>
      <c r="AP32" s="4456"/>
      <c r="AQ32" s="4456"/>
      <c r="AR32" s="4456"/>
      <c r="AS32" s="4456"/>
      <c r="AT32" s="4456"/>
      <c r="AU32" s="4456"/>
      <c r="AV32" s="4456"/>
      <c r="AW32" s="4456"/>
      <c r="AX32" s="4456"/>
      <c r="AY32" s="4456"/>
      <c r="AZ32" s="4456"/>
      <c r="BA32" s="4456"/>
      <c r="BB32" s="4456"/>
      <c r="BC32" s="4456"/>
      <c r="BD32" s="4456"/>
      <c r="BE32" s="4456"/>
      <c r="BF32" s="4457"/>
      <c r="BG32" s="54"/>
      <c r="BH32" s="48"/>
      <c r="BI32" s="783" t="s">
        <v>564</v>
      </c>
      <c r="BJ32" s="784"/>
      <c r="BK32" s="784"/>
      <c r="BL32" s="784"/>
      <c r="BM32" s="784"/>
      <c r="BN32" s="784"/>
      <c r="BO32" s="784"/>
      <c r="BP32" s="784"/>
      <c r="BQ32" s="784"/>
      <c r="BR32" s="784"/>
      <c r="BS32" s="784"/>
      <c r="BT32" s="784"/>
      <c r="BU32" s="784"/>
      <c r="BV32" s="784"/>
      <c r="BW32" s="784"/>
      <c r="BX32" s="784"/>
      <c r="BY32" s="784"/>
      <c r="BZ32" s="784"/>
      <c r="CA32" s="784"/>
      <c r="CB32" s="784"/>
      <c r="CC32" s="4458" t="s">
        <v>902</v>
      </c>
      <c r="CD32" s="4459"/>
      <c r="CE32" s="4459"/>
      <c r="CF32" s="4459"/>
      <c r="CG32" s="4459"/>
      <c r="CH32" s="4459"/>
      <c r="CI32" s="4459"/>
      <c r="CJ32" s="4459"/>
      <c r="CK32" s="4459"/>
      <c r="CL32" s="4459"/>
      <c r="CM32" s="4459"/>
      <c r="CN32" s="4459"/>
      <c r="CO32" s="4459"/>
      <c r="CP32" s="4459"/>
      <c r="CQ32" s="4459"/>
      <c r="CR32" s="4459"/>
      <c r="CS32" s="4459"/>
      <c r="CT32" s="4459"/>
      <c r="CU32" s="4459"/>
      <c r="CV32" s="4459"/>
      <c r="CW32" s="4459"/>
      <c r="CX32" s="4459"/>
      <c r="CY32" s="4459"/>
      <c r="CZ32" s="4459"/>
      <c r="DA32" s="4459"/>
      <c r="DB32" s="4459"/>
      <c r="DC32" s="4459"/>
      <c r="DD32" s="4460"/>
      <c r="DE32" s="875"/>
      <c r="DF32" s="875"/>
      <c r="DG32" s="875"/>
      <c r="DH32" s="875"/>
      <c r="DI32" s="875"/>
      <c r="DJ32" s="875"/>
      <c r="DK32" s="876"/>
      <c r="DL32" s="51"/>
    </row>
    <row r="33" spans="1:117" ht="7.5" customHeight="1">
      <c r="A33" s="48"/>
      <c r="B33" s="857" t="s">
        <v>75</v>
      </c>
      <c r="C33" s="858"/>
      <c r="D33" s="858"/>
      <c r="E33" s="858"/>
      <c r="F33" s="859"/>
      <c r="G33" s="799" t="s">
        <v>73</v>
      </c>
      <c r="H33" s="800"/>
      <c r="I33" s="800"/>
      <c r="J33" s="800"/>
      <c r="K33" s="800"/>
      <c r="L33" s="801"/>
      <c r="M33" s="793"/>
      <c r="N33" s="794"/>
      <c r="O33" s="794"/>
      <c r="P33" s="794"/>
      <c r="Q33" s="794"/>
      <c r="R33" s="794"/>
      <c r="S33" s="794"/>
      <c r="T33" s="794"/>
      <c r="U33" s="794"/>
      <c r="V33" s="794"/>
      <c r="W33" s="795"/>
      <c r="X33" s="799" t="s">
        <v>11</v>
      </c>
      <c r="Y33" s="800"/>
      <c r="Z33" s="800"/>
      <c r="AA33" s="800"/>
      <c r="AB33" s="800"/>
      <c r="AC33" s="801"/>
      <c r="AD33" s="793"/>
      <c r="AE33" s="794"/>
      <c r="AF33" s="794"/>
      <c r="AG33" s="794"/>
      <c r="AH33" s="794"/>
      <c r="AI33" s="794"/>
      <c r="AJ33" s="794"/>
      <c r="AK33" s="794"/>
      <c r="AL33" s="794"/>
      <c r="AM33" s="794"/>
      <c r="AN33" s="795"/>
      <c r="AO33" s="799" t="s">
        <v>74</v>
      </c>
      <c r="AP33" s="800"/>
      <c r="AQ33" s="800"/>
      <c r="AR33" s="800"/>
      <c r="AS33" s="800"/>
      <c r="AT33" s="801"/>
      <c r="AU33" s="793"/>
      <c r="AV33" s="794"/>
      <c r="AW33" s="794"/>
      <c r="AX33" s="794"/>
      <c r="AY33" s="794"/>
      <c r="AZ33" s="794"/>
      <c r="BA33" s="794"/>
      <c r="BB33" s="794"/>
      <c r="BC33" s="794"/>
      <c r="BD33" s="794"/>
      <c r="BE33" s="794"/>
      <c r="BF33" s="805"/>
      <c r="BG33" s="54"/>
      <c r="BH33" s="48"/>
      <c r="BI33" s="785"/>
      <c r="BJ33" s="786"/>
      <c r="BK33" s="786"/>
      <c r="BL33" s="786"/>
      <c r="BM33" s="786"/>
      <c r="BN33" s="786"/>
      <c r="BO33" s="786"/>
      <c r="BP33" s="786"/>
      <c r="BQ33" s="786"/>
      <c r="BR33" s="786"/>
      <c r="BS33" s="786"/>
      <c r="BT33" s="786"/>
      <c r="BU33" s="786"/>
      <c r="BV33" s="786"/>
      <c r="BW33" s="786"/>
      <c r="BX33" s="786"/>
      <c r="BY33" s="786"/>
      <c r="BZ33" s="786"/>
      <c r="CA33" s="786"/>
      <c r="CB33" s="786"/>
      <c r="CC33" s="4461"/>
      <c r="CD33" s="4462"/>
      <c r="CE33" s="4462"/>
      <c r="CF33" s="4462"/>
      <c r="CG33" s="4462"/>
      <c r="CH33" s="4462"/>
      <c r="CI33" s="4462"/>
      <c r="CJ33" s="4462"/>
      <c r="CK33" s="4462"/>
      <c r="CL33" s="4462"/>
      <c r="CM33" s="4462"/>
      <c r="CN33" s="4462"/>
      <c r="CO33" s="4462"/>
      <c r="CP33" s="4462"/>
      <c r="CQ33" s="4462"/>
      <c r="CR33" s="4462"/>
      <c r="CS33" s="4462"/>
      <c r="CT33" s="4462"/>
      <c r="CU33" s="4462"/>
      <c r="CV33" s="4462"/>
      <c r="CW33" s="4462"/>
      <c r="CX33" s="4462"/>
      <c r="CY33" s="4462"/>
      <c r="CZ33" s="4462"/>
      <c r="DA33" s="4462"/>
      <c r="DB33" s="4462"/>
      <c r="DC33" s="4462"/>
      <c r="DD33" s="4463"/>
      <c r="DE33" s="877"/>
      <c r="DF33" s="877"/>
      <c r="DG33" s="877"/>
      <c r="DH33" s="877"/>
      <c r="DI33" s="877"/>
      <c r="DJ33" s="877"/>
      <c r="DK33" s="878"/>
      <c r="DL33" s="51"/>
    </row>
    <row r="34" spans="1:117" ht="7.5" customHeight="1">
      <c r="A34" s="48"/>
      <c r="B34" s="860"/>
      <c r="C34" s="861"/>
      <c r="D34" s="861"/>
      <c r="E34" s="861"/>
      <c r="F34" s="862"/>
      <c r="G34" s="802"/>
      <c r="H34" s="803"/>
      <c r="I34" s="803"/>
      <c r="J34" s="803"/>
      <c r="K34" s="803"/>
      <c r="L34" s="804"/>
      <c r="M34" s="796"/>
      <c r="N34" s="797"/>
      <c r="O34" s="797"/>
      <c r="P34" s="797"/>
      <c r="Q34" s="797"/>
      <c r="R34" s="797"/>
      <c r="S34" s="797"/>
      <c r="T34" s="797"/>
      <c r="U34" s="797"/>
      <c r="V34" s="797"/>
      <c r="W34" s="798"/>
      <c r="X34" s="802"/>
      <c r="Y34" s="803"/>
      <c r="Z34" s="803"/>
      <c r="AA34" s="803"/>
      <c r="AB34" s="803"/>
      <c r="AC34" s="804"/>
      <c r="AD34" s="796"/>
      <c r="AE34" s="797"/>
      <c r="AF34" s="797"/>
      <c r="AG34" s="797"/>
      <c r="AH34" s="797"/>
      <c r="AI34" s="797"/>
      <c r="AJ34" s="797"/>
      <c r="AK34" s="797"/>
      <c r="AL34" s="797"/>
      <c r="AM34" s="797"/>
      <c r="AN34" s="798"/>
      <c r="AO34" s="802"/>
      <c r="AP34" s="803"/>
      <c r="AQ34" s="803"/>
      <c r="AR34" s="803"/>
      <c r="AS34" s="803"/>
      <c r="AT34" s="804"/>
      <c r="AU34" s="796"/>
      <c r="AV34" s="797"/>
      <c r="AW34" s="797"/>
      <c r="AX34" s="797"/>
      <c r="AY34" s="797"/>
      <c r="AZ34" s="797"/>
      <c r="BA34" s="797"/>
      <c r="BB34" s="797"/>
      <c r="BC34" s="797"/>
      <c r="BD34" s="797"/>
      <c r="BE34" s="797"/>
      <c r="BF34" s="806"/>
      <c r="BG34" s="54"/>
      <c r="BH34" s="48"/>
      <c r="BI34" s="835" t="s">
        <v>3</v>
      </c>
      <c r="BJ34" s="836"/>
      <c r="BK34" s="836"/>
      <c r="BL34" s="836"/>
      <c r="BM34" s="837"/>
      <c r="BN34" s="963"/>
      <c r="BO34" s="964"/>
      <c r="BP34" s="964"/>
      <c r="BQ34" s="964"/>
      <c r="BR34" s="964"/>
      <c r="BS34" s="964"/>
      <c r="BT34" s="964"/>
      <c r="BU34" s="964"/>
      <c r="BV34" s="964"/>
      <c r="BW34" s="964"/>
      <c r="BX34" s="964"/>
      <c r="BY34" s="964"/>
      <c r="BZ34" s="964"/>
      <c r="CA34" s="964"/>
      <c r="CB34" s="964"/>
      <c r="CC34" s="964"/>
      <c r="CD34" s="964"/>
      <c r="CE34" s="964"/>
      <c r="CF34" s="964"/>
      <c r="CG34" s="964"/>
      <c r="CH34" s="964"/>
      <c r="CI34" s="964"/>
      <c r="CJ34" s="964"/>
      <c r="CK34" s="964"/>
      <c r="CL34" s="964"/>
      <c r="CM34" s="964"/>
      <c r="CN34" s="964"/>
      <c r="CO34" s="964"/>
      <c r="CP34" s="964"/>
      <c r="CQ34" s="964"/>
      <c r="CR34" s="964"/>
      <c r="CS34" s="964"/>
      <c r="CT34" s="964"/>
      <c r="CU34" s="964"/>
      <c r="CV34" s="964"/>
      <c r="CW34" s="964"/>
      <c r="CX34" s="964"/>
      <c r="CY34" s="964"/>
      <c r="CZ34" s="964"/>
      <c r="DA34" s="964"/>
      <c r="DB34" s="964"/>
      <c r="DC34" s="964"/>
      <c r="DD34" s="964"/>
      <c r="DE34" s="964"/>
      <c r="DF34" s="964"/>
      <c r="DG34" s="964"/>
      <c r="DH34" s="964"/>
      <c r="DI34" s="964"/>
      <c r="DJ34" s="964"/>
      <c r="DK34" s="965"/>
      <c r="DL34" s="51"/>
    </row>
    <row r="35" spans="1:117" ht="7.5" customHeight="1">
      <c r="A35" s="48"/>
      <c r="B35" s="860"/>
      <c r="C35" s="861"/>
      <c r="D35" s="861"/>
      <c r="E35" s="861"/>
      <c r="F35" s="862"/>
      <c r="G35" s="799" t="s">
        <v>76</v>
      </c>
      <c r="H35" s="800"/>
      <c r="I35" s="800"/>
      <c r="J35" s="800"/>
      <c r="K35" s="800"/>
      <c r="L35" s="801"/>
      <c r="M35" s="793"/>
      <c r="N35" s="794"/>
      <c r="O35" s="794"/>
      <c r="P35" s="794"/>
      <c r="Q35" s="794"/>
      <c r="R35" s="794"/>
      <c r="S35" s="794"/>
      <c r="T35" s="794"/>
      <c r="U35" s="794"/>
      <c r="V35" s="794"/>
      <c r="W35" s="794"/>
      <c r="X35" s="794"/>
      <c r="Y35" s="794"/>
      <c r="Z35" s="794"/>
      <c r="AA35" s="794"/>
      <c r="AB35" s="794"/>
      <c r="AC35" s="794"/>
      <c r="AD35" s="794"/>
      <c r="AE35" s="794"/>
      <c r="AF35" s="795"/>
      <c r="AG35" s="799" t="s">
        <v>77</v>
      </c>
      <c r="AH35" s="800"/>
      <c r="AI35" s="800"/>
      <c r="AJ35" s="800"/>
      <c r="AK35" s="800"/>
      <c r="AL35" s="801"/>
      <c r="AM35" s="928"/>
      <c r="AN35" s="929"/>
      <c r="AO35" s="929"/>
      <c r="AP35" s="929"/>
      <c r="AQ35" s="929"/>
      <c r="AR35" s="929"/>
      <c r="AS35" s="929"/>
      <c r="AT35" s="929"/>
      <c r="AU35" s="929"/>
      <c r="AV35" s="929"/>
      <c r="AW35" s="929"/>
      <c r="AX35" s="929"/>
      <c r="AY35" s="929"/>
      <c r="AZ35" s="929"/>
      <c r="BA35" s="929"/>
      <c r="BB35" s="929"/>
      <c r="BC35" s="929"/>
      <c r="BD35" s="929"/>
      <c r="BE35" s="929"/>
      <c r="BF35" s="930"/>
      <c r="BG35" s="54"/>
      <c r="BH35" s="48"/>
      <c r="BI35" s="4464"/>
      <c r="BJ35" s="4465"/>
      <c r="BK35" s="4465"/>
      <c r="BL35" s="4465"/>
      <c r="BM35" s="4466"/>
      <c r="BN35" s="4439"/>
      <c r="BO35" s="4440"/>
      <c r="BP35" s="4440"/>
      <c r="BQ35" s="4440"/>
      <c r="BR35" s="4440"/>
      <c r="BS35" s="4440"/>
      <c r="BT35" s="4440"/>
      <c r="BU35" s="4440"/>
      <c r="BV35" s="4440"/>
      <c r="BW35" s="4440"/>
      <c r="BX35" s="4440"/>
      <c r="BY35" s="4440"/>
      <c r="BZ35" s="4440"/>
      <c r="CA35" s="4440"/>
      <c r="CB35" s="4440"/>
      <c r="CC35" s="4440"/>
      <c r="CD35" s="4440"/>
      <c r="CE35" s="4440"/>
      <c r="CF35" s="4440"/>
      <c r="CG35" s="4440"/>
      <c r="CH35" s="4440"/>
      <c r="CI35" s="4440"/>
      <c r="CJ35" s="4440"/>
      <c r="CK35" s="4440"/>
      <c r="CL35" s="4440"/>
      <c r="CM35" s="4440"/>
      <c r="CN35" s="4440"/>
      <c r="CO35" s="4440"/>
      <c r="CP35" s="4440"/>
      <c r="CQ35" s="4440"/>
      <c r="CR35" s="4440"/>
      <c r="CS35" s="4440"/>
      <c r="CT35" s="4440"/>
      <c r="CU35" s="4440"/>
      <c r="CV35" s="4440"/>
      <c r="CW35" s="4440"/>
      <c r="CX35" s="4440"/>
      <c r="CY35" s="4440"/>
      <c r="CZ35" s="4440"/>
      <c r="DA35" s="4440"/>
      <c r="DB35" s="4440"/>
      <c r="DC35" s="4440"/>
      <c r="DD35" s="4440"/>
      <c r="DE35" s="4440"/>
      <c r="DF35" s="4440"/>
      <c r="DG35" s="4440"/>
      <c r="DH35" s="4440"/>
      <c r="DI35" s="4440"/>
      <c r="DJ35" s="4440"/>
      <c r="DK35" s="4443"/>
      <c r="DL35" s="48"/>
    </row>
    <row r="36" spans="1:117" ht="7.5" customHeight="1">
      <c r="A36" s="48"/>
      <c r="B36" s="863"/>
      <c r="C36" s="864"/>
      <c r="D36" s="864"/>
      <c r="E36" s="864"/>
      <c r="F36" s="865"/>
      <c r="G36" s="802"/>
      <c r="H36" s="803"/>
      <c r="I36" s="803"/>
      <c r="J36" s="803"/>
      <c r="K36" s="803"/>
      <c r="L36" s="804"/>
      <c r="M36" s="796"/>
      <c r="N36" s="797"/>
      <c r="O36" s="797"/>
      <c r="P36" s="797"/>
      <c r="Q36" s="797"/>
      <c r="R36" s="797"/>
      <c r="S36" s="797"/>
      <c r="T36" s="797"/>
      <c r="U36" s="797"/>
      <c r="V36" s="797"/>
      <c r="W36" s="797"/>
      <c r="X36" s="797"/>
      <c r="Y36" s="797"/>
      <c r="Z36" s="797"/>
      <c r="AA36" s="797"/>
      <c r="AB36" s="797"/>
      <c r="AC36" s="797"/>
      <c r="AD36" s="797"/>
      <c r="AE36" s="797"/>
      <c r="AF36" s="798"/>
      <c r="AG36" s="802"/>
      <c r="AH36" s="803"/>
      <c r="AI36" s="803"/>
      <c r="AJ36" s="803"/>
      <c r="AK36" s="803"/>
      <c r="AL36" s="804"/>
      <c r="AM36" s="931"/>
      <c r="AN36" s="932"/>
      <c r="AO36" s="932"/>
      <c r="AP36" s="932"/>
      <c r="AQ36" s="932"/>
      <c r="AR36" s="932"/>
      <c r="AS36" s="932"/>
      <c r="AT36" s="932"/>
      <c r="AU36" s="932"/>
      <c r="AV36" s="932"/>
      <c r="AW36" s="932"/>
      <c r="AX36" s="932"/>
      <c r="AY36" s="932"/>
      <c r="AZ36" s="932"/>
      <c r="BA36" s="932"/>
      <c r="BB36" s="932"/>
      <c r="BC36" s="932"/>
      <c r="BD36" s="932"/>
      <c r="BE36" s="932"/>
      <c r="BF36" s="933"/>
      <c r="BG36" s="54"/>
      <c r="BH36" s="48"/>
      <c r="BI36" s="857" t="s">
        <v>75</v>
      </c>
      <c r="BJ36" s="858"/>
      <c r="BK36" s="858"/>
      <c r="BL36" s="858"/>
      <c r="BM36" s="859"/>
      <c r="BN36" s="799" t="s">
        <v>73</v>
      </c>
      <c r="BO36" s="800"/>
      <c r="BP36" s="800"/>
      <c r="BQ36" s="800"/>
      <c r="BR36" s="800"/>
      <c r="BS36" s="801"/>
      <c r="BT36" s="793"/>
      <c r="BU36" s="794"/>
      <c r="BV36" s="794"/>
      <c r="BW36" s="794"/>
      <c r="BX36" s="794"/>
      <c r="BY36" s="794"/>
      <c r="BZ36" s="794"/>
      <c r="CA36" s="794"/>
      <c r="CB36" s="794"/>
      <c r="CC36" s="794"/>
      <c r="CD36" s="795"/>
      <c r="CE36" s="799" t="s">
        <v>11</v>
      </c>
      <c r="CF36" s="800"/>
      <c r="CG36" s="800"/>
      <c r="CH36" s="800"/>
      <c r="CI36" s="800"/>
      <c r="CJ36" s="801"/>
      <c r="CK36" s="793"/>
      <c r="CL36" s="794"/>
      <c r="CM36" s="794"/>
      <c r="CN36" s="794"/>
      <c r="CO36" s="794"/>
      <c r="CP36" s="794"/>
      <c r="CQ36" s="794"/>
      <c r="CR36" s="794"/>
      <c r="CS36" s="794"/>
      <c r="CT36" s="794"/>
      <c r="CU36" s="795"/>
      <c r="CV36" s="799" t="s">
        <v>74</v>
      </c>
      <c r="CW36" s="800"/>
      <c r="CX36" s="800"/>
      <c r="CY36" s="800"/>
      <c r="CZ36" s="800"/>
      <c r="DA36" s="801"/>
      <c r="DB36" s="4489"/>
      <c r="DC36" s="4490"/>
      <c r="DD36" s="4490"/>
      <c r="DE36" s="4490"/>
      <c r="DF36" s="4490"/>
      <c r="DG36" s="4490"/>
      <c r="DH36" s="4490"/>
      <c r="DI36" s="4490"/>
      <c r="DJ36" s="4490"/>
      <c r="DK36" s="4491"/>
      <c r="DL36" s="4520"/>
      <c r="DM36" s="4520"/>
    </row>
    <row r="37" spans="1:117" ht="7.5" customHeight="1">
      <c r="A37" s="48"/>
      <c r="B37" s="1012" t="s">
        <v>795</v>
      </c>
      <c r="C37" s="1013"/>
      <c r="D37" s="1013"/>
      <c r="E37" s="1013"/>
      <c r="F37" s="1014"/>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1030" t="s">
        <v>72</v>
      </c>
      <c r="AC37" s="1030"/>
      <c r="AD37" s="1030"/>
      <c r="AE37" s="1030"/>
      <c r="AF37" s="1031"/>
      <c r="AG37" s="1032"/>
      <c r="AH37" s="1033"/>
      <c r="AI37" s="1033"/>
      <c r="AJ37" s="1033"/>
      <c r="AK37" s="1033"/>
      <c r="AL37" s="1033"/>
      <c r="AM37" s="1033"/>
      <c r="AN37" s="1033"/>
      <c r="AO37" s="1033"/>
      <c r="AP37" s="1033"/>
      <c r="AQ37" s="1033"/>
      <c r="AR37" s="1033"/>
      <c r="AS37" s="1033"/>
      <c r="AT37" s="1050"/>
      <c r="AU37" s="1033"/>
      <c r="AV37" s="1033"/>
      <c r="AW37" s="1033"/>
      <c r="AX37" s="1033"/>
      <c r="AY37" s="1033"/>
      <c r="AZ37" s="1033"/>
      <c r="BA37" s="1033"/>
      <c r="BB37" s="1033"/>
      <c r="BC37" s="1033"/>
      <c r="BD37" s="1033"/>
      <c r="BE37" s="1033"/>
      <c r="BF37" s="1051"/>
      <c r="BG37" s="54"/>
      <c r="BH37" s="48"/>
      <c r="BI37" s="860"/>
      <c r="BJ37" s="861"/>
      <c r="BK37" s="861"/>
      <c r="BL37" s="861"/>
      <c r="BM37" s="862"/>
      <c r="BN37" s="802"/>
      <c r="BO37" s="803"/>
      <c r="BP37" s="803"/>
      <c r="BQ37" s="803"/>
      <c r="BR37" s="803"/>
      <c r="BS37" s="804"/>
      <c r="BT37" s="796"/>
      <c r="BU37" s="797"/>
      <c r="BV37" s="797"/>
      <c r="BW37" s="797"/>
      <c r="BX37" s="797"/>
      <c r="BY37" s="797"/>
      <c r="BZ37" s="797"/>
      <c r="CA37" s="797"/>
      <c r="CB37" s="797"/>
      <c r="CC37" s="797"/>
      <c r="CD37" s="798"/>
      <c r="CE37" s="802"/>
      <c r="CF37" s="803"/>
      <c r="CG37" s="803"/>
      <c r="CH37" s="803"/>
      <c r="CI37" s="803"/>
      <c r="CJ37" s="804"/>
      <c r="CK37" s="796"/>
      <c r="CL37" s="797"/>
      <c r="CM37" s="797"/>
      <c r="CN37" s="797"/>
      <c r="CO37" s="797"/>
      <c r="CP37" s="797"/>
      <c r="CQ37" s="797"/>
      <c r="CR37" s="797"/>
      <c r="CS37" s="797"/>
      <c r="CT37" s="797"/>
      <c r="CU37" s="798"/>
      <c r="CV37" s="802"/>
      <c r="CW37" s="803"/>
      <c r="CX37" s="803"/>
      <c r="CY37" s="803"/>
      <c r="CZ37" s="803"/>
      <c r="DA37" s="804"/>
      <c r="DB37" s="4492"/>
      <c r="DC37" s="4493"/>
      <c r="DD37" s="4493"/>
      <c r="DE37" s="4493"/>
      <c r="DF37" s="4493"/>
      <c r="DG37" s="4493"/>
      <c r="DH37" s="4493"/>
      <c r="DI37" s="4493"/>
      <c r="DJ37" s="4493"/>
      <c r="DK37" s="4494"/>
      <c r="DL37" s="4520"/>
      <c r="DM37" s="4520"/>
    </row>
    <row r="38" spans="1:117" ht="7.5" customHeight="1">
      <c r="A38" s="48"/>
      <c r="B38" s="1015"/>
      <c r="C38" s="1016"/>
      <c r="D38" s="1016"/>
      <c r="E38" s="1016"/>
      <c r="F38" s="1017"/>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1052" t="s">
        <v>797</v>
      </c>
      <c r="AC38" s="1053"/>
      <c r="AD38" s="1053"/>
      <c r="AE38" s="1053"/>
      <c r="AF38" s="1054"/>
      <c r="AG38" s="1024"/>
      <c r="AH38" s="1025"/>
      <c r="AI38" s="1025"/>
      <c r="AJ38" s="1025"/>
      <c r="AK38" s="1025"/>
      <c r="AL38" s="1025"/>
      <c r="AM38" s="1025"/>
      <c r="AN38" s="1025"/>
      <c r="AO38" s="1025"/>
      <c r="AP38" s="1025"/>
      <c r="AQ38" s="1025"/>
      <c r="AR38" s="1025"/>
      <c r="AS38" s="1025"/>
      <c r="AT38" s="1056"/>
      <c r="AU38" s="1057"/>
      <c r="AV38" s="1057"/>
      <c r="AW38" s="1057"/>
      <c r="AX38" s="1057"/>
      <c r="AY38" s="1057"/>
      <c r="AZ38" s="1057"/>
      <c r="BA38" s="1057"/>
      <c r="BB38" s="1057"/>
      <c r="BC38" s="1057"/>
      <c r="BD38" s="1057"/>
      <c r="BE38" s="1057"/>
      <c r="BF38" s="1058"/>
      <c r="BG38" s="54"/>
      <c r="BH38" s="48"/>
      <c r="BI38" s="860"/>
      <c r="BJ38" s="861"/>
      <c r="BK38" s="861"/>
      <c r="BL38" s="861"/>
      <c r="BM38" s="862"/>
      <c r="BN38" s="799" t="s">
        <v>76</v>
      </c>
      <c r="BO38" s="800"/>
      <c r="BP38" s="800"/>
      <c r="BQ38" s="800"/>
      <c r="BR38" s="800"/>
      <c r="BS38" s="801"/>
      <c r="BT38" s="793"/>
      <c r="BU38" s="794"/>
      <c r="BV38" s="794"/>
      <c r="BW38" s="794"/>
      <c r="BX38" s="794"/>
      <c r="BY38" s="794"/>
      <c r="BZ38" s="794"/>
      <c r="CA38" s="794"/>
      <c r="CB38" s="794"/>
      <c r="CC38" s="794"/>
      <c r="CD38" s="794"/>
      <c r="CE38" s="794"/>
      <c r="CF38" s="794"/>
      <c r="CG38" s="794"/>
      <c r="CH38" s="794"/>
      <c r="CI38" s="794"/>
      <c r="CJ38" s="794"/>
      <c r="CK38" s="794"/>
      <c r="CL38" s="794"/>
      <c r="CM38" s="795"/>
      <c r="CN38" s="799" t="s">
        <v>77</v>
      </c>
      <c r="CO38" s="800"/>
      <c r="CP38" s="800"/>
      <c r="CQ38" s="800"/>
      <c r="CR38" s="800"/>
      <c r="CS38" s="801"/>
      <c r="CT38" s="4495"/>
      <c r="CU38" s="4496"/>
      <c r="CV38" s="4496"/>
      <c r="CW38" s="4496"/>
      <c r="CX38" s="4496"/>
      <c r="CY38" s="4496"/>
      <c r="CZ38" s="4496"/>
      <c r="DA38" s="4496"/>
      <c r="DB38" s="4496"/>
      <c r="DC38" s="4496"/>
      <c r="DD38" s="4496"/>
      <c r="DE38" s="4496"/>
      <c r="DF38" s="4496"/>
      <c r="DG38" s="4496"/>
      <c r="DH38" s="4496"/>
      <c r="DI38" s="4496"/>
      <c r="DJ38" s="4496"/>
      <c r="DK38" s="4497"/>
      <c r="DL38" s="4524"/>
      <c r="DM38" s="4524"/>
    </row>
    <row r="39" spans="1:117" ht="7.5" customHeight="1">
      <c r="A39" s="48"/>
      <c r="B39" s="1018"/>
      <c r="C39" s="1019"/>
      <c r="D39" s="1019"/>
      <c r="E39" s="1019"/>
      <c r="F39" s="1020"/>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1055"/>
      <c r="AC39" s="1019"/>
      <c r="AD39" s="1019"/>
      <c r="AE39" s="1019"/>
      <c r="AF39" s="1020"/>
      <c r="AG39" s="1027"/>
      <c r="AH39" s="1028"/>
      <c r="AI39" s="1028"/>
      <c r="AJ39" s="1028"/>
      <c r="AK39" s="1028"/>
      <c r="AL39" s="1028"/>
      <c r="AM39" s="1028"/>
      <c r="AN39" s="1028"/>
      <c r="AO39" s="1028"/>
      <c r="AP39" s="1028"/>
      <c r="AQ39" s="1028"/>
      <c r="AR39" s="1028"/>
      <c r="AS39" s="1028"/>
      <c r="AT39" s="1059"/>
      <c r="AU39" s="1028"/>
      <c r="AV39" s="1028"/>
      <c r="AW39" s="1028"/>
      <c r="AX39" s="1028"/>
      <c r="AY39" s="1028"/>
      <c r="AZ39" s="1028"/>
      <c r="BA39" s="1028"/>
      <c r="BB39" s="1028"/>
      <c r="BC39" s="1028"/>
      <c r="BD39" s="1028"/>
      <c r="BE39" s="1028"/>
      <c r="BF39" s="1060"/>
      <c r="BG39" s="54"/>
      <c r="BH39" s="48"/>
      <c r="BI39" s="863"/>
      <c r="BJ39" s="864"/>
      <c r="BK39" s="864"/>
      <c r="BL39" s="864"/>
      <c r="BM39" s="865"/>
      <c r="BN39" s="802"/>
      <c r="BO39" s="803"/>
      <c r="BP39" s="803"/>
      <c r="BQ39" s="803"/>
      <c r="BR39" s="803"/>
      <c r="BS39" s="804"/>
      <c r="BT39" s="796"/>
      <c r="BU39" s="797"/>
      <c r="BV39" s="797"/>
      <c r="BW39" s="797"/>
      <c r="BX39" s="797"/>
      <c r="BY39" s="797"/>
      <c r="BZ39" s="797"/>
      <c r="CA39" s="797"/>
      <c r="CB39" s="797"/>
      <c r="CC39" s="797"/>
      <c r="CD39" s="797"/>
      <c r="CE39" s="797"/>
      <c r="CF39" s="797"/>
      <c r="CG39" s="797"/>
      <c r="CH39" s="797"/>
      <c r="CI39" s="797"/>
      <c r="CJ39" s="797"/>
      <c r="CK39" s="797"/>
      <c r="CL39" s="797"/>
      <c r="CM39" s="798"/>
      <c r="CN39" s="802"/>
      <c r="CO39" s="803"/>
      <c r="CP39" s="803"/>
      <c r="CQ39" s="803"/>
      <c r="CR39" s="803"/>
      <c r="CS39" s="804"/>
      <c r="CT39" s="4521"/>
      <c r="CU39" s="4522"/>
      <c r="CV39" s="4522"/>
      <c r="CW39" s="4522"/>
      <c r="CX39" s="4522"/>
      <c r="CY39" s="4522"/>
      <c r="CZ39" s="4522"/>
      <c r="DA39" s="4522"/>
      <c r="DB39" s="4522"/>
      <c r="DC39" s="4522"/>
      <c r="DD39" s="4522"/>
      <c r="DE39" s="4522"/>
      <c r="DF39" s="4522"/>
      <c r="DG39" s="4522"/>
      <c r="DH39" s="4522"/>
      <c r="DI39" s="4522"/>
      <c r="DJ39" s="4522"/>
      <c r="DK39" s="4523"/>
      <c r="DL39" s="4524"/>
      <c r="DM39" s="4524"/>
    </row>
    <row r="40" spans="1:117" ht="7.5" customHeight="1">
      <c r="A40" s="48"/>
      <c r="B40" s="1012" t="s">
        <v>570</v>
      </c>
      <c r="C40" s="1013"/>
      <c r="D40" s="1013"/>
      <c r="E40" s="1013"/>
      <c r="F40" s="1014"/>
      <c r="G40" s="1037"/>
      <c r="H40" s="1038"/>
      <c r="I40" s="1038"/>
      <c r="J40" s="1038"/>
      <c r="K40" s="1038"/>
      <c r="L40" s="1038"/>
      <c r="M40" s="1038"/>
      <c r="N40" s="1038"/>
      <c r="O40" s="1038"/>
      <c r="P40" s="1038"/>
      <c r="Q40" s="1038"/>
      <c r="R40" s="1038"/>
      <c r="S40" s="1038"/>
      <c r="T40" s="1038"/>
      <c r="U40" s="1038"/>
      <c r="V40" s="1038"/>
      <c r="W40" s="1038"/>
      <c r="X40" s="1038"/>
      <c r="Y40" s="1038"/>
      <c r="Z40" s="1038"/>
      <c r="AA40" s="1039"/>
      <c r="AB40" s="799" t="s">
        <v>569</v>
      </c>
      <c r="AC40" s="1013"/>
      <c r="AD40" s="1013"/>
      <c r="AE40" s="1013"/>
      <c r="AF40" s="1014"/>
      <c r="AG40" s="1044"/>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5"/>
      <c r="BC40" s="1045"/>
      <c r="BD40" s="1045"/>
      <c r="BE40" s="1045"/>
      <c r="BF40" s="1046"/>
      <c r="BG40" s="54"/>
      <c r="BH40" s="48"/>
      <c r="BI40" s="4464" t="s">
        <v>567</v>
      </c>
      <c r="BJ40" s="4465"/>
      <c r="BK40" s="4465"/>
      <c r="BL40" s="4465"/>
      <c r="BM40" s="4466"/>
      <c r="BN40" s="4439"/>
      <c r="BO40" s="4440"/>
      <c r="BP40" s="4440"/>
      <c r="BQ40" s="4440"/>
      <c r="BR40" s="4440"/>
      <c r="BS40" s="4440"/>
      <c r="BT40" s="4440"/>
      <c r="BU40" s="4440"/>
      <c r="BV40" s="4440"/>
      <c r="BW40" s="4440"/>
      <c r="BX40" s="4440"/>
      <c r="BY40" s="4440"/>
      <c r="BZ40" s="4440"/>
      <c r="CA40" s="4440"/>
      <c r="CB40" s="4440"/>
      <c r="CC40" s="4440"/>
      <c r="CD40" s="4440"/>
      <c r="CE40" s="4440"/>
      <c r="CF40" s="4440"/>
      <c r="CG40" s="4440"/>
      <c r="CH40" s="4440"/>
      <c r="CI40" s="4440"/>
      <c r="CJ40" s="4444"/>
      <c r="CK40" s="4519" t="s">
        <v>266</v>
      </c>
      <c r="CL40" s="4465"/>
      <c r="CM40" s="4465"/>
      <c r="CN40" s="4465"/>
      <c r="CO40" s="4466"/>
      <c r="CP40" s="4439"/>
      <c r="CQ40" s="4440"/>
      <c r="CR40" s="4440"/>
      <c r="CS40" s="4440"/>
      <c r="CT40" s="4440"/>
      <c r="CU40" s="4440"/>
      <c r="CV40" s="4440"/>
      <c r="CW40" s="4440"/>
      <c r="CX40" s="4440"/>
      <c r="CY40" s="4440"/>
      <c r="CZ40" s="4441"/>
      <c r="DA40" s="4442"/>
      <c r="DB40" s="4440"/>
      <c r="DC40" s="4440"/>
      <c r="DD40" s="4440"/>
      <c r="DE40" s="4440"/>
      <c r="DF40" s="4440"/>
      <c r="DG40" s="4440"/>
      <c r="DH40" s="4440"/>
      <c r="DI40" s="4440"/>
      <c r="DJ40" s="4440"/>
      <c r="DK40" s="4443"/>
      <c r="DL40" s="522"/>
      <c r="DM40" s="522"/>
    </row>
    <row r="41" spans="1:117" ht="7.5" customHeight="1" thickBot="1">
      <c r="A41" s="48"/>
      <c r="B41" s="1034"/>
      <c r="C41" s="1035"/>
      <c r="D41" s="1035"/>
      <c r="E41" s="1035"/>
      <c r="F41" s="1036"/>
      <c r="G41" s="1040"/>
      <c r="H41" s="1041"/>
      <c r="I41" s="1041"/>
      <c r="J41" s="1041"/>
      <c r="K41" s="1041"/>
      <c r="L41" s="1041"/>
      <c r="M41" s="1041"/>
      <c r="N41" s="1041"/>
      <c r="O41" s="1041"/>
      <c r="P41" s="1041"/>
      <c r="Q41" s="1041"/>
      <c r="R41" s="1041"/>
      <c r="S41" s="1041"/>
      <c r="T41" s="1041"/>
      <c r="U41" s="1041"/>
      <c r="V41" s="1041"/>
      <c r="W41" s="1041"/>
      <c r="X41" s="1041"/>
      <c r="Y41" s="1041"/>
      <c r="Z41" s="1041"/>
      <c r="AA41" s="1042"/>
      <c r="AB41" s="1043"/>
      <c r="AC41" s="1035"/>
      <c r="AD41" s="1035"/>
      <c r="AE41" s="1035"/>
      <c r="AF41" s="1036"/>
      <c r="AG41" s="1047"/>
      <c r="AH41" s="1048"/>
      <c r="AI41" s="1048"/>
      <c r="AJ41" s="1048"/>
      <c r="AK41" s="1048"/>
      <c r="AL41" s="1048"/>
      <c r="AM41" s="1048"/>
      <c r="AN41" s="1048"/>
      <c r="AO41" s="1048"/>
      <c r="AP41" s="1048"/>
      <c r="AQ41" s="1048"/>
      <c r="AR41" s="1048"/>
      <c r="AS41" s="1048"/>
      <c r="AT41" s="1048"/>
      <c r="AU41" s="1048"/>
      <c r="AV41" s="1048"/>
      <c r="AW41" s="1048"/>
      <c r="AX41" s="1048"/>
      <c r="AY41" s="1048"/>
      <c r="AZ41" s="1048"/>
      <c r="BA41" s="1048"/>
      <c r="BB41" s="1048"/>
      <c r="BC41" s="1048"/>
      <c r="BD41" s="1048"/>
      <c r="BE41" s="1048"/>
      <c r="BF41" s="1049"/>
      <c r="BG41" s="54"/>
      <c r="BH41" s="48"/>
      <c r="BI41" s="838"/>
      <c r="BJ41" s="839"/>
      <c r="BK41" s="839"/>
      <c r="BL41" s="839"/>
      <c r="BM41" s="840"/>
      <c r="BN41" s="966"/>
      <c r="BO41" s="967"/>
      <c r="BP41" s="967"/>
      <c r="BQ41" s="967"/>
      <c r="BR41" s="967"/>
      <c r="BS41" s="967"/>
      <c r="BT41" s="967"/>
      <c r="BU41" s="967"/>
      <c r="BV41" s="967"/>
      <c r="BW41" s="967"/>
      <c r="BX41" s="967"/>
      <c r="BY41" s="967"/>
      <c r="BZ41" s="967"/>
      <c r="CA41" s="967"/>
      <c r="CB41" s="967"/>
      <c r="CC41" s="967"/>
      <c r="CD41" s="967"/>
      <c r="CE41" s="967"/>
      <c r="CF41" s="967"/>
      <c r="CG41" s="967"/>
      <c r="CH41" s="967"/>
      <c r="CI41" s="967"/>
      <c r="CJ41" s="2957"/>
      <c r="CK41" s="953"/>
      <c r="CL41" s="839"/>
      <c r="CM41" s="839"/>
      <c r="CN41" s="839"/>
      <c r="CO41" s="840"/>
      <c r="CP41" s="966"/>
      <c r="CQ41" s="967"/>
      <c r="CR41" s="967"/>
      <c r="CS41" s="967"/>
      <c r="CT41" s="967"/>
      <c r="CU41" s="967"/>
      <c r="CV41" s="967"/>
      <c r="CW41" s="967"/>
      <c r="CX41" s="967"/>
      <c r="CY41" s="967"/>
      <c r="CZ41" s="2961"/>
      <c r="DA41" s="2959"/>
      <c r="DB41" s="967"/>
      <c r="DC41" s="967"/>
      <c r="DD41" s="967"/>
      <c r="DE41" s="967"/>
      <c r="DF41" s="967"/>
      <c r="DG41" s="967"/>
      <c r="DH41" s="967"/>
      <c r="DI41" s="967"/>
      <c r="DJ41" s="967"/>
      <c r="DK41" s="968"/>
      <c r="DL41" s="50"/>
    </row>
    <row r="42" spans="1:117"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54"/>
      <c r="BH42" s="48"/>
      <c r="BI42" s="835" t="s">
        <v>570</v>
      </c>
      <c r="BJ42" s="836"/>
      <c r="BK42" s="836"/>
      <c r="BL42" s="836"/>
      <c r="BM42" s="837"/>
      <c r="BN42" s="989"/>
      <c r="BO42" s="990"/>
      <c r="BP42" s="990"/>
      <c r="BQ42" s="990"/>
      <c r="BR42" s="990"/>
      <c r="BS42" s="990"/>
      <c r="BT42" s="990"/>
      <c r="BU42" s="990"/>
      <c r="BV42" s="990"/>
      <c r="BW42" s="990"/>
      <c r="BX42" s="990"/>
      <c r="BY42" s="990"/>
      <c r="BZ42" s="990"/>
      <c r="CA42" s="990"/>
      <c r="CB42" s="990"/>
      <c r="CC42" s="990"/>
      <c r="CD42" s="990"/>
      <c r="CE42" s="990"/>
      <c r="CF42" s="990"/>
      <c r="CG42" s="990"/>
      <c r="CH42" s="990"/>
      <c r="CI42" s="990"/>
      <c r="CJ42" s="991"/>
      <c r="CK42" s="902" t="s">
        <v>569</v>
      </c>
      <c r="CL42" s="836"/>
      <c r="CM42" s="836"/>
      <c r="CN42" s="836"/>
      <c r="CO42" s="837"/>
      <c r="CP42" s="996"/>
      <c r="CQ42" s="997"/>
      <c r="CR42" s="997"/>
      <c r="CS42" s="997"/>
      <c r="CT42" s="997"/>
      <c r="CU42" s="997"/>
      <c r="CV42" s="997"/>
      <c r="CW42" s="997"/>
      <c r="CX42" s="997"/>
      <c r="CY42" s="997"/>
      <c r="CZ42" s="997"/>
      <c r="DA42" s="997"/>
      <c r="DB42" s="997"/>
      <c r="DC42" s="997"/>
      <c r="DD42" s="997"/>
      <c r="DE42" s="997"/>
      <c r="DF42" s="997"/>
      <c r="DG42" s="997"/>
      <c r="DH42" s="997"/>
      <c r="DI42" s="997"/>
      <c r="DJ42" s="997"/>
      <c r="DK42" s="998"/>
      <c r="DL42" s="50"/>
    </row>
    <row r="43" spans="1:117" ht="7.5" customHeight="1" thickBo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54"/>
      <c r="BH43" s="48"/>
      <c r="BI43" s="872"/>
      <c r="BJ43" s="873"/>
      <c r="BK43" s="873"/>
      <c r="BL43" s="873"/>
      <c r="BM43" s="874"/>
      <c r="BN43" s="4534"/>
      <c r="BO43" s="4535"/>
      <c r="BP43" s="4535"/>
      <c r="BQ43" s="4535"/>
      <c r="BR43" s="4535"/>
      <c r="BS43" s="4535"/>
      <c r="BT43" s="4535"/>
      <c r="BU43" s="4535"/>
      <c r="BV43" s="4535"/>
      <c r="BW43" s="4535"/>
      <c r="BX43" s="4535"/>
      <c r="BY43" s="4535"/>
      <c r="BZ43" s="4535"/>
      <c r="CA43" s="4535"/>
      <c r="CB43" s="4535"/>
      <c r="CC43" s="4535"/>
      <c r="CD43" s="4535"/>
      <c r="CE43" s="4535"/>
      <c r="CF43" s="4535"/>
      <c r="CG43" s="4535"/>
      <c r="CH43" s="4535"/>
      <c r="CI43" s="4535"/>
      <c r="CJ43" s="4536"/>
      <c r="CK43" s="903"/>
      <c r="CL43" s="873"/>
      <c r="CM43" s="873"/>
      <c r="CN43" s="873"/>
      <c r="CO43" s="874"/>
      <c r="CP43" s="4525"/>
      <c r="CQ43" s="4526"/>
      <c r="CR43" s="4526"/>
      <c r="CS43" s="4526"/>
      <c r="CT43" s="4526"/>
      <c r="CU43" s="4526"/>
      <c r="CV43" s="4526"/>
      <c r="CW43" s="4526"/>
      <c r="CX43" s="4526"/>
      <c r="CY43" s="4526"/>
      <c r="CZ43" s="4526"/>
      <c r="DA43" s="4526"/>
      <c r="DB43" s="4526"/>
      <c r="DC43" s="4526"/>
      <c r="DD43" s="4526"/>
      <c r="DE43" s="4526"/>
      <c r="DF43" s="4526"/>
      <c r="DG43" s="4526"/>
      <c r="DH43" s="4526"/>
      <c r="DI43" s="4526"/>
      <c r="DJ43" s="4526"/>
      <c r="DK43" s="4527"/>
      <c r="DL43" s="52"/>
    </row>
    <row r="44" spans="1:117"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G44" s="125"/>
      <c r="BI44" s="400"/>
      <c r="BJ44" s="368"/>
      <c r="BK44" s="368"/>
      <c r="BL44" s="368"/>
      <c r="BM44" s="368"/>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546"/>
      <c r="DL44" s="44"/>
    </row>
    <row r="45" spans="1:117" ht="7.5" customHeight="1" thickTop="1">
      <c r="A45" s="48"/>
      <c r="B45" s="4445" t="s">
        <v>1100</v>
      </c>
      <c r="C45" s="4445"/>
      <c r="D45" s="4445"/>
      <c r="E45" s="4445"/>
      <c r="F45" s="4445"/>
      <c r="G45" s="4445"/>
      <c r="H45" s="4445"/>
      <c r="I45" s="4445"/>
      <c r="J45" s="4445"/>
      <c r="K45" s="4445"/>
      <c r="L45" s="4445"/>
      <c r="M45" s="4445"/>
      <c r="N45" s="4445"/>
      <c r="O45" s="4445"/>
      <c r="P45" s="4445"/>
      <c r="Q45" s="4445"/>
      <c r="R45" s="4445"/>
      <c r="S45" s="4445"/>
      <c r="T45" s="4445"/>
      <c r="U45" s="4445"/>
      <c r="V45" s="4445"/>
      <c r="W45" s="4445"/>
      <c r="X45" s="4445"/>
      <c r="Y45" s="4445"/>
      <c r="Z45" s="4445"/>
      <c r="AA45" s="4445"/>
      <c r="AB45" s="4445"/>
      <c r="AC45" s="4445"/>
      <c r="AD45" s="4445"/>
      <c r="AE45" s="4445"/>
      <c r="AF45" s="4445"/>
      <c r="AG45" s="4445"/>
      <c r="AH45" s="4445"/>
      <c r="AI45" s="4445"/>
      <c r="AJ45" s="4445"/>
      <c r="AK45" s="4445"/>
      <c r="AL45" s="4445"/>
      <c r="AM45" s="4445"/>
      <c r="AN45" s="4445"/>
      <c r="AO45" s="4445"/>
      <c r="AP45" s="4445"/>
      <c r="AQ45" s="4445"/>
      <c r="AR45" s="4445"/>
      <c r="AS45" s="4445"/>
      <c r="AT45" s="4445"/>
      <c r="AU45" s="4445"/>
      <c r="AV45" s="4445"/>
      <c r="AW45" s="4445"/>
      <c r="AX45" s="4445"/>
      <c r="AY45" s="4445"/>
      <c r="AZ45" s="4445"/>
      <c r="BA45" s="4445"/>
      <c r="BB45" s="4445"/>
      <c r="BC45" s="4445"/>
      <c r="BD45" s="4445"/>
      <c r="BG45" s="48"/>
      <c r="BH45" s="48"/>
      <c r="BI45" s="975" t="s">
        <v>565</v>
      </c>
      <c r="BJ45" s="976"/>
      <c r="BK45" s="976"/>
      <c r="BL45" s="976"/>
      <c r="BM45" s="976"/>
      <c r="BN45" s="976"/>
      <c r="BO45" s="976"/>
      <c r="BP45" s="976"/>
      <c r="BQ45" s="976"/>
      <c r="BR45" s="976"/>
      <c r="BS45" s="976"/>
      <c r="BT45" s="976"/>
      <c r="BU45" s="976"/>
      <c r="BV45" s="976"/>
      <c r="BW45" s="976"/>
      <c r="BX45" s="976"/>
      <c r="BY45" s="976"/>
      <c r="BZ45" s="976"/>
      <c r="CA45" s="976"/>
      <c r="CB45" s="976"/>
      <c r="CC45" s="4528" t="s">
        <v>902</v>
      </c>
      <c r="CD45" s="4529"/>
      <c r="CE45" s="4529"/>
      <c r="CF45" s="4529"/>
      <c r="CG45" s="4529"/>
      <c r="CH45" s="4529"/>
      <c r="CI45" s="4529"/>
      <c r="CJ45" s="4529"/>
      <c r="CK45" s="4529"/>
      <c r="CL45" s="4529"/>
      <c r="CM45" s="4529"/>
      <c r="CN45" s="4529"/>
      <c r="CO45" s="4529"/>
      <c r="CP45" s="4529"/>
      <c r="CQ45" s="4529"/>
      <c r="CR45" s="4529"/>
      <c r="CS45" s="4529"/>
      <c r="CT45" s="4529"/>
      <c r="CU45" s="4529"/>
      <c r="CV45" s="4529"/>
      <c r="CW45" s="4529"/>
      <c r="CX45" s="4529"/>
      <c r="CY45" s="4529"/>
      <c r="CZ45" s="4529"/>
      <c r="DA45" s="4529"/>
      <c r="DB45" s="4529"/>
      <c r="DC45" s="4529"/>
      <c r="DD45" s="4530"/>
      <c r="DE45" s="980"/>
      <c r="DF45" s="980"/>
      <c r="DG45" s="980"/>
      <c r="DH45" s="980"/>
      <c r="DI45" s="980"/>
      <c r="DJ45" s="980"/>
      <c r="DK45" s="981"/>
      <c r="DL45" s="52"/>
    </row>
    <row r="46" spans="1:117" ht="7.5" customHeight="1" thickBot="1">
      <c r="A46" s="48"/>
      <c r="B46" s="4445"/>
      <c r="C46" s="4445"/>
      <c r="D46" s="4445"/>
      <c r="E46" s="4445"/>
      <c r="F46" s="4445"/>
      <c r="G46" s="4445"/>
      <c r="H46" s="4445"/>
      <c r="I46" s="4445"/>
      <c r="J46" s="4445"/>
      <c r="K46" s="4445"/>
      <c r="L46" s="4445"/>
      <c r="M46" s="4445"/>
      <c r="N46" s="4445"/>
      <c r="O46" s="4445"/>
      <c r="P46" s="4445"/>
      <c r="Q46" s="4445"/>
      <c r="R46" s="4445"/>
      <c r="S46" s="4445"/>
      <c r="T46" s="4445"/>
      <c r="U46" s="4445"/>
      <c r="V46" s="4445"/>
      <c r="W46" s="4445"/>
      <c r="X46" s="4445"/>
      <c r="Y46" s="4445"/>
      <c r="Z46" s="4445"/>
      <c r="AA46" s="4445"/>
      <c r="AB46" s="4445"/>
      <c r="AC46" s="4445"/>
      <c r="AD46" s="4445"/>
      <c r="AE46" s="4445"/>
      <c r="AF46" s="4445"/>
      <c r="AG46" s="4445"/>
      <c r="AH46" s="4445"/>
      <c r="AI46" s="4445"/>
      <c r="AJ46" s="4445"/>
      <c r="AK46" s="4445"/>
      <c r="AL46" s="4445"/>
      <c r="AM46" s="4445"/>
      <c r="AN46" s="4445"/>
      <c r="AO46" s="4445"/>
      <c r="AP46" s="4445"/>
      <c r="AQ46" s="4445"/>
      <c r="AR46" s="4445"/>
      <c r="AS46" s="4445"/>
      <c r="AT46" s="4445"/>
      <c r="AU46" s="4445"/>
      <c r="AV46" s="4445"/>
      <c r="AW46" s="4445"/>
      <c r="AX46" s="4445"/>
      <c r="AY46" s="4445"/>
      <c r="AZ46" s="4445"/>
      <c r="BA46" s="4445"/>
      <c r="BB46" s="4445"/>
      <c r="BC46" s="4445"/>
      <c r="BD46" s="4445"/>
      <c r="BG46" s="48"/>
      <c r="BH46" s="48"/>
      <c r="BI46" s="785"/>
      <c r="BJ46" s="786"/>
      <c r="BK46" s="786"/>
      <c r="BL46" s="786"/>
      <c r="BM46" s="786"/>
      <c r="BN46" s="786"/>
      <c r="BO46" s="786"/>
      <c r="BP46" s="786"/>
      <c r="BQ46" s="786"/>
      <c r="BR46" s="786"/>
      <c r="BS46" s="786"/>
      <c r="BT46" s="786"/>
      <c r="BU46" s="786"/>
      <c r="BV46" s="786"/>
      <c r="BW46" s="786"/>
      <c r="BX46" s="786"/>
      <c r="BY46" s="786"/>
      <c r="BZ46" s="786"/>
      <c r="CA46" s="786"/>
      <c r="CB46" s="786"/>
      <c r="CC46" s="4461"/>
      <c r="CD46" s="4462"/>
      <c r="CE46" s="4462"/>
      <c r="CF46" s="4462"/>
      <c r="CG46" s="4462"/>
      <c r="CH46" s="4462"/>
      <c r="CI46" s="4462"/>
      <c r="CJ46" s="4462"/>
      <c r="CK46" s="4462"/>
      <c r="CL46" s="4462"/>
      <c r="CM46" s="4462"/>
      <c r="CN46" s="4462"/>
      <c r="CO46" s="4462"/>
      <c r="CP46" s="4462"/>
      <c r="CQ46" s="4462"/>
      <c r="CR46" s="4462"/>
      <c r="CS46" s="4462"/>
      <c r="CT46" s="4462"/>
      <c r="CU46" s="4462"/>
      <c r="CV46" s="4462"/>
      <c r="CW46" s="4462"/>
      <c r="CX46" s="4462"/>
      <c r="CY46" s="4462"/>
      <c r="CZ46" s="4462"/>
      <c r="DA46" s="4462"/>
      <c r="DB46" s="4462"/>
      <c r="DC46" s="4462"/>
      <c r="DD46" s="4463"/>
      <c r="DE46" s="877"/>
      <c r="DF46" s="877"/>
      <c r="DG46" s="877"/>
      <c r="DH46" s="877"/>
      <c r="DI46" s="877"/>
      <c r="DJ46" s="877"/>
      <c r="DK46" s="878"/>
      <c r="DL46" s="52"/>
    </row>
    <row r="47" spans="1:117" ht="7.5" customHeight="1" thickTop="1">
      <c r="A47" s="48"/>
      <c r="B47" s="4446" t="s">
        <v>885</v>
      </c>
      <c r="C47" s="4447"/>
      <c r="D47" s="4447"/>
      <c r="E47" s="4447"/>
      <c r="F47" s="4447"/>
      <c r="G47" s="4447"/>
      <c r="H47" s="4447"/>
      <c r="I47" s="4447"/>
      <c r="J47" s="4447"/>
      <c r="K47" s="4447"/>
      <c r="L47" s="4447"/>
      <c r="M47" s="4447"/>
      <c r="N47" s="4447"/>
      <c r="O47" s="4447"/>
      <c r="P47" s="4447"/>
      <c r="Q47" s="4447"/>
      <c r="R47" s="4447"/>
      <c r="S47" s="4447"/>
      <c r="T47" s="4447"/>
      <c r="U47" s="4447"/>
      <c r="V47" s="4447"/>
      <c r="W47" s="4447"/>
      <c r="X47" s="4447"/>
      <c r="Y47" s="4447"/>
      <c r="Z47" s="4447"/>
      <c r="AA47" s="4447"/>
      <c r="AB47" s="4447"/>
      <c r="AC47" s="4447"/>
      <c r="AD47" s="4447"/>
      <c r="AE47" s="4447"/>
      <c r="AF47" s="4447"/>
      <c r="AG47" s="4447"/>
      <c r="AH47" s="4447"/>
      <c r="AI47" s="4447"/>
      <c r="AJ47" s="4447"/>
      <c r="AK47" s="4448"/>
      <c r="AL47" s="2851"/>
      <c r="AM47" s="2852"/>
      <c r="AN47" s="2852"/>
      <c r="AO47" s="2852"/>
      <c r="AP47" s="2852"/>
      <c r="AQ47" s="2852"/>
      <c r="AR47" s="2852"/>
      <c r="AS47" s="2852"/>
      <c r="AT47" s="2852"/>
      <c r="AU47" s="2852"/>
      <c r="AV47" s="2852"/>
      <c r="AW47" s="2852"/>
      <c r="AX47" s="2852"/>
      <c r="AY47" s="2852"/>
      <c r="AZ47" s="2852"/>
      <c r="BA47" s="2852"/>
      <c r="BB47" s="2852"/>
      <c r="BC47" s="2852"/>
      <c r="BD47" s="2852"/>
      <c r="BE47" s="2852"/>
      <c r="BF47" s="2853"/>
      <c r="BG47" s="48"/>
      <c r="BH47" s="48"/>
      <c r="BI47" s="960" t="s">
        <v>568</v>
      </c>
      <c r="BJ47" s="961"/>
      <c r="BK47" s="961"/>
      <c r="BL47" s="961"/>
      <c r="BM47" s="962"/>
      <c r="BN47" s="963"/>
      <c r="BO47" s="964"/>
      <c r="BP47" s="964"/>
      <c r="BQ47" s="964"/>
      <c r="BR47" s="964"/>
      <c r="BS47" s="964"/>
      <c r="BT47" s="964"/>
      <c r="BU47" s="964"/>
      <c r="BV47" s="964"/>
      <c r="BW47" s="964"/>
      <c r="BX47" s="964"/>
      <c r="BY47" s="964"/>
      <c r="BZ47" s="964"/>
      <c r="CA47" s="964"/>
      <c r="CB47" s="964"/>
      <c r="CC47" s="964"/>
      <c r="CD47" s="964"/>
      <c r="CE47" s="964"/>
      <c r="CF47" s="964"/>
      <c r="CG47" s="964"/>
      <c r="CH47" s="964"/>
      <c r="CI47" s="964"/>
      <c r="CJ47" s="964"/>
      <c r="CK47" s="964"/>
      <c r="CL47" s="964"/>
      <c r="CM47" s="964"/>
      <c r="CN47" s="964"/>
      <c r="CO47" s="964"/>
      <c r="CP47" s="964"/>
      <c r="CQ47" s="964"/>
      <c r="CR47" s="964"/>
      <c r="CS47" s="964"/>
      <c r="CT47" s="964"/>
      <c r="CU47" s="964"/>
      <c r="CV47" s="964"/>
      <c r="CW47" s="964"/>
      <c r="CX47" s="964"/>
      <c r="CY47" s="964"/>
      <c r="CZ47" s="964"/>
      <c r="DA47" s="964"/>
      <c r="DB47" s="964"/>
      <c r="DC47" s="964"/>
      <c r="DD47" s="964"/>
      <c r="DE47" s="964"/>
      <c r="DF47" s="964"/>
      <c r="DG47" s="964"/>
      <c r="DH47" s="964"/>
      <c r="DI47" s="964"/>
      <c r="DJ47" s="964"/>
      <c r="DK47" s="965"/>
      <c r="DL47" s="44"/>
    </row>
    <row r="48" spans="1:117" ht="7.5" customHeight="1">
      <c r="A48" s="48"/>
      <c r="B48" s="4449"/>
      <c r="C48" s="4450"/>
      <c r="D48" s="4450"/>
      <c r="E48" s="4450"/>
      <c r="F48" s="4450"/>
      <c r="G48" s="4450"/>
      <c r="H48" s="4450"/>
      <c r="I48" s="4450"/>
      <c r="J48" s="4450"/>
      <c r="K48" s="4450"/>
      <c r="L48" s="4450"/>
      <c r="M48" s="4450"/>
      <c r="N48" s="4450"/>
      <c r="O48" s="4450"/>
      <c r="P48" s="4450"/>
      <c r="Q48" s="4450"/>
      <c r="R48" s="4450"/>
      <c r="S48" s="4450"/>
      <c r="T48" s="4450"/>
      <c r="U48" s="4450"/>
      <c r="V48" s="4450"/>
      <c r="W48" s="4450"/>
      <c r="X48" s="4450"/>
      <c r="Y48" s="4450"/>
      <c r="Z48" s="4450"/>
      <c r="AA48" s="4450"/>
      <c r="AB48" s="4450"/>
      <c r="AC48" s="4450"/>
      <c r="AD48" s="4450"/>
      <c r="AE48" s="4450"/>
      <c r="AF48" s="4450"/>
      <c r="AG48" s="4450"/>
      <c r="AH48" s="4450"/>
      <c r="AI48" s="4450"/>
      <c r="AJ48" s="4450"/>
      <c r="AK48" s="4451"/>
      <c r="AL48" s="802"/>
      <c r="AM48" s="803"/>
      <c r="AN48" s="803"/>
      <c r="AO48" s="803"/>
      <c r="AP48" s="803"/>
      <c r="AQ48" s="803"/>
      <c r="AR48" s="803"/>
      <c r="AS48" s="803"/>
      <c r="AT48" s="803"/>
      <c r="AU48" s="803"/>
      <c r="AV48" s="803"/>
      <c r="AW48" s="803"/>
      <c r="AX48" s="803"/>
      <c r="AY48" s="803"/>
      <c r="AZ48" s="803"/>
      <c r="BA48" s="803"/>
      <c r="BB48" s="803"/>
      <c r="BC48" s="803"/>
      <c r="BD48" s="803"/>
      <c r="BE48" s="803"/>
      <c r="BF48" s="2854"/>
      <c r="BG48" s="48"/>
      <c r="BH48" s="48"/>
      <c r="BI48" s="4531"/>
      <c r="BJ48" s="4532"/>
      <c r="BK48" s="4532"/>
      <c r="BL48" s="4532"/>
      <c r="BM48" s="4533"/>
      <c r="BN48" s="966"/>
      <c r="BO48" s="967"/>
      <c r="BP48" s="967"/>
      <c r="BQ48" s="967"/>
      <c r="BR48" s="967"/>
      <c r="BS48" s="967"/>
      <c r="BT48" s="967"/>
      <c r="BU48" s="967"/>
      <c r="BV48" s="967"/>
      <c r="BW48" s="967"/>
      <c r="BX48" s="967"/>
      <c r="BY48" s="967"/>
      <c r="BZ48" s="967"/>
      <c r="CA48" s="967"/>
      <c r="CB48" s="967"/>
      <c r="CC48" s="967"/>
      <c r="CD48" s="967"/>
      <c r="CE48" s="967"/>
      <c r="CF48" s="967"/>
      <c r="CG48" s="967"/>
      <c r="CH48" s="967"/>
      <c r="CI48" s="967"/>
      <c r="CJ48" s="967"/>
      <c r="CK48" s="967"/>
      <c r="CL48" s="967"/>
      <c r="CM48" s="967"/>
      <c r="CN48" s="967"/>
      <c r="CO48" s="967"/>
      <c r="CP48" s="967"/>
      <c r="CQ48" s="967"/>
      <c r="CR48" s="967"/>
      <c r="CS48" s="967"/>
      <c r="CT48" s="967"/>
      <c r="CU48" s="967"/>
      <c r="CV48" s="967"/>
      <c r="CW48" s="967"/>
      <c r="CX48" s="967"/>
      <c r="CY48" s="967"/>
      <c r="CZ48" s="967"/>
      <c r="DA48" s="967"/>
      <c r="DB48" s="967"/>
      <c r="DC48" s="967"/>
      <c r="DD48" s="967"/>
      <c r="DE48" s="967"/>
      <c r="DF48" s="967"/>
      <c r="DG48" s="967"/>
      <c r="DH48" s="967"/>
      <c r="DI48" s="967"/>
      <c r="DJ48" s="967"/>
      <c r="DK48" s="968"/>
      <c r="DL48" s="44"/>
    </row>
    <row r="49" spans="1:149" ht="7.5" customHeight="1">
      <c r="A49" s="48"/>
      <c r="B49" s="866" t="s">
        <v>72</v>
      </c>
      <c r="C49" s="867"/>
      <c r="D49" s="867"/>
      <c r="E49" s="867"/>
      <c r="F49" s="868"/>
      <c r="G49" s="869"/>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c r="BE49" s="870"/>
      <c r="BF49" s="871"/>
      <c r="BG49" s="48"/>
      <c r="BH49" s="48"/>
      <c r="BI49" s="857" t="s">
        <v>75</v>
      </c>
      <c r="BJ49" s="858"/>
      <c r="BK49" s="858"/>
      <c r="BL49" s="858"/>
      <c r="BM49" s="859"/>
      <c r="BN49" s="799" t="s">
        <v>73</v>
      </c>
      <c r="BO49" s="800"/>
      <c r="BP49" s="800"/>
      <c r="BQ49" s="800"/>
      <c r="BR49" s="800"/>
      <c r="BS49" s="801"/>
      <c r="BT49" s="793"/>
      <c r="BU49" s="794"/>
      <c r="BV49" s="794"/>
      <c r="BW49" s="794"/>
      <c r="BX49" s="794"/>
      <c r="BY49" s="794"/>
      <c r="BZ49" s="794"/>
      <c r="CA49" s="794"/>
      <c r="CB49" s="794"/>
      <c r="CC49" s="794"/>
      <c r="CD49" s="795"/>
      <c r="CE49" s="799" t="s">
        <v>11</v>
      </c>
      <c r="CF49" s="800"/>
      <c r="CG49" s="800"/>
      <c r="CH49" s="800"/>
      <c r="CI49" s="800"/>
      <c r="CJ49" s="801"/>
      <c r="CK49" s="793"/>
      <c r="CL49" s="794"/>
      <c r="CM49" s="794"/>
      <c r="CN49" s="794"/>
      <c r="CO49" s="794"/>
      <c r="CP49" s="794"/>
      <c r="CQ49" s="794"/>
      <c r="CR49" s="794"/>
      <c r="CS49" s="794"/>
      <c r="CT49" s="794"/>
      <c r="CU49" s="795"/>
      <c r="CV49" s="799" t="s">
        <v>74</v>
      </c>
      <c r="CW49" s="800"/>
      <c r="CX49" s="800"/>
      <c r="CY49" s="800"/>
      <c r="CZ49" s="800"/>
      <c r="DA49" s="801"/>
      <c r="DB49" s="4489"/>
      <c r="DC49" s="4490"/>
      <c r="DD49" s="4490"/>
      <c r="DE49" s="4490"/>
      <c r="DF49" s="4490"/>
      <c r="DG49" s="4490"/>
      <c r="DH49" s="4490"/>
      <c r="DI49" s="4490"/>
      <c r="DJ49" s="4490"/>
      <c r="DK49" s="4491"/>
      <c r="DL49" s="44"/>
    </row>
    <row r="50" spans="1:149" ht="7.5" customHeight="1">
      <c r="A50" s="48"/>
      <c r="B50" s="910" t="s">
        <v>886</v>
      </c>
      <c r="C50" s="911"/>
      <c r="D50" s="911"/>
      <c r="E50" s="911"/>
      <c r="F50" s="912"/>
      <c r="G50" s="4452"/>
      <c r="H50" s="4453"/>
      <c r="I50" s="4453"/>
      <c r="J50" s="4453"/>
      <c r="K50" s="4453"/>
      <c r="L50" s="4453"/>
      <c r="M50" s="4453"/>
      <c r="N50" s="4453"/>
      <c r="O50" s="4453"/>
      <c r="P50" s="4453"/>
      <c r="Q50" s="4453"/>
      <c r="R50" s="4453"/>
      <c r="S50" s="4453"/>
      <c r="T50" s="4453"/>
      <c r="U50" s="4453"/>
      <c r="V50" s="4453"/>
      <c r="W50" s="4453"/>
      <c r="X50" s="4453"/>
      <c r="Y50" s="4453"/>
      <c r="Z50" s="4453"/>
      <c r="AA50" s="4453"/>
      <c r="AB50" s="4453"/>
      <c r="AC50" s="4453"/>
      <c r="AD50" s="4453"/>
      <c r="AE50" s="4453"/>
      <c r="AF50" s="4453"/>
      <c r="AG50" s="4453"/>
      <c r="AH50" s="4453"/>
      <c r="AI50" s="4453"/>
      <c r="AJ50" s="4453"/>
      <c r="AK50" s="4453"/>
      <c r="AL50" s="4453"/>
      <c r="AM50" s="4453"/>
      <c r="AN50" s="4453"/>
      <c r="AO50" s="4453"/>
      <c r="AP50" s="4453"/>
      <c r="AQ50" s="4453"/>
      <c r="AR50" s="4453"/>
      <c r="AS50" s="4453"/>
      <c r="AT50" s="4453"/>
      <c r="AU50" s="4453"/>
      <c r="AV50" s="4453"/>
      <c r="AW50" s="4453"/>
      <c r="AX50" s="4453"/>
      <c r="AY50" s="4453"/>
      <c r="AZ50" s="4453"/>
      <c r="BA50" s="4453"/>
      <c r="BB50" s="4453"/>
      <c r="BC50" s="4453"/>
      <c r="BD50" s="4453"/>
      <c r="BE50" s="4453"/>
      <c r="BF50" s="4454"/>
      <c r="BG50" s="48"/>
      <c r="BH50" s="48"/>
      <c r="BI50" s="860"/>
      <c r="BJ50" s="861"/>
      <c r="BK50" s="861"/>
      <c r="BL50" s="861"/>
      <c r="BM50" s="862"/>
      <c r="BN50" s="802"/>
      <c r="BO50" s="803"/>
      <c r="BP50" s="803"/>
      <c r="BQ50" s="803"/>
      <c r="BR50" s="803"/>
      <c r="BS50" s="804"/>
      <c r="BT50" s="796"/>
      <c r="BU50" s="797"/>
      <c r="BV50" s="797"/>
      <c r="BW50" s="797"/>
      <c r="BX50" s="797"/>
      <c r="BY50" s="797"/>
      <c r="BZ50" s="797"/>
      <c r="CA50" s="797"/>
      <c r="CB50" s="797"/>
      <c r="CC50" s="797"/>
      <c r="CD50" s="798"/>
      <c r="CE50" s="802"/>
      <c r="CF50" s="803"/>
      <c r="CG50" s="803"/>
      <c r="CH50" s="803"/>
      <c r="CI50" s="803"/>
      <c r="CJ50" s="804"/>
      <c r="CK50" s="796"/>
      <c r="CL50" s="797"/>
      <c r="CM50" s="797"/>
      <c r="CN50" s="797"/>
      <c r="CO50" s="797"/>
      <c r="CP50" s="797"/>
      <c r="CQ50" s="797"/>
      <c r="CR50" s="797"/>
      <c r="CS50" s="797"/>
      <c r="CT50" s="797"/>
      <c r="CU50" s="798"/>
      <c r="CV50" s="802"/>
      <c r="CW50" s="803"/>
      <c r="CX50" s="803"/>
      <c r="CY50" s="803"/>
      <c r="CZ50" s="803"/>
      <c r="DA50" s="804"/>
      <c r="DB50" s="4492"/>
      <c r="DC50" s="4493"/>
      <c r="DD50" s="4493"/>
      <c r="DE50" s="4493"/>
      <c r="DF50" s="4493"/>
      <c r="DG50" s="4493"/>
      <c r="DH50" s="4493"/>
      <c r="DI50" s="4493"/>
      <c r="DJ50" s="4493"/>
      <c r="DK50" s="4494"/>
      <c r="DL50" s="44"/>
      <c r="DM50" s="49"/>
      <c r="DN50" s="49"/>
      <c r="DO50" s="274"/>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row>
    <row r="51" spans="1:149" ht="7.5" customHeight="1">
      <c r="A51" s="48"/>
      <c r="B51" s="913"/>
      <c r="C51" s="914"/>
      <c r="D51" s="914"/>
      <c r="E51" s="914"/>
      <c r="F51" s="915"/>
      <c r="G51" s="4455"/>
      <c r="H51" s="4456"/>
      <c r="I51" s="4456"/>
      <c r="J51" s="4456"/>
      <c r="K51" s="4456"/>
      <c r="L51" s="4456"/>
      <c r="M51" s="4456"/>
      <c r="N51" s="4456"/>
      <c r="O51" s="4456"/>
      <c r="P51" s="4456"/>
      <c r="Q51" s="4456"/>
      <c r="R51" s="4456"/>
      <c r="S51" s="4456"/>
      <c r="T51" s="4456"/>
      <c r="U51" s="4456"/>
      <c r="V51" s="4456"/>
      <c r="W51" s="4456"/>
      <c r="X51" s="4456"/>
      <c r="Y51" s="4456"/>
      <c r="Z51" s="4456"/>
      <c r="AA51" s="4456"/>
      <c r="AB51" s="4456"/>
      <c r="AC51" s="4456"/>
      <c r="AD51" s="4456"/>
      <c r="AE51" s="4456"/>
      <c r="AF51" s="4456"/>
      <c r="AG51" s="4456"/>
      <c r="AH51" s="4456"/>
      <c r="AI51" s="4456"/>
      <c r="AJ51" s="4456"/>
      <c r="AK51" s="4456"/>
      <c r="AL51" s="4456"/>
      <c r="AM51" s="4456"/>
      <c r="AN51" s="4456"/>
      <c r="AO51" s="4456"/>
      <c r="AP51" s="4456"/>
      <c r="AQ51" s="4456"/>
      <c r="AR51" s="4456"/>
      <c r="AS51" s="4456"/>
      <c r="AT51" s="4456"/>
      <c r="AU51" s="4456"/>
      <c r="AV51" s="4456"/>
      <c r="AW51" s="4456"/>
      <c r="AX51" s="4456"/>
      <c r="AY51" s="4456"/>
      <c r="AZ51" s="4456"/>
      <c r="BA51" s="4456"/>
      <c r="BB51" s="4456"/>
      <c r="BC51" s="4456"/>
      <c r="BD51" s="4456"/>
      <c r="BE51" s="4456"/>
      <c r="BF51" s="4457"/>
      <c r="BG51" s="48"/>
      <c r="BH51" s="48"/>
      <c r="BI51" s="860"/>
      <c r="BJ51" s="861"/>
      <c r="BK51" s="861"/>
      <c r="BL51" s="861"/>
      <c r="BM51" s="862"/>
      <c r="BN51" s="799" t="s">
        <v>76</v>
      </c>
      <c r="BO51" s="800"/>
      <c r="BP51" s="800"/>
      <c r="BQ51" s="800"/>
      <c r="BR51" s="800"/>
      <c r="BS51" s="801"/>
      <c r="BT51" s="793"/>
      <c r="BU51" s="794"/>
      <c r="BV51" s="794"/>
      <c r="BW51" s="794"/>
      <c r="BX51" s="794"/>
      <c r="BY51" s="794"/>
      <c r="BZ51" s="794"/>
      <c r="CA51" s="794"/>
      <c r="CB51" s="794"/>
      <c r="CC51" s="794"/>
      <c r="CD51" s="794"/>
      <c r="CE51" s="794"/>
      <c r="CF51" s="794"/>
      <c r="CG51" s="794"/>
      <c r="CH51" s="794"/>
      <c r="CI51" s="794"/>
      <c r="CJ51" s="794"/>
      <c r="CK51" s="794"/>
      <c r="CL51" s="794"/>
      <c r="CM51" s="795"/>
      <c r="CN51" s="799" t="s">
        <v>77</v>
      </c>
      <c r="CO51" s="800"/>
      <c r="CP51" s="800"/>
      <c r="CQ51" s="800"/>
      <c r="CR51" s="800"/>
      <c r="CS51" s="801"/>
      <c r="CT51" s="4495"/>
      <c r="CU51" s="4496"/>
      <c r="CV51" s="4496"/>
      <c r="CW51" s="4496"/>
      <c r="CX51" s="4496"/>
      <c r="CY51" s="4496"/>
      <c r="CZ51" s="4496"/>
      <c r="DA51" s="4496"/>
      <c r="DB51" s="4496"/>
      <c r="DC51" s="4496"/>
      <c r="DD51" s="4496"/>
      <c r="DE51" s="4496"/>
      <c r="DF51" s="4496"/>
      <c r="DG51" s="4496"/>
      <c r="DH51" s="4496"/>
      <c r="DI51" s="4496"/>
      <c r="DJ51" s="4496"/>
      <c r="DK51" s="4497"/>
      <c r="DL51" s="44"/>
      <c r="DM51" s="49"/>
      <c r="DN51" s="49"/>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row>
    <row r="52" spans="1:149" ht="7.5" customHeight="1">
      <c r="A52" s="48"/>
      <c r="B52" s="857" t="s">
        <v>75</v>
      </c>
      <c r="C52" s="858"/>
      <c r="D52" s="858"/>
      <c r="E52" s="858"/>
      <c r="F52" s="859"/>
      <c r="G52" s="799" t="s">
        <v>73</v>
      </c>
      <c r="H52" s="800"/>
      <c r="I52" s="800"/>
      <c r="J52" s="800"/>
      <c r="K52" s="800"/>
      <c r="L52" s="801"/>
      <c r="M52" s="793"/>
      <c r="N52" s="794"/>
      <c r="O52" s="794"/>
      <c r="P52" s="794"/>
      <c r="Q52" s="794"/>
      <c r="R52" s="794"/>
      <c r="S52" s="794"/>
      <c r="T52" s="794"/>
      <c r="U52" s="794"/>
      <c r="V52" s="794"/>
      <c r="W52" s="795"/>
      <c r="X52" s="799" t="s">
        <v>11</v>
      </c>
      <c r="Y52" s="800"/>
      <c r="Z52" s="800"/>
      <c r="AA52" s="800"/>
      <c r="AB52" s="800"/>
      <c r="AC52" s="801"/>
      <c r="AD52" s="793"/>
      <c r="AE52" s="794"/>
      <c r="AF52" s="794"/>
      <c r="AG52" s="794"/>
      <c r="AH52" s="794"/>
      <c r="AI52" s="794"/>
      <c r="AJ52" s="794"/>
      <c r="AK52" s="794"/>
      <c r="AL52" s="794"/>
      <c r="AM52" s="794"/>
      <c r="AN52" s="795"/>
      <c r="AO52" s="799" t="s">
        <v>74</v>
      </c>
      <c r="AP52" s="800"/>
      <c r="AQ52" s="800"/>
      <c r="AR52" s="800"/>
      <c r="AS52" s="800"/>
      <c r="AT52" s="801"/>
      <c r="AU52" s="793"/>
      <c r="AV52" s="794"/>
      <c r="AW52" s="794"/>
      <c r="AX52" s="794"/>
      <c r="AY52" s="794"/>
      <c r="AZ52" s="794"/>
      <c r="BA52" s="794"/>
      <c r="BB52" s="794"/>
      <c r="BC52" s="794"/>
      <c r="BD52" s="794"/>
      <c r="BE52" s="794"/>
      <c r="BF52" s="805"/>
      <c r="BG52" s="48"/>
      <c r="BH52" s="48"/>
      <c r="BI52" s="863"/>
      <c r="BJ52" s="864"/>
      <c r="BK52" s="864"/>
      <c r="BL52" s="864"/>
      <c r="BM52" s="865"/>
      <c r="BN52" s="802"/>
      <c r="BO52" s="803"/>
      <c r="BP52" s="803"/>
      <c r="BQ52" s="803"/>
      <c r="BR52" s="803"/>
      <c r="BS52" s="804"/>
      <c r="BT52" s="796"/>
      <c r="BU52" s="797"/>
      <c r="BV52" s="797"/>
      <c r="BW52" s="797"/>
      <c r="BX52" s="797"/>
      <c r="BY52" s="797"/>
      <c r="BZ52" s="797"/>
      <c r="CA52" s="797"/>
      <c r="CB52" s="797"/>
      <c r="CC52" s="797"/>
      <c r="CD52" s="797"/>
      <c r="CE52" s="797"/>
      <c r="CF52" s="797"/>
      <c r="CG52" s="797"/>
      <c r="CH52" s="797"/>
      <c r="CI52" s="797"/>
      <c r="CJ52" s="797"/>
      <c r="CK52" s="797"/>
      <c r="CL52" s="797"/>
      <c r="CM52" s="798"/>
      <c r="CN52" s="802"/>
      <c r="CO52" s="803"/>
      <c r="CP52" s="803"/>
      <c r="CQ52" s="803"/>
      <c r="CR52" s="803"/>
      <c r="CS52" s="804"/>
      <c r="CT52" s="4521"/>
      <c r="CU52" s="4522"/>
      <c r="CV52" s="4522"/>
      <c r="CW52" s="4522"/>
      <c r="CX52" s="4522"/>
      <c r="CY52" s="4522"/>
      <c r="CZ52" s="4522"/>
      <c r="DA52" s="4522"/>
      <c r="DB52" s="4522"/>
      <c r="DC52" s="4522"/>
      <c r="DD52" s="4522"/>
      <c r="DE52" s="4522"/>
      <c r="DF52" s="4522"/>
      <c r="DG52" s="4522"/>
      <c r="DH52" s="4522"/>
      <c r="DI52" s="4522"/>
      <c r="DJ52" s="4522"/>
      <c r="DK52" s="4523"/>
      <c r="DL52" s="50"/>
      <c r="DM52" s="49"/>
      <c r="DN52" s="49"/>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row>
    <row r="53" spans="1:149" ht="7.5" customHeight="1">
      <c r="A53" s="48"/>
      <c r="B53" s="860"/>
      <c r="C53" s="861"/>
      <c r="D53" s="861"/>
      <c r="E53" s="861"/>
      <c r="F53" s="862"/>
      <c r="G53" s="802"/>
      <c r="H53" s="803"/>
      <c r="I53" s="803"/>
      <c r="J53" s="803"/>
      <c r="K53" s="803"/>
      <c r="L53" s="804"/>
      <c r="M53" s="796"/>
      <c r="N53" s="797"/>
      <c r="O53" s="797"/>
      <c r="P53" s="797"/>
      <c r="Q53" s="797"/>
      <c r="R53" s="797"/>
      <c r="S53" s="797"/>
      <c r="T53" s="797"/>
      <c r="U53" s="797"/>
      <c r="V53" s="797"/>
      <c r="W53" s="798"/>
      <c r="X53" s="802"/>
      <c r="Y53" s="803"/>
      <c r="Z53" s="803"/>
      <c r="AA53" s="803"/>
      <c r="AB53" s="803"/>
      <c r="AC53" s="804"/>
      <c r="AD53" s="796"/>
      <c r="AE53" s="797"/>
      <c r="AF53" s="797"/>
      <c r="AG53" s="797"/>
      <c r="AH53" s="797"/>
      <c r="AI53" s="797"/>
      <c r="AJ53" s="797"/>
      <c r="AK53" s="797"/>
      <c r="AL53" s="797"/>
      <c r="AM53" s="797"/>
      <c r="AN53" s="798"/>
      <c r="AO53" s="802"/>
      <c r="AP53" s="803"/>
      <c r="AQ53" s="803"/>
      <c r="AR53" s="803"/>
      <c r="AS53" s="803"/>
      <c r="AT53" s="804"/>
      <c r="AU53" s="796"/>
      <c r="AV53" s="797"/>
      <c r="AW53" s="797"/>
      <c r="AX53" s="797"/>
      <c r="AY53" s="797"/>
      <c r="AZ53" s="797"/>
      <c r="BA53" s="797"/>
      <c r="BB53" s="797"/>
      <c r="BC53" s="797"/>
      <c r="BD53" s="797"/>
      <c r="BE53" s="797"/>
      <c r="BF53" s="806"/>
      <c r="BG53" s="48"/>
      <c r="BH53" s="48"/>
      <c r="BI53" s="838" t="s">
        <v>567</v>
      </c>
      <c r="BJ53" s="839"/>
      <c r="BK53" s="839"/>
      <c r="BL53" s="839"/>
      <c r="BM53" s="840"/>
      <c r="BN53" s="4439"/>
      <c r="BO53" s="4440"/>
      <c r="BP53" s="4440"/>
      <c r="BQ53" s="4440"/>
      <c r="BR53" s="4440"/>
      <c r="BS53" s="4440"/>
      <c r="BT53" s="4440"/>
      <c r="BU53" s="4440"/>
      <c r="BV53" s="4440"/>
      <c r="BW53" s="4440"/>
      <c r="BX53" s="4440"/>
      <c r="BY53" s="4440"/>
      <c r="BZ53" s="4440"/>
      <c r="CA53" s="4440"/>
      <c r="CB53" s="4440"/>
      <c r="CC53" s="4440"/>
      <c r="CD53" s="4440"/>
      <c r="CE53" s="4440"/>
      <c r="CF53" s="4440"/>
      <c r="CG53" s="4440"/>
      <c r="CH53" s="4440"/>
      <c r="CI53" s="4440"/>
      <c r="CJ53" s="4444"/>
      <c r="CK53" s="953" t="s">
        <v>266</v>
      </c>
      <c r="CL53" s="839"/>
      <c r="CM53" s="839"/>
      <c r="CN53" s="839"/>
      <c r="CO53" s="840"/>
      <c r="CP53" s="4439"/>
      <c r="CQ53" s="4440"/>
      <c r="CR53" s="4440"/>
      <c r="CS53" s="4440"/>
      <c r="CT53" s="4440"/>
      <c r="CU53" s="4440"/>
      <c r="CV53" s="4440"/>
      <c r="CW53" s="4440"/>
      <c r="CX53" s="4440"/>
      <c r="CY53" s="4440"/>
      <c r="CZ53" s="4441"/>
      <c r="DA53" s="4442"/>
      <c r="DB53" s="4440"/>
      <c r="DC53" s="4440"/>
      <c r="DD53" s="4440"/>
      <c r="DE53" s="4440"/>
      <c r="DF53" s="4440"/>
      <c r="DG53" s="4440"/>
      <c r="DH53" s="4440"/>
      <c r="DI53" s="4440"/>
      <c r="DJ53" s="4440"/>
      <c r="DK53" s="4443"/>
      <c r="DL53" s="50"/>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row>
    <row r="54" spans="1:149" ht="7.5" customHeight="1">
      <c r="A54" s="48"/>
      <c r="B54" s="860"/>
      <c r="C54" s="861"/>
      <c r="D54" s="861"/>
      <c r="E54" s="861"/>
      <c r="F54" s="862"/>
      <c r="G54" s="799" t="s">
        <v>76</v>
      </c>
      <c r="H54" s="800"/>
      <c r="I54" s="800"/>
      <c r="J54" s="800"/>
      <c r="K54" s="800"/>
      <c r="L54" s="801"/>
      <c r="M54" s="793"/>
      <c r="N54" s="794"/>
      <c r="O54" s="794"/>
      <c r="P54" s="794"/>
      <c r="Q54" s="794"/>
      <c r="R54" s="794"/>
      <c r="S54" s="794"/>
      <c r="T54" s="794"/>
      <c r="U54" s="794"/>
      <c r="V54" s="794"/>
      <c r="W54" s="794"/>
      <c r="X54" s="794"/>
      <c r="Y54" s="794"/>
      <c r="Z54" s="794"/>
      <c r="AA54" s="794"/>
      <c r="AB54" s="794"/>
      <c r="AC54" s="794"/>
      <c r="AD54" s="794"/>
      <c r="AE54" s="794"/>
      <c r="AF54" s="795"/>
      <c r="AG54" s="799" t="s">
        <v>77</v>
      </c>
      <c r="AH54" s="800"/>
      <c r="AI54" s="800"/>
      <c r="AJ54" s="800"/>
      <c r="AK54" s="800"/>
      <c r="AL54" s="801"/>
      <c r="AM54" s="928"/>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960"/>
      <c r="BJ54" s="961"/>
      <c r="BK54" s="961"/>
      <c r="BL54" s="961"/>
      <c r="BM54" s="962"/>
      <c r="BN54" s="966"/>
      <c r="BO54" s="967"/>
      <c r="BP54" s="967"/>
      <c r="BQ54" s="967"/>
      <c r="BR54" s="967"/>
      <c r="BS54" s="967"/>
      <c r="BT54" s="967"/>
      <c r="BU54" s="967"/>
      <c r="BV54" s="967"/>
      <c r="BW54" s="967"/>
      <c r="BX54" s="967"/>
      <c r="BY54" s="967"/>
      <c r="BZ54" s="967"/>
      <c r="CA54" s="967"/>
      <c r="CB54" s="967"/>
      <c r="CC54" s="967"/>
      <c r="CD54" s="967"/>
      <c r="CE54" s="967"/>
      <c r="CF54" s="967"/>
      <c r="CG54" s="967"/>
      <c r="CH54" s="967"/>
      <c r="CI54" s="967"/>
      <c r="CJ54" s="2957"/>
      <c r="CK54" s="1002"/>
      <c r="CL54" s="961"/>
      <c r="CM54" s="961"/>
      <c r="CN54" s="961"/>
      <c r="CO54" s="962"/>
      <c r="CP54" s="966"/>
      <c r="CQ54" s="967"/>
      <c r="CR54" s="967"/>
      <c r="CS54" s="967"/>
      <c r="CT54" s="967"/>
      <c r="CU54" s="967"/>
      <c r="CV54" s="967"/>
      <c r="CW54" s="967"/>
      <c r="CX54" s="967"/>
      <c r="CY54" s="967"/>
      <c r="CZ54" s="2961"/>
      <c r="DA54" s="2959"/>
      <c r="DB54" s="967"/>
      <c r="DC54" s="967"/>
      <c r="DD54" s="967"/>
      <c r="DE54" s="967"/>
      <c r="DF54" s="967"/>
      <c r="DG54" s="967"/>
      <c r="DH54" s="967"/>
      <c r="DI54" s="967"/>
      <c r="DJ54" s="967"/>
      <c r="DK54" s="968"/>
      <c r="DL54" s="52"/>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row>
    <row r="55" spans="1:149" ht="7.5" customHeight="1">
      <c r="A55" s="48"/>
      <c r="B55" s="863"/>
      <c r="C55" s="864"/>
      <c r="D55" s="864"/>
      <c r="E55" s="864"/>
      <c r="F55" s="865"/>
      <c r="G55" s="802"/>
      <c r="H55" s="803"/>
      <c r="I55" s="803"/>
      <c r="J55" s="803"/>
      <c r="K55" s="803"/>
      <c r="L55" s="804"/>
      <c r="M55" s="796"/>
      <c r="N55" s="797"/>
      <c r="O55" s="797"/>
      <c r="P55" s="797"/>
      <c r="Q55" s="797"/>
      <c r="R55" s="797"/>
      <c r="S55" s="797"/>
      <c r="T55" s="797"/>
      <c r="U55" s="797"/>
      <c r="V55" s="797"/>
      <c r="W55" s="797"/>
      <c r="X55" s="797"/>
      <c r="Y55" s="797"/>
      <c r="Z55" s="797"/>
      <c r="AA55" s="797"/>
      <c r="AB55" s="797"/>
      <c r="AC55" s="797"/>
      <c r="AD55" s="797"/>
      <c r="AE55" s="797"/>
      <c r="AF55" s="798"/>
      <c r="AG55" s="802"/>
      <c r="AH55" s="803"/>
      <c r="AI55" s="803"/>
      <c r="AJ55" s="803"/>
      <c r="AK55" s="803"/>
      <c r="AL55" s="804"/>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835" t="s">
        <v>570</v>
      </c>
      <c r="BJ55" s="836"/>
      <c r="BK55" s="836"/>
      <c r="BL55" s="836"/>
      <c r="BM55" s="837"/>
      <c r="BN55" s="989"/>
      <c r="BO55" s="990"/>
      <c r="BP55" s="990"/>
      <c r="BQ55" s="990"/>
      <c r="BR55" s="990"/>
      <c r="BS55" s="990"/>
      <c r="BT55" s="990"/>
      <c r="BU55" s="990"/>
      <c r="BV55" s="990"/>
      <c r="BW55" s="990"/>
      <c r="BX55" s="990"/>
      <c r="BY55" s="990"/>
      <c r="BZ55" s="990"/>
      <c r="CA55" s="990"/>
      <c r="CB55" s="990"/>
      <c r="CC55" s="990"/>
      <c r="CD55" s="990"/>
      <c r="CE55" s="990"/>
      <c r="CF55" s="990"/>
      <c r="CG55" s="990"/>
      <c r="CH55" s="990"/>
      <c r="CI55" s="990"/>
      <c r="CJ55" s="991"/>
      <c r="CK55" s="902" t="s">
        <v>569</v>
      </c>
      <c r="CL55" s="836"/>
      <c r="CM55" s="836"/>
      <c r="CN55" s="836"/>
      <c r="CO55" s="837"/>
      <c r="CP55" s="996"/>
      <c r="CQ55" s="997"/>
      <c r="CR55" s="997"/>
      <c r="CS55" s="997"/>
      <c r="CT55" s="997"/>
      <c r="CU55" s="997"/>
      <c r="CV55" s="997"/>
      <c r="CW55" s="997"/>
      <c r="CX55" s="997"/>
      <c r="CY55" s="997"/>
      <c r="CZ55" s="997"/>
      <c r="DA55" s="997"/>
      <c r="DB55" s="997"/>
      <c r="DC55" s="997"/>
      <c r="DD55" s="997"/>
      <c r="DE55" s="997"/>
      <c r="DF55" s="997"/>
      <c r="DG55" s="997"/>
      <c r="DH55" s="997"/>
      <c r="DI55" s="997"/>
      <c r="DJ55" s="997"/>
      <c r="DK55" s="998"/>
      <c r="DL55" s="52"/>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row>
    <row r="56" spans="1:149" ht="7.5" customHeight="1" thickBot="1">
      <c r="A56" s="48"/>
      <c r="B56" s="1012" t="s">
        <v>795</v>
      </c>
      <c r="C56" s="1013"/>
      <c r="D56" s="1013"/>
      <c r="E56" s="1013"/>
      <c r="F56" s="1014"/>
      <c r="G56" s="1021"/>
      <c r="H56" s="1022"/>
      <c r="I56" s="1022"/>
      <c r="J56" s="1022"/>
      <c r="K56" s="1022"/>
      <c r="L56" s="1022"/>
      <c r="M56" s="1022"/>
      <c r="N56" s="1022"/>
      <c r="O56" s="1022"/>
      <c r="P56" s="1022"/>
      <c r="Q56" s="1022"/>
      <c r="R56" s="1022"/>
      <c r="S56" s="1022"/>
      <c r="T56" s="1022"/>
      <c r="U56" s="1022"/>
      <c r="V56" s="1022"/>
      <c r="W56" s="1022"/>
      <c r="X56" s="1022"/>
      <c r="Y56" s="1022"/>
      <c r="Z56" s="1022"/>
      <c r="AA56" s="1023"/>
      <c r="AB56" s="1201" t="s">
        <v>72</v>
      </c>
      <c r="AC56" s="1030"/>
      <c r="AD56" s="1030"/>
      <c r="AE56" s="1030"/>
      <c r="AF56" s="1031"/>
      <c r="AG56" s="1032"/>
      <c r="AH56" s="1033"/>
      <c r="AI56" s="1033"/>
      <c r="AJ56" s="1033"/>
      <c r="AK56" s="1033"/>
      <c r="AL56" s="1033"/>
      <c r="AM56" s="1033"/>
      <c r="AN56" s="1033"/>
      <c r="AO56" s="1033"/>
      <c r="AP56" s="1033"/>
      <c r="AQ56" s="1033"/>
      <c r="AR56" s="1033"/>
      <c r="AS56" s="1202"/>
      <c r="AT56" s="1050"/>
      <c r="AU56" s="1033"/>
      <c r="AV56" s="1033"/>
      <c r="AW56" s="1033"/>
      <c r="AX56" s="1033"/>
      <c r="AY56" s="1033"/>
      <c r="AZ56" s="1033"/>
      <c r="BA56" s="1033"/>
      <c r="BB56" s="1033"/>
      <c r="BC56" s="1033"/>
      <c r="BD56" s="1033"/>
      <c r="BE56" s="1033"/>
      <c r="BF56" s="1051"/>
      <c r="BG56" s="48"/>
      <c r="BH56" s="48"/>
      <c r="BI56" s="986"/>
      <c r="BJ56" s="987"/>
      <c r="BK56" s="987"/>
      <c r="BL56" s="987"/>
      <c r="BM56" s="988"/>
      <c r="BN56" s="992"/>
      <c r="BO56" s="993"/>
      <c r="BP56" s="993"/>
      <c r="BQ56" s="993"/>
      <c r="BR56" s="993"/>
      <c r="BS56" s="993"/>
      <c r="BT56" s="993"/>
      <c r="BU56" s="993"/>
      <c r="BV56" s="993"/>
      <c r="BW56" s="993"/>
      <c r="BX56" s="993"/>
      <c r="BY56" s="993"/>
      <c r="BZ56" s="993"/>
      <c r="CA56" s="993"/>
      <c r="CB56" s="993"/>
      <c r="CC56" s="993"/>
      <c r="CD56" s="993"/>
      <c r="CE56" s="993"/>
      <c r="CF56" s="993"/>
      <c r="CG56" s="993"/>
      <c r="CH56" s="993"/>
      <c r="CI56" s="993"/>
      <c r="CJ56" s="994"/>
      <c r="CK56" s="995"/>
      <c r="CL56" s="987"/>
      <c r="CM56" s="987"/>
      <c r="CN56" s="987"/>
      <c r="CO56" s="988"/>
      <c r="CP56" s="999"/>
      <c r="CQ56" s="1000"/>
      <c r="CR56" s="1000"/>
      <c r="CS56" s="1000"/>
      <c r="CT56" s="1000"/>
      <c r="CU56" s="1000"/>
      <c r="CV56" s="1000"/>
      <c r="CW56" s="1000"/>
      <c r="CX56" s="1000"/>
      <c r="CY56" s="1000"/>
      <c r="CZ56" s="1000"/>
      <c r="DA56" s="1000"/>
      <c r="DB56" s="1000"/>
      <c r="DC56" s="1000"/>
      <c r="DD56" s="1000"/>
      <c r="DE56" s="1000"/>
      <c r="DF56" s="1000"/>
      <c r="DG56" s="1000"/>
      <c r="DH56" s="1000"/>
      <c r="DI56" s="1000"/>
      <c r="DJ56" s="1000"/>
      <c r="DK56" s="1001"/>
      <c r="DL56" s="52"/>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row>
    <row r="57" spans="1:149" ht="7.5" customHeight="1" thickTop="1" thickBot="1">
      <c r="A57" s="48"/>
      <c r="B57" s="1015"/>
      <c r="C57" s="1016"/>
      <c r="D57" s="1016"/>
      <c r="E57" s="1016"/>
      <c r="F57" s="1017"/>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1052" t="s">
        <v>797</v>
      </c>
      <c r="AC57" s="1053"/>
      <c r="AD57" s="1053"/>
      <c r="AE57" s="1053"/>
      <c r="AF57" s="1054"/>
      <c r="AG57" s="1194"/>
      <c r="AH57" s="1057"/>
      <c r="AI57" s="1057"/>
      <c r="AJ57" s="1057"/>
      <c r="AK57" s="1057"/>
      <c r="AL57" s="1057"/>
      <c r="AM57" s="1057"/>
      <c r="AN57" s="1057"/>
      <c r="AO57" s="1057"/>
      <c r="AP57" s="1057"/>
      <c r="AQ57" s="1057"/>
      <c r="AR57" s="1057"/>
      <c r="AS57" s="1195"/>
      <c r="AT57" s="1056"/>
      <c r="AU57" s="1057"/>
      <c r="AV57" s="1057"/>
      <c r="AW57" s="1057"/>
      <c r="AX57" s="1057"/>
      <c r="AY57" s="1057"/>
      <c r="AZ57" s="1057"/>
      <c r="BA57" s="1057"/>
      <c r="BB57" s="1057"/>
      <c r="BC57" s="1057"/>
      <c r="BD57" s="1057"/>
      <c r="BE57" s="1057"/>
      <c r="BF57" s="1058"/>
      <c r="BG57" s="48"/>
      <c r="BH57" s="48"/>
      <c r="BI57" s="368"/>
      <c r="BJ57" s="368"/>
      <c r="BK57" s="368"/>
      <c r="BL57" s="368"/>
      <c r="BM57" s="368"/>
      <c r="BN57" s="523"/>
      <c r="BO57" s="523"/>
      <c r="BP57" s="523"/>
      <c r="BQ57" s="523"/>
      <c r="BR57" s="523"/>
      <c r="BS57" s="523"/>
      <c r="BT57" s="523"/>
      <c r="BU57" s="523"/>
      <c r="BV57" s="523"/>
      <c r="BW57" s="523"/>
      <c r="BX57" s="523"/>
      <c r="BY57" s="523"/>
      <c r="BZ57" s="523"/>
      <c r="CA57" s="523"/>
      <c r="CB57" s="523"/>
      <c r="CC57" s="523"/>
      <c r="CD57" s="523"/>
      <c r="CE57" s="523"/>
      <c r="CF57" s="523"/>
      <c r="CG57" s="523"/>
      <c r="CH57" s="523"/>
      <c r="CI57" s="523"/>
      <c r="CJ57" s="523"/>
      <c r="CK57" s="523"/>
      <c r="CL57" s="523"/>
      <c r="CM57" s="523"/>
      <c r="CN57" s="523"/>
      <c r="CO57" s="523"/>
      <c r="CP57" s="523"/>
      <c r="CQ57" s="523"/>
      <c r="CR57" s="523"/>
      <c r="CS57" s="523"/>
      <c r="CT57" s="523"/>
      <c r="CU57" s="523"/>
      <c r="CV57" s="523"/>
      <c r="CW57" s="523"/>
      <c r="CX57" s="523"/>
      <c r="CY57" s="523"/>
      <c r="CZ57" s="523"/>
      <c r="DA57" s="523"/>
      <c r="DB57" s="523"/>
      <c r="DC57" s="523"/>
      <c r="DD57" s="523"/>
      <c r="DE57" s="523"/>
      <c r="DF57" s="523"/>
      <c r="DG57" s="523"/>
      <c r="DH57" s="523"/>
      <c r="DI57" s="523"/>
      <c r="DJ57" s="523"/>
      <c r="DK57" s="523"/>
      <c r="DL57" s="48"/>
    </row>
    <row r="58" spans="1:149" ht="7.5" customHeight="1" thickTop="1">
      <c r="A58" s="48"/>
      <c r="B58" s="1018"/>
      <c r="C58" s="1019"/>
      <c r="D58" s="1019"/>
      <c r="E58" s="1019"/>
      <c r="F58" s="1020"/>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1055"/>
      <c r="AC58" s="1019"/>
      <c r="AD58" s="1019"/>
      <c r="AE58" s="1019"/>
      <c r="AF58" s="1020"/>
      <c r="AG58" s="1027"/>
      <c r="AH58" s="1028"/>
      <c r="AI58" s="1028"/>
      <c r="AJ58" s="1028"/>
      <c r="AK58" s="1028"/>
      <c r="AL58" s="1028"/>
      <c r="AM58" s="1028"/>
      <c r="AN58" s="1028"/>
      <c r="AO58" s="1028"/>
      <c r="AP58" s="1028"/>
      <c r="AQ58" s="1028"/>
      <c r="AR58" s="1028"/>
      <c r="AS58" s="1196"/>
      <c r="AT58" s="1059"/>
      <c r="AU58" s="1028"/>
      <c r="AV58" s="1028"/>
      <c r="AW58" s="1028"/>
      <c r="AX58" s="1028"/>
      <c r="AY58" s="1028"/>
      <c r="AZ58" s="1028"/>
      <c r="BA58" s="1028"/>
      <c r="BB58" s="1028"/>
      <c r="BC58" s="1028"/>
      <c r="BD58" s="1028"/>
      <c r="BE58" s="1028"/>
      <c r="BF58" s="1060"/>
      <c r="BG58" s="48"/>
      <c r="BH58" s="48"/>
      <c r="BI58" s="1075" t="s">
        <v>572</v>
      </c>
      <c r="BJ58" s="1076"/>
      <c r="BK58" s="1076"/>
      <c r="BL58" s="1076"/>
      <c r="BM58" s="1076"/>
      <c r="BN58" s="1076"/>
      <c r="BO58" s="1076"/>
      <c r="BP58" s="1076"/>
      <c r="BQ58" s="1076"/>
      <c r="BR58" s="1076"/>
      <c r="BS58" s="1076"/>
      <c r="BT58" s="1076"/>
      <c r="BU58" s="1076"/>
      <c r="BV58" s="1076"/>
      <c r="BW58" s="1076"/>
      <c r="BX58" s="1076"/>
      <c r="BY58" s="1076"/>
      <c r="BZ58" s="1076"/>
      <c r="CA58" s="1076"/>
      <c r="CB58" s="1076"/>
      <c r="CC58" s="1076"/>
      <c r="CD58" s="1076"/>
      <c r="CE58" s="1076"/>
      <c r="CF58" s="1076"/>
      <c r="CG58" s="1076"/>
      <c r="CH58" s="1076"/>
      <c r="CI58" s="1076"/>
      <c r="CJ58" s="1076"/>
      <c r="CK58" s="1076"/>
      <c r="CL58" s="1076"/>
      <c r="CM58" s="1076"/>
      <c r="CN58" s="1076"/>
      <c r="CO58" s="1076"/>
      <c r="CP58" s="1076"/>
      <c r="CQ58" s="1076"/>
      <c r="CR58" s="1076"/>
      <c r="CS58" s="1076"/>
      <c r="CT58" s="1076"/>
      <c r="CU58" s="1076"/>
      <c r="CV58" s="1076"/>
      <c r="CW58" s="1076"/>
      <c r="CX58" s="1076"/>
      <c r="CY58" s="1076"/>
      <c r="CZ58" s="1076"/>
      <c r="DA58" s="1076"/>
      <c r="DB58" s="1077"/>
      <c r="DC58" s="1081" t="s">
        <v>263</v>
      </c>
      <c r="DD58" s="1082"/>
      <c r="DE58" s="1082"/>
      <c r="DF58" s="1082"/>
      <c r="DG58" s="1082"/>
      <c r="DH58" s="1082"/>
      <c r="DI58" s="1082"/>
      <c r="DJ58" s="1082"/>
      <c r="DK58" s="1083"/>
      <c r="DL58" s="44"/>
    </row>
    <row r="59" spans="1:149" ht="7.5" customHeight="1">
      <c r="A59" s="48"/>
      <c r="B59" s="1012" t="s">
        <v>570</v>
      </c>
      <c r="C59" s="1013"/>
      <c r="D59" s="1013"/>
      <c r="E59" s="1013"/>
      <c r="F59" s="1014"/>
      <c r="G59" s="1037"/>
      <c r="H59" s="1038"/>
      <c r="I59" s="1038"/>
      <c r="J59" s="1038"/>
      <c r="K59" s="1038"/>
      <c r="L59" s="1038"/>
      <c r="M59" s="1038"/>
      <c r="N59" s="1038"/>
      <c r="O59" s="1038"/>
      <c r="P59" s="1038"/>
      <c r="Q59" s="1038"/>
      <c r="R59" s="1038"/>
      <c r="S59" s="1038"/>
      <c r="T59" s="1038"/>
      <c r="U59" s="1038"/>
      <c r="V59" s="1038"/>
      <c r="W59" s="1038"/>
      <c r="X59" s="1038"/>
      <c r="Y59" s="1038"/>
      <c r="Z59" s="1038"/>
      <c r="AA59" s="1039"/>
      <c r="AB59" s="799" t="s">
        <v>569</v>
      </c>
      <c r="AC59" s="1013"/>
      <c r="AD59" s="1013"/>
      <c r="AE59" s="1013"/>
      <c r="AF59" s="1014"/>
      <c r="AG59" s="1044"/>
      <c r="AH59" s="1045"/>
      <c r="AI59" s="1045"/>
      <c r="AJ59" s="1045"/>
      <c r="AK59" s="1045"/>
      <c r="AL59" s="1045"/>
      <c r="AM59" s="1045"/>
      <c r="AN59" s="1045"/>
      <c r="AO59" s="1045"/>
      <c r="AP59" s="1045"/>
      <c r="AQ59" s="1045"/>
      <c r="AR59" s="1045"/>
      <c r="AS59" s="1045"/>
      <c r="AT59" s="1045"/>
      <c r="AU59" s="1045"/>
      <c r="AV59" s="1045"/>
      <c r="AW59" s="1045"/>
      <c r="AX59" s="1045"/>
      <c r="AY59" s="1045"/>
      <c r="AZ59" s="1045"/>
      <c r="BA59" s="1045"/>
      <c r="BB59" s="1045"/>
      <c r="BC59" s="1045"/>
      <c r="BD59" s="1045"/>
      <c r="BE59" s="1045"/>
      <c r="BF59" s="1046"/>
      <c r="BG59" s="48"/>
      <c r="BH59" s="48"/>
      <c r="BI59" s="1078"/>
      <c r="BJ59" s="1079"/>
      <c r="BK59" s="1079"/>
      <c r="BL59" s="1079"/>
      <c r="BM59" s="1079"/>
      <c r="BN59" s="1079"/>
      <c r="BO59" s="1079"/>
      <c r="BP59" s="1079"/>
      <c r="BQ59" s="1079"/>
      <c r="BR59" s="1079"/>
      <c r="BS59" s="1079"/>
      <c r="BT59" s="1079"/>
      <c r="BU59" s="1079"/>
      <c r="BV59" s="1079"/>
      <c r="BW59" s="1079"/>
      <c r="BX59" s="1079"/>
      <c r="BY59" s="1079"/>
      <c r="BZ59" s="1079"/>
      <c r="CA59" s="1079"/>
      <c r="CB59" s="1079"/>
      <c r="CC59" s="1079"/>
      <c r="CD59" s="1079"/>
      <c r="CE59" s="1079"/>
      <c r="CF59" s="1079"/>
      <c r="CG59" s="1079"/>
      <c r="CH59" s="1079"/>
      <c r="CI59" s="1079"/>
      <c r="CJ59" s="1079"/>
      <c r="CK59" s="1079"/>
      <c r="CL59" s="1079"/>
      <c r="CM59" s="1079"/>
      <c r="CN59" s="1079"/>
      <c r="CO59" s="1079"/>
      <c r="CP59" s="1079"/>
      <c r="CQ59" s="1079"/>
      <c r="CR59" s="1079"/>
      <c r="CS59" s="1079"/>
      <c r="CT59" s="1079"/>
      <c r="CU59" s="1079"/>
      <c r="CV59" s="1079"/>
      <c r="CW59" s="1079"/>
      <c r="CX59" s="1079"/>
      <c r="CY59" s="1079"/>
      <c r="CZ59" s="1079"/>
      <c r="DA59" s="1079"/>
      <c r="DB59" s="1080"/>
      <c r="DC59" s="1084"/>
      <c r="DD59" s="1085"/>
      <c r="DE59" s="1085"/>
      <c r="DF59" s="1085"/>
      <c r="DG59" s="1085"/>
      <c r="DH59" s="1085"/>
      <c r="DI59" s="1085"/>
      <c r="DJ59" s="1085"/>
      <c r="DK59" s="1086"/>
      <c r="DL59" s="44"/>
    </row>
    <row r="60" spans="1:149" ht="7.5" customHeight="1" thickBot="1">
      <c r="A60" s="48"/>
      <c r="B60" s="1034"/>
      <c r="C60" s="1035"/>
      <c r="D60" s="1035"/>
      <c r="E60" s="1035"/>
      <c r="F60" s="1036"/>
      <c r="G60" s="1040"/>
      <c r="H60" s="1041"/>
      <c r="I60" s="1041"/>
      <c r="J60" s="1041"/>
      <c r="K60" s="1041"/>
      <c r="L60" s="1041"/>
      <c r="M60" s="1041"/>
      <c r="N60" s="1041"/>
      <c r="O60" s="1041"/>
      <c r="P60" s="1041"/>
      <c r="Q60" s="1041"/>
      <c r="R60" s="1041"/>
      <c r="S60" s="1041"/>
      <c r="T60" s="1041"/>
      <c r="U60" s="1041"/>
      <c r="V60" s="1041"/>
      <c r="W60" s="1041"/>
      <c r="X60" s="1041"/>
      <c r="Y60" s="1041"/>
      <c r="Z60" s="1041"/>
      <c r="AA60" s="1042"/>
      <c r="AB60" s="1043"/>
      <c r="AC60" s="1035"/>
      <c r="AD60" s="1035"/>
      <c r="AE60" s="1035"/>
      <c r="AF60" s="1036"/>
      <c r="AG60" s="1047"/>
      <c r="AH60" s="1048"/>
      <c r="AI60" s="1048"/>
      <c r="AJ60" s="1048"/>
      <c r="AK60" s="1048"/>
      <c r="AL60" s="1048"/>
      <c r="AM60" s="1048"/>
      <c r="AN60" s="1048"/>
      <c r="AO60" s="1048"/>
      <c r="AP60" s="1048"/>
      <c r="AQ60" s="1048"/>
      <c r="AR60" s="1048"/>
      <c r="AS60" s="1048"/>
      <c r="AT60" s="1048"/>
      <c r="AU60" s="1048"/>
      <c r="AV60" s="1048"/>
      <c r="AW60" s="1048"/>
      <c r="AX60" s="1048"/>
      <c r="AY60" s="1048"/>
      <c r="AZ60" s="1048"/>
      <c r="BA60" s="1048"/>
      <c r="BB60" s="1048"/>
      <c r="BC60" s="1048"/>
      <c r="BD60" s="1048"/>
      <c r="BE60" s="1048"/>
      <c r="BF60" s="1049"/>
      <c r="BG60" s="48"/>
      <c r="BH60" s="48"/>
      <c r="BI60" s="4435"/>
      <c r="BJ60" s="2905"/>
      <c r="BK60" s="2905"/>
      <c r="BL60" s="2905"/>
      <c r="BM60" s="2905"/>
      <c r="BN60" s="2905"/>
      <c r="BO60" s="2905"/>
      <c r="BP60" s="2905"/>
      <c r="BQ60" s="2905"/>
      <c r="BR60" s="2905"/>
      <c r="BS60" s="2905"/>
      <c r="BT60" s="2905"/>
      <c r="BU60" s="2905"/>
      <c r="BV60" s="2905"/>
      <c r="BW60" s="2905"/>
      <c r="BX60" s="2905"/>
      <c r="BY60" s="2905"/>
      <c r="BZ60" s="2905"/>
      <c r="CA60" s="2905"/>
      <c r="CB60" s="2905"/>
      <c r="CC60" s="2905"/>
      <c r="CD60" s="2905"/>
      <c r="CE60" s="4436"/>
      <c r="CF60" s="2904"/>
      <c r="CG60" s="2905"/>
      <c r="CH60" s="2905"/>
      <c r="CI60" s="2905"/>
      <c r="CJ60" s="2905"/>
      <c r="CK60" s="2905"/>
      <c r="CL60" s="2905"/>
      <c r="CM60" s="2905"/>
      <c r="CN60" s="2905"/>
      <c r="CO60" s="2905"/>
      <c r="CP60" s="2905"/>
      <c r="CQ60" s="2905"/>
      <c r="CR60" s="2905"/>
      <c r="CS60" s="2905"/>
      <c r="CT60" s="2905"/>
      <c r="CU60" s="2905"/>
      <c r="CV60" s="2905"/>
      <c r="CW60" s="2905"/>
      <c r="CX60" s="2905"/>
      <c r="CY60" s="2905"/>
      <c r="CZ60" s="2905"/>
      <c r="DA60" s="2905"/>
      <c r="DB60" s="2906"/>
      <c r="DC60" s="1084"/>
      <c r="DD60" s="1085"/>
      <c r="DE60" s="1085"/>
      <c r="DF60" s="1085"/>
      <c r="DG60" s="1085"/>
      <c r="DH60" s="1085"/>
      <c r="DI60" s="1085"/>
      <c r="DJ60" s="1085"/>
      <c r="DK60" s="1086"/>
      <c r="DL60" s="44"/>
    </row>
    <row r="61" spans="1:149" ht="7.5" customHeight="1" thickTop="1" thickBot="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4437"/>
      <c r="BJ61" s="2908"/>
      <c r="BK61" s="2908"/>
      <c r="BL61" s="2908"/>
      <c r="BM61" s="2908"/>
      <c r="BN61" s="2908"/>
      <c r="BO61" s="2908"/>
      <c r="BP61" s="2908"/>
      <c r="BQ61" s="2908"/>
      <c r="BR61" s="2908"/>
      <c r="BS61" s="2908"/>
      <c r="BT61" s="2908"/>
      <c r="BU61" s="2908"/>
      <c r="BV61" s="2908"/>
      <c r="BW61" s="2908"/>
      <c r="BX61" s="2908"/>
      <c r="BY61" s="2908"/>
      <c r="BZ61" s="2908"/>
      <c r="CA61" s="2908"/>
      <c r="CB61" s="2908"/>
      <c r="CC61" s="2908"/>
      <c r="CD61" s="2908"/>
      <c r="CE61" s="4438"/>
      <c r="CF61" s="2907"/>
      <c r="CG61" s="2908"/>
      <c r="CH61" s="2908"/>
      <c r="CI61" s="2908"/>
      <c r="CJ61" s="2908"/>
      <c r="CK61" s="2908"/>
      <c r="CL61" s="2908"/>
      <c r="CM61" s="2908"/>
      <c r="CN61" s="2908"/>
      <c r="CO61" s="2908"/>
      <c r="CP61" s="2908"/>
      <c r="CQ61" s="2908"/>
      <c r="CR61" s="2908"/>
      <c r="CS61" s="2908"/>
      <c r="CT61" s="2908"/>
      <c r="CU61" s="2908"/>
      <c r="CV61" s="2908"/>
      <c r="CW61" s="2908"/>
      <c r="CX61" s="2908"/>
      <c r="CY61" s="2908"/>
      <c r="CZ61" s="2908"/>
      <c r="DA61" s="2908"/>
      <c r="DB61" s="2909"/>
      <c r="DC61" s="1087"/>
      <c r="DD61" s="1088"/>
      <c r="DE61" s="1088"/>
      <c r="DF61" s="1088"/>
      <c r="DG61" s="1088"/>
      <c r="DH61" s="1088"/>
      <c r="DI61" s="1088"/>
      <c r="DJ61" s="1088"/>
      <c r="DK61" s="1089"/>
      <c r="DL61" s="44"/>
    </row>
    <row r="62" spans="1:149"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1129" t="s">
        <v>664</v>
      </c>
      <c r="BJ62" s="1130"/>
      <c r="BK62" s="1130"/>
      <c r="BL62" s="1130"/>
      <c r="BM62" s="1130"/>
      <c r="BN62" s="1130"/>
      <c r="BO62" s="1130"/>
      <c r="BP62" s="1130"/>
      <c r="BQ62" s="1130"/>
      <c r="BR62" s="1130"/>
      <c r="BS62" s="1130"/>
      <c r="BT62" s="1130"/>
      <c r="BU62" s="1130"/>
      <c r="BV62" s="1130"/>
      <c r="BW62" s="1130"/>
      <c r="BX62" s="1130"/>
      <c r="BY62" s="1130"/>
      <c r="BZ62" s="1130"/>
      <c r="CA62" s="1130"/>
      <c r="CB62" s="1130"/>
      <c r="CC62" s="1130"/>
      <c r="CD62" s="1130"/>
      <c r="CE62" s="1130"/>
      <c r="CF62" s="1130"/>
      <c r="CG62" s="1130"/>
      <c r="CH62" s="1130"/>
      <c r="CI62" s="1130"/>
      <c r="CJ62" s="1130"/>
      <c r="CK62" s="1130"/>
      <c r="CL62" s="1130"/>
      <c r="CM62" s="1130"/>
      <c r="CN62" s="1130"/>
      <c r="CO62" s="1130"/>
      <c r="CP62" s="1130"/>
      <c r="CQ62" s="1130"/>
      <c r="CR62" s="1130"/>
      <c r="CS62" s="1130"/>
      <c r="CT62" s="1130"/>
      <c r="CU62" s="1130"/>
      <c r="CV62" s="1130"/>
      <c r="CW62" s="1130"/>
      <c r="CX62" s="1130"/>
      <c r="CY62" s="1130"/>
      <c r="CZ62" s="1130"/>
      <c r="DA62" s="1130"/>
      <c r="DB62" s="1131"/>
      <c r="DC62" s="1132"/>
      <c r="DD62" s="1133"/>
      <c r="DE62" s="1133"/>
      <c r="DF62" s="1133"/>
      <c r="DG62" s="1133"/>
      <c r="DH62" s="1133"/>
      <c r="DI62" s="1133"/>
      <c r="DJ62" s="1133"/>
      <c r="DK62" s="1134"/>
      <c r="DL62" s="53"/>
    </row>
    <row r="63" spans="1:149"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1129"/>
      <c r="BJ63" s="1130"/>
      <c r="BK63" s="1130"/>
      <c r="BL63" s="1130"/>
      <c r="BM63" s="1130"/>
      <c r="BN63" s="1130"/>
      <c r="BO63" s="1130"/>
      <c r="BP63" s="1130"/>
      <c r="BQ63" s="1130"/>
      <c r="BR63" s="1130"/>
      <c r="BS63" s="1130"/>
      <c r="BT63" s="1130"/>
      <c r="BU63" s="1130"/>
      <c r="BV63" s="1130"/>
      <c r="BW63" s="1130"/>
      <c r="BX63" s="1130"/>
      <c r="BY63" s="1130"/>
      <c r="BZ63" s="1130"/>
      <c r="CA63" s="1130"/>
      <c r="CB63" s="1130"/>
      <c r="CC63" s="1130"/>
      <c r="CD63" s="1130"/>
      <c r="CE63" s="1130"/>
      <c r="CF63" s="1130"/>
      <c r="CG63" s="1130"/>
      <c r="CH63" s="1130"/>
      <c r="CI63" s="1130"/>
      <c r="CJ63" s="1130"/>
      <c r="CK63" s="1130"/>
      <c r="CL63" s="1130"/>
      <c r="CM63" s="1130"/>
      <c r="CN63" s="1130"/>
      <c r="CO63" s="1130"/>
      <c r="CP63" s="1130"/>
      <c r="CQ63" s="1130"/>
      <c r="CR63" s="1130"/>
      <c r="CS63" s="1130"/>
      <c r="CT63" s="1130"/>
      <c r="CU63" s="1130"/>
      <c r="CV63" s="1130"/>
      <c r="CW63" s="1130"/>
      <c r="CX63" s="1130"/>
      <c r="CY63" s="1130"/>
      <c r="CZ63" s="1130"/>
      <c r="DA63" s="1130"/>
      <c r="DB63" s="1131"/>
      <c r="DC63" s="1132"/>
      <c r="DD63" s="1133"/>
      <c r="DE63" s="1133"/>
      <c r="DF63" s="1133"/>
      <c r="DG63" s="1133"/>
      <c r="DH63" s="1133"/>
      <c r="DI63" s="1133"/>
      <c r="DJ63" s="1133"/>
      <c r="DK63" s="1134"/>
      <c r="DL63" s="44"/>
    </row>
    <row r="64" spans="1:149" ht="7.5" customHeight="1" thickTop="1">
      <c r="A64" s="44"/>
      <c r="B64" s="379"/>
      <c r="C64" s="379"/>
      <c r="D64" s="379"/>
      <c r="E64" s="379"/>
      <c r="F64" s="379"/>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528"/>
      <c r="BA64" s="528"/>
      <c r="BB64" s="528"/>
      <c r="BC64" s="528"/>
      <c r="BD64" s="528"/>
      <c r="BE64" s="528"/>
      <c r="BF64" s="528"/>
      <c r="BG64" s="44"/>
      <c r="BH64" s="44"/>
      <c r="BI64" s="1184"/>
      <c r="BJ64" s="1185"/>
      <c r="BK64" s="1185"/>
      <c r="BL64" s="1185"/>
      <c r="BM64" s="1185"/>
      <c r="BN64" s="1185"/>
      <c r="BO64" s="1185"/>
      <c r="BP64" s="1185"/>
      <c r="BQ64" s="1185"/>
      <c r="BR64" s="1185"/>
      <c r="BS64" s="1185"/>
      <c r="BT64" s="1185"/>
      <c r="BU64" s="1185"/>
      <c r="BV64" s="1185"/>
      <c r="BW64" s="1185"/>
      <c r="BX64" s="1185"/>
      <c r="BY64" s="1185"/>
      <c r="BZ64" s="1185"/>
      <c r="CA64" s="1185"/>
      <c r="CB64" s="1185"/>
      <c r="CC64" s="1185"/>
      <c r="CD64" s="1185"/>
      <c r="CE64" s="1185"/>
      <c r="CF64" s="2871"/>
      <c r="CG64" s="2871"/>
      <c r="CH64" s="2871"/>
      <c r="CI64" s="2871"/>
      <c r="CJ64" s="2871"/>
      <c r="CK64" s="2871"/>
      <c r="CL64" s="2871"/>
      <c r="CM64" s="2871"/>
      <c r="CN64" s="2871"/>
      <c r="CO64" s="2871"/>
      <c r="CP64" s="2871"/>
      <c r="CQ64" s="2871"/>
      <c r="CR64" s="2871"/>
      <c r="CS64" s="2871"/>
      <c r="CT64" s="2871"/>
      <c r="CU64" s="2871"/>
      <c r="CV64" s="2871"/>
      <c r="CW64" s="2871"/>
      <c r="CX64" s="2871"/>
      <c r="CY64" s="2871"/>
      <c r="CZ64" s="2871"/>
      <c r="DA64" s="2871"/>
      <c r="DB64" s="2872"/>
      <c r="DC64" s="1132"/>
      <c r="DD64" s="1133"/>
      <c r="DE64" s="1133"/>
      <c r="DF64" s="1133"/>
      <c r="DG64" s="1133"/>
      <c r="DH64" s="1133"/>
      <c r="DI64" s="1133"/>
      <c r="DJ64" s="1133"/>
      <c r="DK64" s="1134"/>
      <c r="DL64" s="44"/>
    </row>
    <row r="65" spans="1:116" ht="7.5" customHeight="1">
      <c r="A65" s="44"/>
      <c r="B65" s="379"/>
      <c r="C65" s="379"/>
      <c r="D65" s="379"/>
      <c r="E65" s="379"/>
      <c r="F65" s="379"/>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528"/>
      <c r="BA65" s="528"/>
      <c r="BB65" s="528"/>
      <c r="BC65" s="528"/>
      <c r="BD65" s="528"/>
      <c r="BE65" s="528"/>
      <c r="BF65" s="528"/>
      <c r="BG65" s="44"/>
      <c r="BH65" s="44"/>
      <c r="BI65" s="1184"/>
      <c r="BJ65" s="1185"/>
      <c r="BK65" s="1185"/>
      <c r="BL65" s="1185"/>
      <c r="BM65" s="1185"/>
      <c r="BN65" s="1185"/>
      <c r="BO65" s="1185"/>
      <c r="BP65" s="1185"/>
      <c r="BQ65" s="1185"/>
      <c r="BR65" s="1185"/>
      <c r="BS65" s="1185"/>
      <c r="BT65" s="1185"/>
      <c r="BU65" s="1185"/>
      <c r="BV65" s="1185"/>
      <c r="BW65" s="1185"/>
      <c r="BX65" s="1185"/>
      <c r="BY65" s="1185"/>
      <c r="BZ65" s="1185"/>
      <c r="CA65" s="1185"/>
      <c r="CB65" s="1185"/>
      <c r="CC65" s="1185"/>
      <c r="CD65" s="1185"/>
      <c r="CE65" s="1185"/>
      <c r="CF65" s="2871"/>
      <c r="CG65" s="2871"/>
      <c r="CH65" s="2871"/>
      <c r="CI65" s="2871"/>
      <c r="CJ65" s="2871"/>
      <c r="CK65" s="2871"/>
      <c r="CL65" s="2871"/>
      <c r="CM65" s="2871"/>
      <c r="CN65" s="2871"/>
      <c r="CO65" s="2871"/>
      <c r="CP65" s="2871"/>
      <c r="CQ65" s="2871"/>
      <c r="CR65" s="2871"/>
      <c r="CS65" s="2871"/>
      <c r="CT65" s="2871"/>
      <c r="CU65" s="2871"/>
      <c r="CV65" s="2871"/>
      <c r="CW65" s="2871"/>
      <c r="CX65" s="2871"/>
      <c r="CY65" s="2871"/>
      <c r="CZ65" s="2871"/>
      <c r="DA65" s="2871"/>
      <c r="DB65" s="2872"/>
      <c r="DC65" s="1132"/>
      <c r="DD65" s="1133"/>
      <c r="DE65" s="1133"/>
      <c r="DF65" s="1133"/>
      <c r="DG65" s="1133"/>
      <c r="DH65" s="1133"/>
      <c r="DI65" s="1133"/>
      <c r="DJ65" s="1133"/>
      <c r="DK65" s="1134"/>
      <c r="DL65" s="44"/>
    </row>
    <row r="66" spans="1:116" ht="7.5" customHeight="1">
      <c r="A66" s="44"/>
      <c r="B66" s="379"/>
      <c r="C66" s="379"/>
      <c r="D66" s="379"/>
      <c r="E66" s="379"/>
      <c r="F66" s="379"/>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528"/>
      <c r="BA66" s="528"/>
      <c r="BB66" s="528"/>
      <c r="BC66" s="528"/>
      <c r="BD66" s="528"/>
      <c r="BE66" s="528"/>
      <c r="BF66" s="528"/>
      <c r="BG66" s="44"/>
      <c r="BH66" s="44"/>
      <c r="BI66" s="2260"/>
      <c r="BJ66" s="2261"/>
      <c r="BK66" s="2261"/>
      <c r="BL66" s="2261"/>
      <c r="BM66" s="2261"/>
      <c r="BN66" s="2261"/>
      <c r="BO66" s="2261"/>
      <c r="BP66" s="2261"/>
      <c r="BQ66" s="2261"/>
      <c r="BR66" s="2261"/>
      <c r="BS66" s="2261"/>
      <c r="BT66" s="2261"/>
      <c r="BU66" s="2261"/>
      <c r="BV66" s="2261"/>
      <c r="BW66" s="2261"/>
      <c r="BX66" s="2261"/>
      <c r="BY66" s="2261"/>
      <c r="BZ66" s="2261"/>
      <c r="CA66" s="2261"/>
      <c r="CB66" s="2261"/>
      <c r="CC66" s="2261"/>
      <c r="CD66" s="2261"/>
      <c r="CE66" s="2261"/>
      <c r="CF66" s="1192"/>
      <c r="CG66" s="1192"/>
      <c r="CH66" s="1192"/>
      <c r="CI66" s="1192"/>
      <c r="CJ66" s="1192"/>
      <c r="CK66" s="1192"/>
      <c r="CL66" s="1192"/>
      <c r="CM66" s="1192"/>
      <c r="CN66" s="1192"/>
      <c r="CO66" s="1192"/>
      <c r="CP66" s="1192"/>
      <c r="CQ66" s="1192"/>
      <c r="CR66" s="1192"/>
      <c r="CS66" s="1192"/>
      <c r="CT66" s="1192"/>
      <c r="CU66" s="1192"/>
      <c r="CV66" s="1192"/>
      <c r="CW66" s="1192"/>
      <c r="CX66" s="1192"/>
      <c r="CY66" s="1192"/>
      <c r="CZ66" s="1192"/>
      <c r="DA66" s="1192"/>
      <c r="DB66" s="1193"/>
      <c r="DC66" s="1132"/>
      <c r="DD66" s="1133"/>
      <c r="DE66" s="1133"/>
      <c r="DF66" s="1133"/>
      <c r="DG66" s="1133"/>
      <c r="DH66" s="1133"/>
      <c r="DI66" s="1133"/>
      <c r="DJ66" s="1133"/>
      <c r="DK66" s="1134"/>
      <c r="DL66" s="44"/>
    </row>
    <row r="67" spans="1:116" ht="7.5" customHeight="1">
      <c r="A67" s="44"/>
      <c r="B67" s="379"/>
      <c r="C67" s="379"/>
      <c r="D67" s="379"/>
      <c r="E67" s="379"/>
      <c r="F67" s="379"/>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380"/>
      <c r="AZ67" s="528"/>
      <c r="BA67" s="528"/>
      <c r="BB67" s="528"/>
      <c r="BC67" s="528"/>
      <c r="BD67" s="528"/>
      <c r="BE67" s="528"/>
      <c r="BF67" s="528"/>
      <c r="BG67" s="44"/>
      <c r="BH67" s="44"/>
      <c r="BI67" s="2260"/>
      <c r="BJ67" s="2261"/>
      <c r="BK67" s="2261"/>
      <c r="BL67" s="2261"/>
      <c r="BM67" s="2261"/>
      <c r="BN67" s="2261"/>
      <c r="BO67" s="2261"/>
      <c r="BP67" s="2261"/>
      <c r="BQ67" s="2261"/>
      <c r="BR67" s="2261"/>
      <c r="BS67" s="2261"/>
      <c r="BT67" s="2261"/>
      <c r="BU67" s="2261"/>
      <c r="BV67" s="2261"/>
      <c r="BW67" s="2261"/>
      <c r="BX67" s="2261"/>
      <c r="BY67" s="2261"/>
      <c r="BZ67" s="2261"/>
      <c r="CA67" s="2261"/>
      <c r="CB67" s="2261"/>
      <c r="CC67" s="2261"/>
      <c r="CD67" s="2261"/>
      <c r="CE67" s="2261"/>
      <c r="CF67" s="1192"/>
      <c r="CG67" s="1192"/>
      <c r="CH67" s="1192"/>
      <c r="CI67" s="1192"/>
      <c r="CJ67" s="1192"/>
      <c r="CK67" s="1192"/>
      <c r="CL67" s="1192"/>
      <c r="CM67" s="1192"/>
      <c r="CN67" s="1192"/>
      <c r="CO67" s="1192"/>
      <c r="CP67" s="1192"/>
      <c r="CQ67" s="1192"/>
      <c r="CR67" s="1192"/>
      <c r="CS67" s="1192"/>
      <c r="CT67" s="1192"/>
      <c r="CU67" s="1192"/>
      <c r="CV67" s="1192"/>
      <c r="CW67" s="1192"/>
      <c r="CX67" s="1192"/>
      <c r="CY67" s="1192"/>
      <c r="CZ67" s="1192"/>
      <c r="DA67" s="1192"/>
      <c r="DB67" s="1193"/>
      <c r="DC67" s="1132"/>
      <c r="DD67" s="1133"/>
      <c r="DE67" s="1133"/>
      <c r="DF67" s="1133"/>
      <c r="DG67" s="1133"/>
      <c r="DH67" s="1133"/>
      <c r="DI67" s="1133"/>
      <c r="DJ67" s="1133"/>
      <c r="DK67" s="1134"/>
      <c r="DL67" s="44"/>
    </row>
    <row r="68" spans="1:116" ht="7.5" customHeight="1">
      <c r="A68" s="44"/>
      <c r="B68" s="379"/>
      <c r="C68" s="379"/>
      <c r="D68" s="379"/>
      <c r="E68" s="379"/>
      <c r="F68" s="379"/>
      <c r="G68" s="380"/>
      <c r="H68" s="380"/>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528"/>
      <c r="BA68" s="528"/>
      <c r="BB68" s="528"/>
      <c r="BC68" s="528"/>
      <c r="BD68" s="528"/>
      <c r="BE68" s="528"/>
      <c r="BF68" s="528"/>
      <c r="BG68" s="44"/>
      <c r="BH68" s="44"/>
      <c r="BI68" s="2260"/>
      <c r="BJ68" s="2261"/>
      <c r="BK68" s="2261"/>
      <c r="BL68" s="2261"/>
      <c r="BM68" s="2261"/>
      <c r="BN68" s="2261"/>
      <c r="BO68" s="2261"/>
      <c r="BP68" s="2261"/>
      <c r="BQ68" s="2261"/>
      <c r="BR68" s="2261"/>
      <c r="BS68" s="2261"/>
      <c r="BT68" s="2261"/>
      <c r="BU68" s="2261"/>
      <c r="BV68" s="2261"/>
      <c r="BW68" s="2261"/>
      <c r="BX68" s="2261"/>
      <c r="BY68" s="2261"/>
      <c r="BZ68" s="2261"/>
      <c r="CA68" s="2261"/>
      <c r="CB68" s="2261"/>
      <c r="CC68" s="2261"/>
      <c r="CD68" s="2261"/>
      <c r="CE68" s="2261"/>
      <c r="CF68" s="1192"/>
      <c r="CG68" s="1192"/>
      <c r="CH68" s="1192"/>
      <c r="CI68" s="1192"/>
      <c r="CJ68" s="1192"/>
      <c r="CK68" s="1192"/>
      <c r="CL68" s="1192"/>
      <c r="CM68" s="1192"/>
      <c r="CN68" s="1192"/>
      <c r="CO68" s="1192"/>
      <c r="CP68" s="1192"/>
      <c r="CQ68" s="1192"/>
      <c r="CR68" s="1192"/>
      <c r="CS68" s="1192"/>
      <c r="CT68" s="1192"/>
      <c r="CU68" s="1192"/>
      <c r="CV68" s="1192"/>
      <c r="CW68" s="1192"/>
      <c r="CX68" s="1192"/>
      <c r="CY68" s="1192"/>
      <c r="CZ68" s="1192"/>
      <c r="DA68" s="1192"/>
      <c r="DB68" s="1193"/>
      <c r="DC68" s="1132"/>
      <c r="DD68" s="1133"/>
      <c r="DE68" s="1133"/>
      <c r="DF68" s="1133"/>
      <c r="DG68" s="1133"/>
      <c r="DH68" s="1133"/>
      <c r="DI68" s="1133"/>
      <c r="DJ68" s="1133"/>
      <c r="DK68" s="1134"/>
      <c r="DL68" s="44"/>
    </row>
    <row r="69" spans="1:116" ht="7.5" customHeight="1">
      <c r="A69" s="48"/>
      <c r="BI69" s="2260"/>
      <c r="BJ69" s="2261"/>
      <c r="BK69" s="2261"/>
      <c r="BL69" s="2261"/>
      <c r="BM69" s="2261"/>
      <c r="BN69" s="2261"/>
      <c r="BO69" s="2261"/>
      <c r="BP69" s="2261"/>
      <c r="BQ69" s="2261"/>
      <c r="BR69" s="2261"/>
      <c r="BS69" s="2261"/>
      <c r="BT69" s="2261"/>
      <c r="BU69" s="2261"/>
      <c r="BV69" s="2261"/>
      <c r="BW69" s="2261"/>
      <c r="BX69" s="2261"/>
      <c r="BY69" s="2261"/>
      <c r="BZ69" s="2261"/>
      <c r="CA69" s="2261"/>
      <c r="CB69" s="2261"/>
      <c r="CC69" s="2261"/>
      <c r="CD69" s="2261"/>
      <c r="CE69" s="2261"/>
      <c r="CF69" s="1192"/>
      <c r="CG69" s="1192"/>
      <c r="CH69" s="1192"/>
      <c r="CI69" s="1192"/>
      <c r="CJ69" s="1192"/>
      <c r="CK69" s="1192"/>
      <c r="CL69" s="1192"/>
      <c r="CM69" s="1192"/>
      <c r="CN69" s="1192"/>
      <c r="CO69" s="1192"/>
      <c r="CP69" s="1192"/>
      <c r="CQ69" s="1192"/>
      <c r="CR69" s="1192"/>
      <c r="CS69" s="1192"/>
      <c r="CT69" s="1192"/>
      <c r="CU69" s="1192"/>
      <c r="CV69" s="1192"/>
      <c r="CW69" s="1192"/>
      <c r="CX69" s="1192"/>
      <c r="CY69" s="1192"/>
      <c r="CZ69" s="1192"/>
      <c r="DA69" s="1192"/>
      <c r="DB69" s="1193"/>
      <c r="DC69" s="1132"/>
      <c r="DD69" s="1133"/>
      <c r="DE69" s="1133"/>
      <c r="DF69" s="1133"/>
      <c r="DG69" s="1133"/>
      <c r="DH69" s="1133"/>
      <c r="DI69" s="1133"/>
      <c r="DJ69" s="1133"/>
      <c r="DK69" s="1134"/>
      <c r="DL69" s="53"/>
    </row>
    <row r="70" spans="1:116" ht="7.5" customHeight="1">
      <c r="A70" s="48"/>
      <c r="BI70" s="2260"/>
      <c r="BJ70" s="2261"/>
      <c r="BK70" s="2261"/>
      <c r="BL70" s="2261"/>
      <c r="BM70" s="2261"/>
      <c r="BN70" s="2261"/>
      <c r="BO70" s="2261"/>
      <c r="BP70" s="2261"/>
      <c r="BQ70" s="2261"/>
      <c r="BR70" s="2261"/>
      <c r="BS70" s="2261"/>
      <c r="BT70" s="2261"/>
      <c r="BU70" s="2261"/>
      <c r="BV70" s="2261"/>
      <c r="BW70" s="2261"/>
      <c r="BX70" s="2261"/>
      <c r="BY70" s="2261"/>
      <c r="BZ70" s="2261"/>
      <c r="CA70" s="2261"/>
      <c r="CB70" s="2261"/>
      <c r="CC70" s="2261"/>
      <c r="CD70" s="2261"/>
      <c r="CE70" s="2261"/>
      <c r="CF70" s="1192"/>
      <c r="CG70" s="1192"/>
      <c r="CH70" s="1192"/>
      <c r="CI70" s="1192"/>
      <c r="CJ70" s="1192"/>
      <c r="CK70" s="1192"/>
      <c r="CL70" s="1192"/>
      <c r="CM70" s="1192"/>
      <c r="CN70" s="1192"/>
      <c r="CO70" s="1192"/>
      <c r="CP70" s="1192"/>
      <c r="CQ70" s="1192"/>
      <c r="CR70" s="1192"/>
      <c r="CS70" s="1192"/>
      <c r="CT70" s="1192"/>
      <c r="CU70" s="1192"/>
      <c r="CV70" s="1192"/>
      <c r="CW70" s="1192"/>
      <c r="CX70" s="1192"/>
      <c r="CY70" s="1192"/>
      <c r="CZ70" s="1192"/>
      <c r="DA70" s="1192"/>
      <c r="DB70" s="1193"/>
      <c r="DC70" s="1132"/>
      <c r="DD70" s="1133"/>
      <c r="DE70" s="1133"/>
      <c r="DF70" s="1133"/>
      <c r="DG70" s="1133"/>
      <c r="DH70" s="1133"/>
      <c r="DI70" s="1133"/>
      <c r="DJ70" s="1133"/>
      <c r="DK70" s="1134"/>
      <c r="DL70" s="53"/>
    </row>
    <row r="71" spans="1:116" ht="7.5" customHeight="1" thickBot="1">
      <c r="A71" s="48"/>
      <c r="BI71" s="2862"/>
      <c r="BJ71" s="2863"/>
      <c r="BK71" s="2863"/>
      <c r="BL71" s="2863"/>
      <c r="BM71" s="2863"/>
      <c r="BN71" s="2863"/>
      <c r="BO71" s="2863"/>
      <c r="BP71" s="2863"/>
      <c r="BQ71" s="2863"/>
      <c r="BR71" s="2863"/>
      <c r="BS71" s="2863"/>
      <c r="BT71" s="2863"/>
      <c r="BU71" s="2863"/>
      <c r="BV71" s="2863"/>
      <c r="BW71" s="2863"/>
      <c r="BX71" s="2863"/>
      <c r="BY71" s="2863"/>
      <c r="BZ71" s="2863"/>
      <c r="CA71" s="2863"/>
      <c r="CB71" s="2863"/>
      <c r="CC71" s="2863"/>
      <c r="CD71" s="2863"/>
      <c r="CE71" s="2863"/>
      <c r="CF71" s="1263"/>
      <c r="CG71" s="1263"/>
      <c r="CH71" s="1263"/>
      <c r="CI71" s="1263"/>
      <c r="CJ71" s="1263"/>
      <c r="CK71" s="1263"/>
      <c r="CL71" s="1263"/>
      <c r="CM71" s="1263"/>
      <c r="CN71" s="1263"/>
      <c r="CO71" s="1263"/>
      <c r="CP71" s="1263"/>
      <c r="CQ71" s="1263"/>
      <c r="CR71" s="1263"/>
      <c r="CS71" s="1263"/>
      <c r="CT71" s="1263"/>
      <c r="CU71" s="1263"/>
      <c r="CV71" s="1263"/>
      <c r="CW71" s="1263"/>
      <c r="CX71" s="1263"/>
      <c r="CY71" s="1263"/>
      <c r="CZ71" s="1263"/>
      <c r="DA71" s="1263"/>
      <c r="DB71" s="1264"/>
      <c r="DC71" s="1135"/>
      <c r="DD71" s="1136"/>
      <c r="DE71" s="1136"/>
      <c r="DF71" s="1136"/>
      <c r="DG71" s="1136"/>
      <c r="DH71" s="1136"/>
      <c r="DI71" s="1136"/>
      <c r="DJ71" s="1136"/>
      <c r="DK71" s="1137"/>
      <c r="DL71" s="53"/>
    </row>
    <row r="72" spans="1:116" ht="7.5" customHeight="1" thickTop="1">
      <c r="A72" s="48"/>
      <c r="BI72" s="367"/>
      <c r="BJ72" s="367"/>
      <c r="BK72" s="367"/>
      <c r="BL72" s="367"/>
      <c r="BM72" s="367"/>
      <c r="BN72" s="367"/>
      <c r="BO72" s="367"/>
      <c r="BP72" s="367"/>
      <c r="BQ72" s="367"/>
      <c r="BR72" s="367"/>
      <c r="BS72" s="367"/>
      <c r="BT72" s="367"/>
      <c r="BU72" s="367"/>
      <c r="BV72" s="367"/>
      <c r="BW72" s="367"/>
      <c r="BX72" s="367"/>
      <c r="BY72" s="367"/>
      <c r="BZ72" s="367"/>
      <c r="CA72" s="367"/>
      <c r="CB72" s="367"/>
      <c r="CC72" s="367"/>
      <c r="CD72" s="367"/>
      <c r="CE72" s="367"/>
      <c r="CF72" s="367"/>
      <c r="CG72" s="367"/>
      <c r="CH72" s="367"/>
      <c r="CI72" s="367"/>
      <c r="CJ72" s="367"/>
      <c r="CK72" s="367"/>
      <c r="CL72" s="367"/>
      <c r="CM72" s="367"/>
      <c r="CN72" s="367"/>
      <c r="CO72" s="367"/>
      <c r="CP72" s="367"/>
      <c r="CQ72" s="367"/>
      <c r="CR72" s="367"/>
      <c r="CS72" s="367"/>
      <c r="CT72" s="367"/>
      <c r="CU72" s="367"/>
      <c r="CV72" s="367"/>
      <c r="CW72" s="367"/>
      <c r="CX72" s="367"/>
      <c r="CY72" s="367"/>
      <c r="CZ72" s="367"/>
      <c r="DA72" s="367"/>
      <c r="DB72" s="367"/>
      <c r="DC72" s="524"/>
      <c r="DD72" s="524"/>
      <c r="DE72" s="524"/>
      <c r="DF72" s="524"/>
      <c r="DG72" s="524"/>
      <c r="DH72" s="524"/>
      <c r="DI72" s="524"/>
      <c r="DJ72" s="524"/>
      <c r="DK72" s="524"/>
      <c r="DL72" s="53"/>
    </row>
    <row r="73" spans="1:116" ht="7.5" customHeight="1">
      <c r="A73" s="2868" t="s">
        <v>173</v>
      </c>
      <c r="B73" s="2868"/>
      <c r="C73" s="2868"/>
      <c r="D73" s="2868"/>
      <c r="E73" s="2868"/>
      <c r="F73" s="2868"/>
      <c r="G73" s="2868"/>
      <c r="H73" s="2868"/>
      <c r="I73" s="2868"/>
      <c r="J73" s="2868"/>
      <c r="K73" s="2868"/>
      <c r="L73" s="2868"/>
      <c r="M73" s="2868"/>
      <c r="N73" s="2868"/>
      <c r="O73" s="2868"/>
      <c r="P73" s="2868"/>
      <c r="Q73" s="2868"/>
      <c r="R73" s="2868"/>
      <c r="S73" s="2868"/>
      <c r="T73" s="2868"/>
      <c r="U73" s="2868"/>
      <c r="V73" s="2868"/>
      <c r="W73" s="2868"/>
      <c r="X73" s="2868"/>
      <c r="Y73" s="2868"/>
      <c r="Z73" s="2868"/>
      <c r="AA73" s="2868"/>
      <c r="AB73" s="2868"/>
      <c r="AC73" s="2868"/>
      <c r="AD73" s="2868"/>
      <c r="AE73" s="2868"/>
      <c r="AF73" s="2868"/>
      <c r="AG73" s="2868"/>
      <c r="AH73" s="2868"/>
      <c r="AI73" s="2868"/>
      <c r="AJ73" s="2855" t="s">
        <v>560</v>
      </c>
      <c r="AK73" s="2855"/>
      <c r="AL73" s="2855"/>
      <c r="AM73" s="2855"/>
      <c r="AN73" s="2855"/>
      <c r="AO73" s="2855"/>
      <c r="AP73" s="2855"/>
      <c r="AQ73" s="2855"/>
      <c r="AR73" s="2855"/>
      <c r="AS73" s="2855"/>
      <c r="AT73" s="2855"/>
      <c r="AU73" s="2855"/>
      <c r="AV73" s="2855"/>
      <c r="AW73" s="2855"/>
      <c r="AX73" s="2855"/>
      <c r="AY73" s="2855"/>
      <c r="AZ73" s="2855"/>
      <c r="BA73" s="2855"/>
      <c r="BB73" s="2855"/>
      <c r="BC73" s="2855"/>
      <c r="BD73" s="2855"/>
      <c r="BE73" s="2855"/>
      <c r="BF73" s="2855"/>
      <c r="BG73" s="2855"/>
      <c r="BH73" s="2855"/>
      <c r="BI73" s="2855"/>
      <c r="BJ73" s="2855"/>
      <c r="BK73" s="2855"/>
      <c r="BL73" s="2855"/>
      <c r="BM73" s="2855"/>
      <c r="BN73" s="2855"/>
      <c r="BO73" s="2855"/>
      <c r="BP73" s="2855"/>
      <c r="BQ73" s="2855"/>
      <c r="BR73" s="2855"/>
      <c r="BS73" s="2855"/>
      <c r="BT73" s="2855"/>
      <c r="BU73" s="2855"/>
      <c r="BV73" s="2855"/>
      <c r="BW73" s="2855"/>
      <c r="BX73" s="2855"/>
      <c r="BY73" s="2855"/>
      <c r="BZ73" s="2855"/>
      <c r="CA73" s="2855"/>
      <c r="CB73" s="2855"/>
      <c r="CC73" s="2855"/>
      <c r="CD73" s="2855"/>
      <c r="CE73" s="2855"/>
      <c r="CF73" s="2855"/>
      <c r="CG73" s="2855"/>
      <c r="CH73" s="2855"/>
      <c r="CI73" s="2855"/>
      <c r="CJ73" s="2855"/>
      <c r="CK73" s="2855"/>
      <c r="CL73" s="2855"/>
      <c r="CM73" s="2855"/>
      <c r="CN73" s="2855"/>
      <c r="CO73" s="2855"/>
      <c r="CP73" s="2855"/>
      <c r="CQ73" s="2855"/>
      <c r="CR73" s="2855"/>
      <c r="CS73" s="2855"/>
      <c r="CT73" s="2855"/>
      <c r="CU73" s="2855"/>
      <c r="CV73" s="2855"/>
      <c r="CW73" s="2855"/>
      <c r="CX73" s="2855"/>
      <c r="CY73" s="2855"/>
      <c r="CZ73" s="2855"/>
      <c r="DA73" s="2855"/>
      <c r="DB73" s="2855"/>
      <c r="DC73" s="2855"/>
      <c r="DD73" s="2855"/>
      <c r="DE73" s="2855"/>
      <c r="DF73" s="2855"/>
      <c r="DG73" s="2855"/>
      <c r="DH73" s="2855"/>
      <c r="DI73" s="2855"/>
      <c r="DJ73" s="2855"/>
      <c r="DK73" s="2855"/>
      <c r="DL73" s="2855"/>
    </row>
    <row r="74" spans="1:116" ht="7.5" customHeight="1">
      <c r="A74" s="2868"/>
      <c r="B74" s="2868"/>
      <c r="C74" s="2868"/>
      <c r="D74" s="2868"/>
      <c r="E74" s="2868"/>
      <c r="F74" s="2868"/>
      <c r="G74" s="2868"/>
      <c r="H74" s="2868"/>
      <c r="I74" s="2868"/>
      <c r="J74" s="2868"/>
      <c r="K74" s="2868"/>
      <c r="L74" s="2868"/>
      <c r="M74" s="2868"/>
      <c r="N74" s="2868"/>
      <c r="O74" s="2868"/>
      <c r="P74" s="2868"/>
      <c r="Q74" s="2868"/>
      <c r="R74" s="2868"/>
      <c r="S74" s="2868"/>
      <c r="T74" s="2868"/>
      <c r="U74" s="2868"/>
      <c r="V74" s="2868"/>
      <c r="W74" s="2868"/>
      <c r="X74" s="2868"/>
      <c r="Y74" s="2868"/>
      <c r="Z74" s="2868"/>
      <c r="AA74" s="2868"/>
      <c r="AB74" s="2868"/>
      <c r="AC74" s="2868"/>
      <c r="AD74" s="2868"/>
      <c r="AE74" s="2868"/>
      <c r="AF74" s="2868"/>
      <c r="AG74" s="2868"/>
      <c r="AH74" s="2868"/>
      <c r="AI74" s="2868"/>
      <c r="AJ74" s="2855"/>
      <c r="AK74" s="2855"/>
      <c r="AL74" s="2855"/>
      <c r="AM74" s="2855"/>
      <c r="AN74" s="2855"/>
      <c r="AO74" s="2855"/>
      <c r="AP74" s="2855"/>
      <c r="AQ74" s="2855"/>
      <c r="AR74" s="2855"/>
      <c r="AS74" s="2855"/>
      <c r="AT74" s="2855"/>
      <c r="AU74" s="2855"/>
      <c r="AV74" s="2855"/>
      <c r="AW74" s="2855"/>
      <c r="AX74" s="2855"/>
      <c r="AY74" s="2855"/>
      <c r="AZ74" s="2855"/>
      <c r="BA74" s="2855"/>
      <c r="BB74" s="2855"/>
      <c r="BC74" s="2855"/>
      <c r="BD74" s="2855"/>
      <c r="BE74" s="2855"/>
      <c r="BF74" s="2855"/>
      <c r="BG74" s="2855"/>
      <c r="BH74" s="2855"/>
      <c r="BI74" s="2855"/>
      <c r="BJ74" s="2855"/>
      <c r="BK74" s="2855"/>
      <c r="BL74" s="2855"/>
      <c r="BM74" s="2855"/>
      <c r="BN74" s="2855"/>
      <c r="BO74" s="2855"/>
      <c r="BP74" s="2855"/>
      <c r="BQ74" s="2855"/>
      <c r="BR74" s="2855"/>
      <c r="BS74" s="2855"/>
      <c r="BT74" s="2855"/>
      <c r="BU74" s="2855"/>
      <c r="BV74" s="2855"/>
      <c r="BW74" s="2855"/>
      <c r="BX74" s="2855"/>
      <c r="BY74" s="2855"/>
      <c r="BZ74" s="2855"/>
      <c r="CA74" s="2855"/>
      <c r="CB74" s="2855"/>
      <c r="CC74" s="2855"/>
      <c r="CD74" s="2855"/>
      <c r="CE74" s="2855"/>
      <c r="CF74" s="2855"/>
      <c r="CG74" s="2855"/>
      <c r="CH74" s="2855"/>
      <c r="CI74" s="2855"/>
      <c r="CJ74" s="2855"/>
      <c r="CK74" s="2855"/>
      <c r="CL74" s="2855"/>
      <c r="CM74" s="2855"/>
      <c r="CN74" s="2855"/>
      <c r="CO74" s="2855"/>
      <c r="CP74" s="2855"/>
      <c r="CQ74" s="2855"/>
      <c r="CR74" s="2855"/>
      <c r="CS74" s="2855"/>
      <c r="CT74" s="2855"/>
      <c r="CU74" s="2855"/>
      <c r="CV74" s="2855"/>
      <c r="CW74" s="2855"/>
      <c r="CX74" s="2855"/>
      <c r="CY74" s="2855"/>
      <c r="CZ74" s="2855"/>
      <c r="DA74" s="2855"/>
      <c r="DB74" s="2855"/>
      <c r="DC74" s="2855"/>
      <c r="DD74" s="2855"/>
      <c r="DE74" s="2855"/>
      <c r="DF74" s="2855"/>
      <c r="DG74" s="2855"/>
      <c r="DH74" s="2855"/>
      <c r="DI74" s="2855"/>
      <c r="DJ74" s="2855"/>
      <c r="DK74" s="2855"/>
      <c r="DL74" s="2855"/>
    </row>
    <row r="75" spans="1:116" ht="7.5" customHeight="1">
      <c r="A75" s="2868"/>
      <c r="B75" s="2868"/>
      <c r="C75" s="2868"/>
      <c r="D75" s="2868"/>
      <c r="E75" s="2868"/>
      <c r="F75" s="2868"/>
      <c r="G75" s="2868"/>
      <c r="H75" s="2868"/>
      <c r="I75" s="2868"/>
      <c r="J75" s="2868"/>
      <c r="K75" s="2868"/>
      <c r="L75" s="2868"/>
      <c r="M75" s="2868"/>
      <c r="N75" s="2868"/>
      <c r="O75" s="2868"/>
      <c r="P75" s="2868"/>
      <c r="Q75" s="2868"/>
      <c r="R75" s="2868"/>
      <c r="S75" s="2868"/>
      <c r="T75" s="2868"/>
      <c r="U75" s="2868"/>
      <c r="V75" s="2868"/>
      <c r="W75" s="2868"/>
      <c r="X75" s="2868"/>
      <c r="Y75" s="2868"/>
      <c r="Z75" s="2868"/>
      <c r="AA75" s="2868"/>
      <c r="AB75" s="2868"/>
      <c r="AC75" s="2868"/>
      <c r="AD75" s="2868"/>
      <c r="AE75" s="2868"/>
      <c r="AF75" s="2868"/>
      <c r="AG75" s="2868"/>
      <c r="AH75" s="2868"/>
      <c r="AI75" s="2868"/>
      <c r="AJ75" s="2855"/>
      <c r="AK75" s="2855"/>
      <c r="AL75" s="2855"/>
      <c r="AM75" s="2855"/>
      <c r="AN75" s="2855"/>
      <c r="AO75" s="2855"/>
      <c r="AP75" s="2855"/>
      <c r="AQ75" s="2855"/>
      <c r="AR75" s="2855"/>
      <c r="AS75" s="2855"/>
      <c r="AT75" s="2855"/>
      <c r="AU75" s="2855"/>
      <c r="AV75" s="2855"/>
      <c r="AW75" s="2855"/>
      <c r="AX75" s="2855"/>
      <c r="AY75" s="2855"/>
      <c r="AZ75" s="2855"/>
      <c r="BA75" s="2855"/>
      <c r="BB75" s="2855"/>
      <c r="BC75" s="2855"/>
      <c r="BD75" s="2855"/>
      <c r="BE75" s="2855"/>
      <c r="BF75" s="2855"/>
      <c r="BG75" s="2855"/>
      <c r="BH75" s="2855"/>
      <c r="BI75" s="2855"/>
      <c r="BJ75" s="2855"/>
      <c r="BK75" s="2855"/>
      <c r="BL75" s="2855"/>
      <c r="BM75" s="2855"/>
      <c r="BN75" s="2855"/>
      <c r="BO75" s="2855"/>
      <c r="BP75" s="2855"/>
      <c r="BQ75" s="2855"/>
      <c r="BR75" s="2855"/>
      <c r="BS75" s="2855"/>
      <c r="BT75" s="2855"/>
      <c r="BU75" s="2855"/>
      <c r="BV75" s="2855"/>
      <c r="BW75" s="2855"/>
      <c r="BX75" s="2855"/>
      <c r="BY75" s="2855"/>
      <c r="BZ75" s="2855"/>
      <c r="CA75" s="2855"/>
      <c r="CB75" s="2855"/>
      <c r="CC75" s="2855"/>
      <c r="CD75" s="2855"/>
      <c r="CE75" s="2855"/>
      <c r="CF75" s="2855"/>
      <c r="CG75" s="2855"/>
      <c r="CH75" s="2855"/>
      <c r="CI75" s="2855"/>
      <c r="CJ75" s="2855"/>
      <c r="CK75" s="2855"/>
      <c r="CL75" s="2855"/>
      <c r="CM75" s="2855"/>
      <c r="CN75" s="2855"/>
      <c r="CO75" s="2855"/>
      <c r="CP75" s="2855"/>
      <c r="CQ75" s="2855"/>
      <c r="CR75" s="2855"/>
      <c r="CS75" s="2855"/>
      <c r="CT75" s="2855"/>
      <c r="CU75" s="2855"/>
      <c r="CV75" s="2855"/>
      <c r="CW75" s="2855"/>
      <c r="CX75" s="2855"/>
      <c r="CY75" s="2855"/>
      <c r="CZ75" s="2855"/>
      <c r="DA75" s="2855"/>
      <c r="DB75" s="2855"/>
      <c r="DC75" s="2855"/>
      <c r="DD75" s="2855"/>
      <c r="DE75" s="2855"/>
      <c r="DF75" s="2855"/>
      <c r="DG75" s="2855"/>
      <c r="DH75" s="2855"/>
      <c r="DI75" s="2855"/>
      <c r="DJ75" s="2855"/>
      <c r="DK75" s="2855"/>
      <c r="DL75" s="2855"/>
    </row>
    <row r="76" spans="1:116" ht="7.5" customHeight="1">
      <c r="A76" s="271"/>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855"/>
      <c r="AK76" s="2855"/>
      <c r="AL76" s="2855"/>
      <c r="AM76" s="2855"/>
      <c r="AN76" s="2855"/>
      <c r="AO76" s="2855"/>
      <c r="AP76" s="2855"/>
      <c r="AQ76" s="2855"/>
      <c r="AR76" s="2855"/>
      <c r="AS76" s="2855"/>
      <c r="AT76" s="2855"/>
      <c r="AU76" s="2855"/>
      <c r="AV76" s="2855"/>
      <c r="AW76" s="2855"/>
      <c r="AX76" s="2855"/>
      <c r="AY76" s="2855"/>
      <c r="AZ76" s="2855"/>
      <c r="BA76" s="2855"/>
      <c r="BB76" s="2855"/>
      <c r="BC76" s="2855"/>
      <c r="BD76" s="2855"/>
      <c r="BE76" s="2855"/>
      <c r="BF76" s="2855"/>
      <c r="BG76" s="2855"/>
      <c r="BH76" s="2855"/>
      <c r="BI76" s="2855"/>
      <c r="BJ76" s="2855"/>
      <c r="BK76" s="2855"/>
      <c r="BL76" s="2855"/>
      <c r="BM76" s="2855"/>
      <c r="BN76" s="2855"/>
      <c r="BO76" s="2855"/>
      <c r="BP76" s="2855"/>
      <c r="BQ76" s="2855"/>
      <c r="BR76" s="2855"/>
      <c r="BS76" s="2855"/>
      <c r="BT76" s="2855"/>
      <c r="BU76" s="2855"/>
      <c r="BV76" s="2855"/>
      <c r="BW76" s="2855"/>
      <c r="BX76" s="2855"/>
      <c r="BY76" s="2855"/>
      <c r="BZ76" s="2855"/>
      <c r="CA76" s="2855"/>
      <c r="CB76" s="2855"/>
      <c r="CC76" s="2855"/>
      <c r="CD76" s="2855"/>
      <c r="CE76" s="2855"/>
      <c r="CF76" s="2855"/>
      <c r="CG76" s="2855"/>
      <c r="CH76" s="2855"/>
      <c r="CI76" s="2855"/>
      <c r="CJ76" s="2855"/>
      <c r="CK76" s="2855"/>
      <c r="CL76" s="2855"/>
      <c r="CM76" s="2855"/>
      <c r="CN76" s="2855"/>
      <c r="CO76" s="2855"/>
      <c r="CP76" s="2855"/>
      <c r="CQ76" s="2855"/>
      <c r="CR76" s="2855"/>
      <c r="CS76" s="2855"/>
      <c r="CT76" s="2855"/>
      <c r="CU76" s="2855"/>
      <c r="CV76" s="2855"/>
      <c r="CW76" s="2855"/>
      <c r="CX76" s="2855"/>
      <c r="CY76" s="2855"/>
      <c r="CZ76" s="2855"/>
      <c r="DA76" s="2855"/>
      <c r="DB76" s="2855"/>
      <c r="DC76" s="2855"/>
      <c r="DD76" s="2855"/>
      <c r="DE76" s="2855"/>
      <c r="DF76" s="2855"/>
      <c r="DG76" s="2855"/>
      <c r="DH76" s="2855"/>
      <c r="DI76" s="2855"/>
      <c r="DJ76" s="2855"/>
      <c r="DK76" s="2855"/>
      <c r="DL76" s="2855"/>
    </row>
    <row r="77" spans="1:116" ht="7.5" customHeight="1" thickBot="1">
      <c r="A77" s="44"/>
      <c r="B77" s="54"/>
      <c r="C77" s="54"/>
      <c r="D77" s="54"/>
      <c r="E77" s="54"/>
      <c r="F77" s="54"/>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48"/>
      <c r="CL77" s="48"/>
      <c r="CM77" s="48"/>
      <c r="CN77" s="48"/>
      <c r="CO77" s="48"/>
      <c r="CP77" s="57"/>
      <c r="CQ77" s="57"/>
      <c r="CR77" s="57"/>
      <c r="CS77" s="57"/>
      <c r="CT77" s="57"/>
      <c r="CU77" s="57"/>
      <c r="CV77" s="57"/>
      <c r="CW77" s="57"/>
      <c r="CX77" s="57"/>
      <c r="CY77" s="57"/>
      <c r="CZ77" s="57"/>
      <c r="DA77" s="57"/>
      <c r="DB77" s="57"/>
      <c r="DC77" s="57"/>
      <c r="DD77" s="57"/>
      <c r="DE77" s="57"/>
      <c r="DF77" s="57"/>
      <c r="DG77" s="57"/>
      <c r="DH77" s="57"/>
      <c r="DI77" s="57"/>
      <c r="DJ77" s="57"/>
      <c r="DK77" s="57"/>
      <c r="DL77" s="57"/>
    </row>
    <row r="78" spans="1:116" ht="8.25" customHeight="1">
      <c r="A78" s="44"/>
      <c r="B78" s="2864" t="s">
        <v>188</v>
      </c>
      <c r="C78" s="2865"/>
      <c r="D78" s="2865"/>
      <c r="E78" s="2865"/>
      <c r="F78" s="2865"/>
      <c r="G78" s="2865"/>
      <c r="H78" s="2865"/>
      <c r="I78" s="2865"/>
      <c r="J78" s="2865"/>
      <c r="K78" s="2865"/>
      <c r="L78" s="2865"/>
      <c r="M78" s="2865"/>
      <c r="N78" s="2865"/>
      <c r="O78" s="2865"/>
      <c r="P78" s="2865"/>
      <c r="Q78" s="2865"/>
      <c r="R78" s="2865"/>
      <c r="S78" s="2865"/>
      <c r="T78" s="2865"/>
      <c r="U78" s="2865"/>
      <c r="V78" s="2865"/>
      <c r="W78" s="2865"/>
      <c r="X78" s="2865"/>
      <c r="Y78" s="2865"/>
      <c r="Z78" s="2634" t="s">
        <v>256</v>
      </c>
      <c r="AA78" s="2634"/>
      <c r="AB78" s="2634"/>
      <c r="AC78" s="2634"/>
      <c r="AD78" s="2634"/>
      <c r="AE78" s="2634"/>
      <c r="AF78" s="2634"/>
      <c r="AG78" s="2634"/>
      <c r="AH78" s="2634"/>
      <c r="AI78" s="2634"/>
      <c r="AJ78" s="2634"/>
      <c r="AK78" s="2634"/>
      <c r="AL78" s="2634"/>
      <c r="AM78" s="2634"/>
      <c r="AN78" s="2634"/>
      <c r="AO78" s="2634"/>
      <c r="AP78" s="2634"/>
      <c r="AQ78" s="2634"/>
      <c r="AR78" s="2634"/>
      <c r="AS78" s="2634"/>
      <c r="AT78" s="2634"/>
      <c r="AU78" s="2634"/>
      <c r="AV78" s="2634"/>
      <c r="AW78" s="2634"/>
      <c r="AX78" s="2634"/>
      <c r="AY78" s="2634"/>
      <c r="AZ78" s="2634"/>
      <c r="BA78" s="2634"/>
      <c r="BB78" s="2634"/>
      <c r="BC78" s="2634"/>
      <c r="BD78" s="2634"/>
      <c r="BE78" s="2634"/>
      <c r="BF78" s="2634"/>
      <c r="BG78" s="2634"/>
      <c r="BH78" s="2634"/>
      <c r="BI78" s="2634"/>
      <c r="BJ78" s="2634"/>
      <c r="BK78" s="2634"/>
      <c r="BL78" s="2634"/>
      <c r="BM78" s="2634"/>
      <c r="BN78" s="2634"/>
      <c r="BO78" s="2634"/>
      <c r="BP78" s="2634"/>
      <c r="BQ78" s="2634"/>
      <c r="BR78" s="2634"/>
      <c r="BS78" s="2634"/>
      <c r="BT78" s="2634"/>
      <c r="BU78" s="2634"/>
      <c r="BV78" s="2634"/>
      <c r="BW78" s="2634"/>
      <c r="BX78" s="2634"/>
      <c r="BY78" s="2634"/>
      <c r="BZ78" s="2634"/>
      <c r="CA78" s="2634"/>
      <c r="CB78" s="2634"/>
      <c r="CC78" s="2634"/>
      <c r="CD78" s="2634"/>
      <c r="CE78" s="2634"/>
      <c r="CF78" s="2634"/>
      <c r="CG78" s="2634"/>
      <c r="CH78" s="2634"/>
      <c r="CI78" s="2634"/>
      <c r="CJ78" s="2634"/>
      <c r="CK78" s="2634"/>
      <c r="CL78" s="2634"/>
      <c r="CM78" s="2634"/>
      <c r="CN78" s="2634"/>
      <c r="CO78" s="2634"/>
      <c r="CP78" s="2634"/>
      <c r="CQ78" s="2634"/>
      <c r="CR78" s="2634"/>
      <c r="CS78" s="2634"/>
      <c r="CT78" s="2634"/>
      <c r="CU78" s="2634"/>
      <c r="CV78" s="2634"/>
      <c r="CW78" s="2634"/>
      <c r="CX78" s="2634"/>
      <c r="CY78" s="2634"/>
      <c r="CZ78" s="2634"/>
      <c r="DA78" s="2634"/>
      <c r="DB78" s="2634"/>
      <c r="DC78" s="2634"/>
      <c r="DD78" s="2634"/>
      <c r="DE78" s="2634"/>
      <c r="DF78" s="2634"/>
      <c r="DG78" s="2634"/>
      <c r="DH78" s="2634"/>
      <c r="DI78" s="2634"/>
      <c r="DJ78" s="2634"/>
      <c r="DK78" s="2634"/>
      <c r="DL78" s="2635"/>
    </row>
    <row r="79" spans="1:116" ht="8.25" customHeight="1" thickBot="1">
      <c r="A79" s="44"/>
      <c r="B79" s="2866"/>
      <c r="C79" s="2867"/>
      <c r="D79" s="2867"/>
      <c r="E79" s="2867"/>
      <c r="F79" s="2867"/>
      <c r="G79" s="2867"/>
      <c r="H79" s="2867"/>
      <c r="I79" s="2867"/>
      <c r="J79" s="2867"/>
      <c r="K79" s="2867"/>
      <c r="L79" s="2867"/>
      <c r="M79" s="2867"/>
      <c r="N79" s="2867"/>
      <c r="O79" s="2867"/>
      <c r="P79" s="2867"/>
      <c r="Q79" s="2867"/>
      <c r="R79" s="2867"/>
      <c r="S79" s="2867"/>
      <c r="T79" s="2867"/>
      <c r="U79" s="2867"/>
      <c r="V79" s="2867"/>
      <c r="W79" s="2867"/>
      <c r="X79" s="2867"/>
      <c r="Y79" s="2867"/>
      <c r="Z79" s="2636"/>
      <c r="AA79" s="2636"/>
      <c r="AB79" s="2636"/>
      <c r="AC79" s="2636"/>
      <c r="AD79" s="2636"/>
      <c r="AE79" s="2636"/>
      <c r="AF79" s="2636"/>
      <c r="AG79" s="2636"/>
      <c r="AH79" s="2636"/>
      <c r="AI79" s="2637"/>
      <c r="AJ79" s="2637"/>
      <c r="AK79" s="2637"/>
      <c r="AL79" s="2636"/>
      <c r="AM79" s="2636"/>
      <c r="AN79" s="2636"/>
      <c r="AO79" s="2636"/>
      <c r="AP79" s="2636"/>
      <c r="AQ79" s="2636"/>
      <c r="AR79" s="2636"/>
      <c r="AS79" s="2636"/>
      <c r="AT79" s="2636"/>
      <c r="AU79" s="2636"/>
      <c r="AV79" s="2636"/>
      <c r="AW79" s="2636"/>
      <c r="AX79" s="2636"/>
      <c r="AY79" s="2636"/>
      <c r="AZ79" s="2636"/>
      <c r="BA79" s="2636"/>
      <c r="BB79" s="2636"/>
      <c r="BC79" s="2636"/>
      <c r="BD79" s="2637"/>
      <c r="BE79" s="2637"/>
      <c r="BF79" s="2637"/>
      <c r="BG79" s="2637"/>
      <c r="BH79" s="2637"/>
      <c r="BI79" s="2637"/>
      <c r="BJ79" s="2637"/>
      <c r="BK79" s="2637"/>
      <c r="BL79" s="2637"/>
      <c r="BM79" s="2637"/>
      <c r="BN79" s="2637"/>
      <c r="BO79" s="2637"/>
      <c r="BP79" s="2637"/>
      <c r="BQ79" s="2637"/>
      <c r="BR79" s="2637"/>
      <c r="BS79" s="2637"/>
      <c r="BT79" s="2637"/>
      <c r="BU79" s="2637"/>
      <c r="BV79" s="2637"/>
      <c r="BW79" s="2637"/>
      <c r="BX79" s="2637"/>
      <c r="BY79" s="2637"/>
      <c r="BZ79" s="2637"/>
      <c r="CA79" s="2637"/>
      <c r="CB79" s="2637"/>
      <c r="CC79" s="2637"/>
      <c r="CD79" s="2637"/>
      <c r="CE79" s="2637"/>
      <c r="CF79" s="2637"/>
      <c r="CG79" s="2637"/>
      <c r="CH79" s="2637"/>
      <c r="CI79" s="2637"/>
      <c r="CJ79" s="2637"/>
      <c r="CK79" s="2637"/>
      <c r="CL79" s="2637"/>
      <c r="CM79" s="2637"/>
      <c r="CN79" s="2637"/>
      <c r="CO79" s="2637"/>
      <c r="CP79" s="2637"/>
      <c r="CQ79" s="2637"/>
      <c r="CR79" s="2637"/>
      <c r="CS79" s="2637"/>
      <c r="CT79" s="2637"/>
      <c r="CU79" s="2637"/>
      <c r="CV79" s="2637"/>
      <c r="CW79" s="2637"/>
      <c r="CX79" s="2637"/>
      <c r="CY79" s="2637"/>
      <c r="CZ79" s="2637"/>
      <c r="DA79" s="2637"/>
      <c r="DB79" s="2637"/>
      <c r="DC79" s="2637"/>
      <c r="DD79" s="2637"/>
      <c r="DE79" s="2637"/>
      <c r="DF79" s="2637"/>
      <c r="DG79" s="2637"/>
      <c r="DH79" s="2637"/>
      <c r="DI79" s="2637"/>
      <c r="DJ79" s="2637"/>
      <c r="DK79" s="2637"/>
      <c r="DL79" s="2638"/>
    </row>
    <row r="80" spans="1:116" ht="7.5" customHeight="1" thickTop="1">
      <c r="A80" s="44"/>
      <c r="B80" s="2744" t="s">
        <v>105</v>
      </c>
      <c r="C80" s="2710"/>
      <c r="D80" s="2711"/>
      <c r="E80" s="2486"/>
      <c r="F80" s="2450"/>
      <c r="G80" s="2450"/>
      <c r="H80" s="2450"/>
      <c r="I80" s="2450"/>
      <c r="J80" s="2450"/>
      <c r="K80" s="2450"/>
      <c r="L80" s="2450"/>
      <c r="M80" s="2450"/>
      <c r="N80" s="2450"/>
      <c r="O80" s="2450"/>
      <c r="P80" s="2450"/>
      <c r="Q80" s="2487"/>
      <c r="R80" s="2709" t="s">
        <v>80</v>
      </c>
      <c r="S80" s="2710"/>
      <c r="T80" s="2711"/>
      <c r="U80" s="2486"/>
      <c r="V80" s="2450"/>
      <c r="W80" s="2450"/>
      <c r="X80" s="2450"/>
      <c r="Y80" s="2450"/>
      <c r="Z80" s="2450"/>
      <c r="AA80" s="2450"/>
      <c r="AB80" s="2450"/>
      <c r="AC80" s="2450"/>
      <c r="AD80" s="2450"/>
      <c r="AE80" s="2450"/>
      <c r="AF80" s="2450"/>
      <c r="AG80" s="2450"/>
      <c r="AH80" s="2451"/>
      <c r="AI80" s="2374" t="s">
        <v>801</v>
      </c>
      <c r="AJ80" s="2374"/>
      <c r="AK80" s="2374"/>
      <c r="AL80" s="2449"/>
      <c r="AM80" s="2450"/>
      <c r="AN80" s="2450"/>
      <c r="AO80" s="2450"/>
      <c r="AP80" s="2450"/>
      <c r="AQ80" s="2450"/>
      <c r="AR80" s="2450"/>
      <c r="AS80" s="2450"/>
      <c r="AT80" s="2450"/>
      <c r="AU80" s="2450"/>
      <c r="AV80" s="2450"/>
      <c r="AW80" s="2450"/>
      <c r="AX80" s="2450"/>
      <c r="AY80" s="2450"/>
      <c r="AZ80" s="2450"/>
      <c r="BA80" s="2450"/>
      <c r="BB80" s="2450"/>
      <c r="BC80" s="2451"/>
      <c r="BD80" s="2374" t="s">
        <v>216</v>
      </c>
      <c r="BE80" s="2374"/>
      <c r="BF80" s="2374"/>
      <c r="BG80" s="2375"/>
      <c r="BH80" s="2700"/>
      <c r="BI80" s="2701"/>
      <c r="BJ80" s="2701"/>
      <c r="BK80" s="2702"/>
      <c r="BL80" s="2373" t="s">
        <v>217</v>
      </c>
      <c r="BM80" s="2374"/>
      <c r="BN80" s="2374"/>
      <c r="BO80" s="2375"/>
      <c r="BP80" s="2439"/>
      <c r="BQ80" s="2440"/>
      <c r="BR80" s="2373" t="s">
        <v>214</v>
      </c>
      <c r="BS80" s="2374"/>
      <c r="BT80" s="2375"/>
      <c r="BU80" s="2439"/>
      <c r="BV80" s="2439"/>
      <c r="BW80" s="2440"/>
      <c r="BX80" s="2373" t="s">
        <v>215</v>
      </c>
      <c r="BY80" s="2374"/>
      <c r="BZ80" s="2374"/>
      <c r="CA80" s="2374"/>
      <c r="CB80" s="2375"/>
      <c r="CC80" s="2670">
        <v>20</v>
      </c>
      <c r="CD80" s="2670"/>
      <c r="CE80" s="2670"/>
      <c r="CF80" s="2435"/>
      <c r="CG80" s="2435"/>
      <c r="CH80" s="2484" t="s">
        <v>0</v>
      </c>
      <c r="CI80" s="2484"/>
      <c r="CJ80" s="2435"/>
      <c r="CK80" s="2435"/>
      <c r="CL80" s="2484" t="s">
        <v>218</v>
      </c>
      <c r="CM80" s="2484"/>
      <c r="CN80" s="2484"/>
      <c r="CO80" s="2484"/>
      <c r="CP80" s="2373" t="s">
        <v>219</v>
      </c>
      <c r="CQ80" s="2374"/>
      <c r="CR80" s="2374"/>
      <c r="CS80" s="2375"/>
      <c r="CT80" s="2499"/>
      <c r="CU80" s="2491"/>
      <c r="CV80" s="2491"/>
      <c r="CW80" s="2491"/>
      <c r="CX80" s="2491"/>
      <c r="CY80" s="2491"/>
      <c r="CZ80" s="2491"/>
      <c r="DA80" s="2491"/>
      <c r="DB80" s="2491"/>
      <c r="DC80" s="2491"/>
      <c r="DD80" s="2491"/>
      <c r="DE80" s="2491"/>
      <c r="DF80" s="2491"/>
      <c r="DG80" s="2491"/>
      <c r="DH80" s="2491"/>
      <c r="DI80" s="2491"/>
      <c r="DJ80" s="2491"/>
      <c r="DK80" s="2491"/>
      <c r="DL80" s="2500"/>
    </row>
    <row r="81" spans="1:123" ht="7.5" customHeight="1">
      <c r="A81" s="44"/>
      <c r="B81" s="2745"/>
      <c r="C81" s="2374"/>
      <c r="D81" s="2375"/>
      <c r="E81" s="2488"/>
      <c r="F81" s="2439"/>
      <c r="G81" s="2439"/>
      <c r="H81" s="2439"/>
      <c r="I81" s="2439"/>
      <c r="J81" s="2439"/>
      <c r="K81" s="2439"/>
      <c r="L81" s="2439"/>
      <c r="M81" s="2439"/>
      <c r="N81" s="2439"/>
      <c r="O81" s="2439"/>
      <c r="P81" s="2439"/>
      <c r="Q81" s="2440"/>
      <c r="R81" s="2373"/>
      <c r="S81" s="2374"/>
      <c r="T81" s="2375"/>
      <c r="U81" s="2488"/>
      <c r="V81" s="2439"/>
      <c r="W81" s="2439"/>
      <c r="X81" s="2439"/>
      <c r="Y81" s="2439"/>
      <c r="Z81" s="2439"/>
      <c r="AA81" s="2439"/>
      <c r="AB81" s="2439"/>
      <c r="AC81" s="2439"/>
      <c r="AD81" s="2439"/>
      <c r="AE81" s="2439"/>
      <c r="AF81" s="2439"/>
      <c r="AG81" s="2439"/>
      <c r="AH81" s="2453"/>
      <c r="AI81" s="2374"/>
      <c r="AJ81" s="2374"/>
      <c r="AK81" s="2374"/>
      <c r="AL81" s="2452"/>
      <c r="AM81" s="2439"/>
      <c r="AN81" s="2439"/>
      <c r="AO81" s="2439"/>
      <c r="AP81" s="2439"/>
      <c r="AQ81" s="2439"/>
      <c r="AR81" s="2439"/>
      <c r="AS81" s="2439"/>
      <c r="AT81" s="2439"/>
      <c r="AU81" s="2439"/>
      <c r="AV81" s="2439"/>
      <c r="AW81" s="2439"/>
      <c r="AX81" s="2439"/>
      <c r="AY81" s="2439"/>
      <c r="AZ81" s="2439"/>
      <c r="BA81" s="2439"/>
      <c r="BB81" s="2439"/>
      <c r="BC81" s="2453"/>
      <c r="BD81" s="2374"/>
      <c r="BE81" s="2374"/>
      <c r="BF81" s="2374"/>
      <c r="BG81" s="2375"/>
      <c r="BH81" s="2703"/>
      <c r="BI81" s="2704"/>
      <c r="BJ81" s="2704"/>
      <c r="BK81" s="2705"/>
      <c r="BL81" s="2373"/>
      <c r="BM81" s="2374"/>
      <c r="BN81" s="2374"/>
      <c r="BO81" s="2375"/>
      <c r="BP81" s="2439"/>
      <c r="BQ81" s="2440"/>
      <c r="BR81" s="2373"/>
      <c r="BS81" s="2374"/>
      <c r="BT81" s="2375"/>
      <c r="BU81" s="2439"/>
      <c r="BV81" s="2439"/>
      <c r="BW81" s="2440"/>
      <c r="BX81" s="2373"/>
      <c r="BY81" s="2374"/>
      <c r="BZ81" s="2374"/>
      <c r="CA81" s="2374"/>
      <c r="CB81" s="2375"/>
      <c r="CC81" s="2670"/>
      <c r="CD81" s="2670"/>
      <c r="CE81" s="2670"/>
      <c r="CF81" s="2435"/>
      <c r="CG81" s="2435"/>
      <c r="CH81" s="2484"/>
      <c r="CI81" s="2484"/>
      <c r="CJ81" s="2435"/>
      <c r="CK81" s="2435"/>
      <c r="CL81" s="2484"/>
      <c r="CM81" s="2484"/>
      <c r="CN81" s="2484"/>
      <c r="CO81" s="2484"/>
      <c r="CP81" s="2373"/>
      <c r="CQ81" s="2374"/>
      <c r="CR81" s="2374"/>
      <c r="CS81" s="2375"/>
      <c r="CT81" s="2501"/>
      <c r="CU81" s="2493"/>
      <c r="CV81" s="2493"/>
      <c r="CW81" s="2493"/>
      <c r="CX81" s="2493"/>
      <c r="CY81" s="2493"/>
      <c r="CZ81" s="2493"/>
      <c r="DA81" s="2493"/>
      <c r="DB81" s="2493"/>
      <c r="DC81" s="2493"/>
      <c r="DD81" s="2493"/>
      <c r="DE81" s="2493"/>
      <c r="DF81" s="2493"/>
      <c r="DG81" s="2493"/>
      <c r="DH81" s="2493"/>
      <c r="DI81" s="2493"/>
      <c r="DJ81" s="2493"/>
      <c r="DK81" s="2493"/>
      <c r="DL81" s="2502"/>
    </row>
    <row r="82" spans="1:123" ht="7.5" customHeight="1" thickBot="1">
      <c r="A82" s="44"/>
      <c r="B82" s="2746"/>
      <c r="C82" s="2713"/>
      <c r="D82" s="2714"/>
      <c r="E82" s="2489"/>
      <c r="F82" s="2455"/>
      <c r="G82" s="2455"/>
      <c r="H82" s="2455"/>
      <c r="I82" s="2455"/>
      <c r="J82" s="2455"/>
      <c r="K82" s="2455"/>
      <c r="L82" s="2455"/>
      <c r="M82" s="2455"/>
      <c r="N82" s="2455"/>
      <c r="O82" s="2455"/>
      <c r="P82" s="2455"/>
      <c r="Q82" s="2490"/>
      <c r="R82" s="2712"/>
      <c r="S82" s="2713"/>
      <c r="T82" s="2714"/>
      <c r="U82" s="2489"/>
      <c r="V82" s="2455"/>
      <c r="W82" s="2455"/>
      <c r="X82" s="2455"/>
      <c r="Y82" s="2455"/>
      <c r="Z82" s="2455"/>
      <c r="AA82" s="2455"/>
      <c r="AB82" s="2455"/>
      <c r="AC82" s="2455"/>
      <c r="AD82" s="2455"/>
      <c r="AE82" s="2455"/>
      <c r="AF82" s="2455"/>
      <c r="AG82" s="2455"/>
      <c r="AH82" s="2456"/>
      <c r="AI82" s="2377"/>
      <c r="AJ82" s="2377"/>
      <c r="AK82" s="2377"/>
      <c r="AL82" s="2454"/>
      <c r="AM82" s="2455"/>
      <c r="AN82" s="2455"/>
      <c r="AO82" s="2455"/>
      <c r="AP82" s="2455"/>
      <c r="AQ82" s="2455"/>
      <c r="AR82" s="2455"/>
      <c r="AS82" s="2455"/>
      <c r="AT82" s="2455"/>
      <c r="AU82" s="2455"/>
      <c r="AV82" s="2455"/>
      <c r="AW82" s="2455"/>
      <c r="AX82" s="2455"/>
      <c r="AY82" s="2455"/>
      <c r="AZ82" s="2455"/>
      <c r="BA82" s="2455"/>
      <c r="BB82" s="2455"/>
      <c r="BC82" s="2456"/>
      <c r="BD82" s="2377"/>
      <c r="BE82" s="2377"/>
      <c r="BF82" s="2377"/>
      <c r="BG82" s="2378"/>
      <c r="BH82" s="2706"/>
      <c r="BI82" s="2707"/>
      <c r="BJ82" s="2707"/>
      <c r="BK82" s="2708"/>
      <c r="BL82" s="2376"/>
      <c r="BM82" s="2377"/>
      <c r="BN82" s="2377"/>
      <c r="BO82" s="2378"/>
      <c r="BP82" s="2522"/>
      <c r="BQ82" s="2523"/>
      <c r="BR82" s="2376"/>
      <c r="BS82" s="2377"/>
      <c r="BT82" s="2378"/>
      <c r="BU82" s="2522"/>
      <c r="BV82" s="2522"/>
      <c r="BW82" s="2523"/>
      <c r="BX82" s="2376"/>
      <c r="BY82" s="2377"/>
      <c r="BZ82" s="2377"/>
      <c r="CA82" s="2377"/>
      <c r="CB82" s="2378"/>
      <c r="CC82" s="2699"/>
      <c r="CD82" s="2699"/>
      <c r="CE82" s="2699"/>
      <c r="CF82" s="2482"/>
      <c r="CG82" s="2482"/>
      <c r="CH82" s="2485"/>
      <c r="CI82" s="2485"/>
      <c r="CJ82" s="2482"/>
      <c r="CK82" s="2482"/>
      <c r="CL82" s="2485"/>
      <c r="CM82" s="2485"/>
      <c r="CN82" s="2485"/>
      <c r="CO82" s="2485"/>
      <c r="CP82" s="2376"/>
      <c r="CQ82" s="2377"/>
      <c r="CR82" s="2377"/>
      <c r="CS82" s="2378"/>
      <c r="CT82" s="2503"/>
      <c r="CU82" s="2495"/>
      <c r="CV82" s="2495"/>
      <c r="CW82" s="2495"/>
      <c r="CX82" s="2495"/>
      <c r="CY82" s="2495"/>
      <c r="CZ82" s="2495"/>
      <c r="DA82" s="2495"/>
      <c r="DB82" s="2495"/>
      <c r="DC82" s="2495"/>
      <c r="DD82" s="2495"/>
      <c r="DE82" s="2495"/>
      <c r="DF82" s="2495"/>
      <c r="DG82" s="2495"/>
      <c r="DH82" s="2495"/>
      <c r="DI82" s="2495"/>
      <c r="DJ82" s="2495"/>
      <c r="DK82" s="2495"/>
      <c r="DL82" s="2504"/>
    </row>
    <row r="83" spans="1:123" ht="11.25" customHeight="1" thickTop="1">
      <c r="A83" s="48"/>
      <c r="B83" s="2715" t="s">
        <v>143</v>
      </c>
      <c r="C83" s="2716"/>
      <c r="D83" s="2716"/>
      <c r="E83" s="2716"/>
      <c r="F83" s="2716"/>
      <c r="G83" s="2716"/>
      <c r="H83" s="2716"/>
      <c r="I83" s="2716"/>
      <c r="J83" s="2716"/>
      <c r="K83" s="2716"/>
      <c r="L83" s="2716"/>
      <c r="M83" s="2716"/>
      <c r="N83" s="2716"/>
      <c r="O83" s="2716"/>
      <c r="P83" s="2716"/>
      <c r="Q83" s="2716"/>
      <c r="R83" s="2716"/>
      <c r="S83" s="2721"/>
      <c r="T83" s="2721"/>
      <c r="U83" s="2721"/>
      <c r="V83" s="2721"/>
      <c r="W83" s="2721"/>
      <c r="X83" s="2721"/>
      <c r="Y83" s="2721"/>
      <c r="Z83" s="2721"/>
      <c r="AA83" s="2721"/>
      <c r="AB83" s="2721"/>
      <c r="AC83" s="2721"/>
      <c r="AD83" s="2721"/>
      <c r="AE83" s="2721"/>
      <c r="AF83" s="2721"/>
      <c r="AG83" s="2721"/>
      <c r="AH83" s="2721"/>
      <c r="AI83" s="2722"/>
      <c r="AJ83" s="2722"/>
      <c r="AK83" s="2722"/>
      <c r="AL83" s="2721"/>
      <c r="AM83" s="2721"/>
      <c r="AN83" s="2721"/>
      <c r="AO83" s="2721"/>
      <c r="AP83" s="2721"/>
      <c r="AQ83" s="2721"/>
      <c r="AR83" s="2721"/>
      <c r="AS83" s="2721"/>
      <c r="AT83" s="2721"/>
      <c r="AU83" s="2721"/>
      <c r="AV83" s="2721"/>
      <c r="AW83" s="2721"/>
      <c r="AX83" s="2721"/>
      <c r="AY83" s="2721"/>
      <c r="AZ83" s="2721"/>
      <c r="BA83" s="2721"/>
      <c r="BB83" s="2721"/>
      <c r="BC83" s="2721"/>
      <c r="BD83" s="2722"/>
      <c r="BE83" s="2722"/>
      <c r="BF83" s="2722"/>
      <c r="BG83" s="2722"/>
      <c r="BH83" s="2722"/>
      <c r="BI83" s="2722"/>
      <c r="BJ83" s="2722"/>
      <c r="BK83" s="2722"/>
      <c r="BL83" s="2722"/>
      <c r="BM83" s="2722"/>
      <c r="BN83" s="2722"/>
      <c r="BO83" s="2722"/>
      <c r="BP83" s="2722"/>
      <c r="BQ83" s="2722"/>
      <c r="BR83" s="2722"/>
      <c r="BS83" s="2722"/>
      <c r="BT83" s="2722"/>
      <c r="BU83" s="2722"/>
      <c r="BV83" s="2722"/>
      <c r="BW83" s="2722"/>
      <c r="BX83" s="2722"/>
      <c r="BY83" s="2722"/>
      <c r="BZ83" s="2722"/>
      <c r="CA83" s="2722"/>
      <c r="CB83" s="2722"/>
      <c r="CC83" s="2722"/>
      <c r="CD83" s="2722"/>
      <c r="CE83" s="2722"/>
      <c r="CF83" s="2722"/>
      <c r="CG83" s="2722"/>
      <c r="CH83" s="2722"/>
      <c r="CI83" s="2722"/>
      <c r="CJ83" s="2722"/>
      <c r="CK83" s="2722"/>
      <c r="CL83" s="2722"/>
      <c r="CM83" s="2722"/>
      <c r="CN83" s="2722"/>
      <c r="CO83" s="2722"/>
      <c r="CP83" s="2722"/>
      <c r="CQ83" s="2722"/>
      <c r="CR83" s="2722"/>
      <c r="CS83" s="2722"/>
      <c r="CT83" s="2722"/>
      <c r="CU83" s="2722"/>
      <c r="CV83" s="2722"/>
      <c r="CW83" s="2722"/>
      <c r="CX83" s="2722"/>
      <c r="CY83" s="2722"/>
      <c r="CZ83" s="2722"/>
      <c r="DA83" s="2722"/>
      <c r="DB83" s="2722"/>
      <c r="DC83" s="2722"/>
      <c r="DD83" s="2722"/>
      <c r="DE83" s="2722"/>
      <c r="DF83" s="2722"/>
      <c r="DG83" s="2722"/>
      <c r="DH83" s="2722"/>
      <c r="DI83" s="2722"/>
      <c r="DJ83" s="2722"/>
      <c r="DK83" s="2722"/>
      <c r="DL83" s="2723"/>
      <c r="DR83" s="109"/>
    </row>
    <row r="84" spans="1:123" ht="9.75" customHeight="1">
      <c r="A84" s="44"/>
      <c r="B84" s="2509" t="s">
        <v>220</v>
      </c>
      <c r="C84" s="2374"/>
      <c r="D84" s="2374"/>
      <c r="E84" s="2374"/>
      <c r="F84" s="2374"/>
      <c r="G84" s="2375"/>
      <c r="H84" s="2561"/>
      <c r="I84" s="2750"/>
      <c r="J84" s="2374" t="s">
        <v>216</v>
      </c>
      <c r="K84" s="2374"/>
      <c r="L84" s="2374"/>
      <c r="M84" s="2375"/>
      <c r="N84" s="2734"/>
      <c r="O84" s="2734"/>
      <c r="P84" s="2734"/>
      <c r="Q84" s="2735"/>
      <c r="R84" s="2742" t="s">
        <v>222</v>
      </c>
      <c r="S84" s="2374"/>
      <c r="T84" s="2374"/>
      <c r="U84" s="2374"/>
      <c r="V84" s="2375"/>
      <c r="W84" s="2561"/>
      <c r="X84" s="2750"/>
      <c r="Y84" s="2686" t="s">
        <v>151</v>
      </c>
      <c r="Z84" s="2686"/>
      <c r="AA84" s="2687"/>
      <c r="AB84" s="2738"/>
      <c r="AC84" s="2738"/>
      <c r="AD84" s="2738"/>
      <c r="AE84" s="2738"/>
      <c r="AF84" s="2738"/>
      <c r="AG84" s="2738"/>
      <c r="AH84" s="2738"/>
      <c r="AI84" s="2739"/>
      <c r="AJ84" s="2684" t="s">
        <v>223</v>
      </c>
      <c r="AK84" s="2341"/>
      <c r="AL84" s="2341"/>
      <c r="AM84" s="2341"/>
      <c r="AN84" s="2341"/>
      <c r="AO84" s="2341"/>
      <c r="AP84" s="2641"/>
      <c r="AQ84" s="2562"/>
      <c r="AR84" s="2562"/>
      <c r="AS84" s="2562"/>
      <c r="AT84" s="2562"/>
      <c r="AU84" s="2718"/>
      <c r="AV84" s="2684" t="s">
        <v>224</v>
      </c>
      <c r="AW84" s="2341"/>
      <c r="AX84" s="2341"/>
      <c r="AY84" s="2341"/>
      <c r="AZ84" s="2341"/>
      <c r="BA84" s="2641"/>
      <c r="BB84" s="2562"/>
      <c r="BC84" s="2718"/>
      <c r="BD84" s="2693" t="s">
        <v>225</v>
      </c>
      <c r="BE84" s="2694"/>
      <c r="BF84" s="2694"/>
      <c r="BG84" s="2695"/>
      <c r="BH84" s="2559"/>
      <c r="BI84" s="2560"/>
      <c r="BJ84" s="2747" t="s">
        <v>800</v>
      </c>
      <c r="BK84" s="2747"/>
      <c r="BL84" s="2747"/>
      <c r="BM84" s="2747"/>
      <c r="BN84" s="2747"/>
      <c r="BO84" s="2747"/>
      <c r="BP84" s="2747"/>
      <c r="BQ84" s="2747"/>
      <c r="BR84" s="2690"/>
      <c r="BS84" s="2690"/>
      <c r="BT84" s="2747" t="s">
        <v>827</v>
      </c>
      <c r="BU84" s="2747"/>
      <c r="BV84" s="2747"/>
      <c r="BW84" s="2747"/>
      <c r="BX84" s="2747"/>
      <c r="BY84" s="2747"/>
      <c r="BZ84" s="2747"/>
      <c r="CA84" s="2747"/>
      <c r="CB84" s="2690"/>
      <c r="CC84" s="2690"/>
      <c r="CD84" s="4559"/>
      <c r="CE84" s="4560"/>
      <c r="CF84" s="4560"/>
      <c r="CG84" s="4560"/>
      <c r="CH84" s="4560"/>
      <c r="CI84" s="4560"/>
      <c r="CJ84" s="4560"/>
      <c r="CK84" s="4560"/>
      <c r="CL84" s="4560"/>
      <c r="CM84" s="4561"/>
      <c r="CN84" s="2856" t="s">
        <v>234</v>
      </c>
      <c r="CO84" s="2857"/>
      <c r="CP84" s="2857"/>
      <c r="CQ84" s="2857"/>
      <c r="CR84" s="2857"/>
      <c r="CS84" s="2857"/>
      <c r="CT84" s="2857"/>
      <c r="CU84" s="2833" t="s">
        <v>226</v>
      </c>
      <c r="CV84" s="2639"/>
      <c r="CW84" s="2639"/>
      <c r="CX84" s="2639"/>
      <c r="CY84" s="2640"/>
      <c r="CZ84" s="2690"/>
      <c r="DA84" s="2690"/>
      <c r="DB84" s="2870" t="s">
        <v>227</v>
      </c>
      <c r="DC84" s="2639"/>
      <c r="DD84" s="2639"/>
      <c r="DE84" s="2639"/>
      <c r="DF84" s="2640"/>
      <c r="DG84" s="2690"/>
      <c r="DH84" s="2690"/>
      <c r="DI84" s="2724"/>
      <c r="DJ84" s="2725"/>
      <c r="DK84" s="2725"/>
      <c r="DL84" s="2726"/>
    </row>
    <row r="85" spans="1:123" ht="7.5" customHeight="1">
      <c r="A85" s="44"/>
      <c r="B85" s="2509"/>
      <c r="C85" s="2374"/>
      <c r="D85" s="2374"/>
      <c r="E85" s="2374"/>
      <c r="F85" s="2374"/>
      <c r="G85" s="2375"/>
      <c r="H85" s="2561"/>
      <c r="I85" s="2750"/>
      <c r="J85" s="2374"/>
      <c r="K85" s="2374"/>
      <c r="L85" s="2374"/>
      <c r="M85" s="2375"/>
      <c r="N85" s="2734"/>
      <c r="O85" s="2734"/>
      <c r="P85" s="2734"/>
      <c r="Q85" s="2735"/>
      <c r="R85" s="2742"/>
      <c r="S85" s="2374"/>
      <c r="T85" s="2374"/>
      <c r="U85" s="2374"/>
      <c r="V85" s="2375"/>
      <c r="W85" s="2561"/>
      <c r="X85" s="2750"/>
      <c r="Y85" s="2686"/>
      <c r="Z85" s="2686"/>
      <c r="AA85" s="2687"/>
      <c r="AB85" s="2738"/>
      <c r="AC85" s="2738"/>
      <c r="AD85" s="2738"/>
      <c r="AE85" s="2738"/>
      <c r="AF85" s="2738"/>
      <c r="AG85" s="2738"/>
      <c r="AH85" s="2738"/>
      <c r="AI85" s="2739"/>
      <c r="AJ85" s="2684"/>
      <c r="AK85" s="2341"/>
      <c r="AL85" s="2341"/>
      <c r="AM85" s="2341"/>
      <c r="AN85" s="2341"/>
      <c r="AO85" s="2341"/>
      <c r="AP85" s="2641"/>
      <c r="AQ85" s="2562"/>
      <c r="AR85" s="2562"/>
      <c r="AS85" s="2562"/>
      <c r="AT85" s="2562"/>
      <c r="AU85" s="2718"/>
      <c r="AV85" s="2684"/>
      <c r="AW85" s="2341"/>
      <c r="AX85" s="2341"/>
      <c r="AY85" s="2341"/>
      <c r="AZ85" s="2341"/>
      <c r="BA85" s="2641"/>
      <c r="BB85" s="2562"/>
      <c r="BC85" s="2718"/>
      <c r="BD85" s="2693"/>
      <c r="BE85" s="2694"/>
      <c r="BF85" s="2694"/>
      <c r="BG85" s="2695"/>
      <c r="BH85" s="2561"/>
      <c r="BI85" s="2562"/>
      <c r="BJ85" s="2748"/>
      <c r="BK85" s="2748"/>
      <c r="BL85" s="2748"/>
      <c r="BM85" s="2748"/>
      <c r="BN85" s="2748"/>
      <c r="BO85" s="2748"/>
      <c r="BP85" s="2748"/>
      <c r="BQ85" s="2748"/>
      <c r="BR85" s="2691"/>
      <c r="BS85" s="2691"/>
      <c r="BT85" s="2748"/>
      <c r="BU85" s="2748"/>
      <c r="BV85" s="2748"/>
      <c r="BW85" s="2748"/>
      <c r="BX85" s="2748"/>
      <c r="BY85" s="2748"/>
      <c r="BZ85" s="2748"/>
      <c r="CA85" s="2748"/>
      <c r="CB85" s="2691"/>
      <c r="CC85" s="2691"/>
      <c r="CD85" s="4562"/>
      <c r="CE85" s="1484"/>
      <c r="CF85" s="1484"/>
      <c r="CG85" s="1484"/>
      <c r="CH85" s="1484"/>
      <c r="CI85" s="1484"/>
      <c r="CJ85" s="1484"/>
      <c r="CK85" s="1484"/>
      <c r="CL85" s="1484"/>
      <c r="CM85" s="4563"/>
      <c r="CN85" s="2858"/>
      <c r="CO85" s="2859"/>
      <c r="CP85" s="2859"/>
      <c r="CQ85" s="2859"/>
      <c r="CR85" s="2859"/>
      <c r="CS85" s="2859"/>
      <c r="CT85" s="2859"/>
      <c r="CU85" s="2340"/>
      <c r="CV85" s="2341"/>
      <c r="CW85" s="2341"/>
      <c r="CX85" s="2341"/>
      <c r="CY85" s="2641"/>
      <c r="CZ85" s="2691"/>
      <c r="DA85" s="2691"/>
      <c r="DB85" s="2684"/>
      <c r="DC85" s="2341"/>
      <c r="DD85" s="2341"/>
      <c r="DE85" s="2341"/>
      <c r="DF85" s="2641"/>
      <c r="DG85" s="2691"/>
      <c r="DH85" s="2691"/>
      <c r="DI85" s="2727"/>
      <c r="DJ85" s="2728"/>
      <c r="DK85" s="2728"/>
      <c r="DL85" s="2729"/>
    </row>
    <row r="86" spans="1:123" ht="7.5" customHeight="1" thickBot="1">
      <c r="A86" s="44"/>
      <c r="B86" s="2717"/>
      <c r="C86" s="2447"/>
      <c r="D86" s="2447"/>
      <c r="E86" s="2447"/>
      <c r="F86" s="2447"/>
      <c r="G86" s="2448"/>
      <c r="H86" s="2733"/>
      <c r="I86" s="2751"/>
      <c r="J86" s="2447"/>
      <c r="K86" s="2447"/>
      <c r="L86" s="2447"/>
      <c r="M86" s="2448"/>
      <c r="N86" s="2736"/>
      <c r="O86" s="2736"/>
      <c r="P86" s="2736"/>
      <c r="Q86" s="2737"/>
      <c r="R86" s="2743"/>
      <c r="S86" s="2447"/>
      <c r="T86" s="2447"/>
      <c r="U86" s="2447"/>
      <c r="V86" s="2448"/>
      <c r="W86" s="2733"/>
      <c r="X86" s="2751"/>
      <c r="Y86" s="2688"/>
      <c r="Z86" s="2688"/>
      <c r="AA86" s="2689"/>
      <c r="AB86" s="2740"/>
      <c r="AC86" s="2740"/>
      <c r="AD86" s="2740"/>
      <c r="AE86" s="2740"/>
      <c r="AF86" s="2740"/>
      <c r="AG86" s="2740"/>
      <c r="AH86" s="2740"/>
      <c r="AI86" s="2741"/>
      <c r="AJ86" s="2685"/>
      <c r="AK86" s="2642"/>
      <c r="AL86" s="2642"/>
      <c r="AM86" s="2642"/>
      <c r="AN86" s="2642"/>
      <c r="AO86" s="2642"/>
      <c r="AP86" s="2643"/>
      <c r="AQ86" s="2719"/>
      <c r="AR86" s="2719"/>
      <c r="AS86" s="2719"/>
      <c r="AT86" s="2719"/>
      <c r="AU86" s="2720"/>
      <c r="AV86" s="2685"/>
      <c r="AW86" s="2642"/>
      <c r="AX86" s="2642"/>
      <c r="AY86" s="2642"/>
      <c r="AZ86" s="2642"/>
      <c r="BA86" s="2643"/>
      <c r="BB86" s="2719"/>
      <c r="BC86" s="2720"/>
      <c r="BD86" s="2696"/>
      <c r="BE86" s="2697"/>
      <c r="BF86" s="2697"/>
      <c r="BG86" s="2698"/>
      <c r="BH86" s="2733"/>
      <c r="BI86" s="2719"/>
      <c r="BJ86" s="2749"/>
      <c r="BK86" s="2749"/>
      <c r="BL86" s="2749"/>
      <c r="BM86" s="2749"/>
      <c r="BN86" s="2749"/>
      <c r="BO86" s="2749"/>
      <c r="BP86" s="2749"/>
      <c r="BQ86" s="2749"/>
      <c r="BR86" s="2692"/>
      <c r="BS86" s="2692"/>
      <c r="BT86" s="2749"/>
      <c r="BU86" s="2749"/>
      <c r="BV86" s="2749"/>
      <c r="BW86" s="2749"/>
      <c r="BX86" s="2749"/>
      <c r="BY86" s="2749"/>
      <c r="BZ86" s="2749"/>
      <c r="CA86" s="2749"/>
      <c r="CB86" s="2692"/>
      <c r="CC86" s="2692"/>
      <c r="CD86" s="4564"/>
      <c r="CE86" s="4565"/>
      <c r="CF86" s="4565"/>
      <c r="CG86" s="4565"/>
      <c r="CH86" s="4565"/>
      <c r="CI86" s="4565"/>
      <c r="CJ86" s="4565"/>
      <c r="CK86" s="4565"/>
      <c r="CL86" s="4565"/>
      <c r="CM86" s="4566"/>
      <c r="CN86" s="2860"/>
      <c r="CO86" s="2861"/>
      <c r="CP86" s="2861"/>
      <c r="CQ86" s="2861"/>
      <c r="CR86" s="2861"/>
      <c r="CS86" s="2861"/>
      <c r="CT86" s="2861"/>
      <c r="CU86" s="2869"/>
      <c r="CV86" s="2642"/>
      <c r="CW86" s="2642"/>
      <c r="CX86" s="2642"/>
      <c r="CY86" s="2643"/>
      <c r="CZ86" s="2692"/>
      <c r="DA86" s="2692"/>
      <c r="DB86" s="2685"/>
      <c r="DC86" s="2642"/>
      <c r="DD86" s="2642"/>
      <c r="DE86" s="2642"/>
      <c r="DF86" s="2643"/>
      <c r="DG86" s="2692"/>
      <c r="DH86" s="2692"/>
      <c r="DI86" s="2730"/>
      <c r="DJ86" s="2731"/>
      <c r="DK86" s="2731"/>
      <c r="DL86" s="2732"/>
    </row>
    <row r="87" spans="1:123" ht="7.5" customHeight="1">
      <c r="A87" s="44"/>
      <c r="B87" s="2476" t="s">
        <v>1221</v>
      </c>
      <c r="C87" s="2457"/>
      <c r="D87" s="2457"/>
      <c r="E87" s="2457"/>
      <c r="F87" s="2457"/>
      <c r="G87" s="2457"/>
      <c r="H87" s="2457"/>
      <c r="I87" s="2457"/>
      <c r="J87" s="2479"/>
      <c r="K87" s="2479"/>
      <c r="L87" s="2457" t="s">
        <v>1397</v>
      </c>
      <c r="M87" s="2457"/>
      <c r="N87" s="2457"/>
      <c r="O87" s="2457"/>
      <c r="P87" s="2457"/>
      <c r="Q87" s="2457"/>
      <c r="R87" s="2457"/>
      <c r="S87" s="2457"/>
      <c r="T87" s="2457"/>
      <c r="U87" s="2457"/>
      <c r="V87" s="2457"/>
      <c r="W87" s="2459"/>
      <c r="X87" s="2459"/>
      <c r="Y87" s="2459"/>
      <c r="Z87" s="2459"/>
      <c r="AA87" s="2459"/>
      <c r="AB87" s="2459"/>
      <c r="AC87" s="2459"/>
      <c r="AD87" s="2459"/>
      <c r="AE87" s="2459"/>
      <c r="AF87" s="2459"/>
      <c r="AG87" s="2459"/>
      <c r="AH87" s="2459"/>
      <c r="AI87" s="2459"/>
      <c r="AJ87" s="2457" t="s">
        <v>1398</v>
      </c>
      <c r="AK87" s="2457"/>
      <c r="AL87" s="2457"/>
      <c r="AM87" s="2457"/>
      <c r="AN87" s="2457"/>
      <c r="AO87" s="2457"/>
      <c r="AP87" s="2457"/>
      <c r="AQ87" s="2457"/>
      <c r="AR87" s="2457"/>
      <c r="AS87" s="2457"/>
      <c r="AT87" s="2457"/>
      <c r="AU87" s="2457"/>
      <c r="AV87" s="2462"/>
      <c r="AW87" s="2462"/>
      <c r="AX87" s="2462"/>
      <c r="AY87" s="2462"/>
      <c r="AZ87" s="2462"/>
      <c r="BA87" s="2462"/>
      <c r="BB87" s="2462"/>
      <c r="BC87" s="2462"/>
      <c r="BD87" s="2462"/>
      <c r="BE87" s="2462"/>
      <c r="BF87" s="2462"/>
      <c r="BG87" s="2462"/>
      <c r="BH87" s="2462"/>
      <c r="BI87" s="2462"/>
      <c r="BJ87" s="2462"/>
      <c r="BK87" s="2462"/>
      <c r="BL87" s="2462"/>
      <c r="BM87" s="2462"/>
      <c r="BN87" s="2462"/>
      <c r="BO87" s="2462"/>
      <c r="BP87" s="2462"/>
      <c r="BQ87" s="2462"/>
      <c r="BR87" s="2462"/>
      <c r="BS87" s="2462"/>
      <c r="BT87" s="2457" t="s">
        <v>1399</v>
      </c>
      <c r="BU87" s="2457"/>
      <c r="BV87" s="2457"/>
      <c r="BW87" s="2457"/>
      <c r="BX87" s="2457"/>
      <c r="BY87" s="2457"/>
      <c r="BZ87" s="2457"/>
      <c r="CA87" s="2457"/>
      <c r="CB87" s="2457"/>
      <c r="CC87" s="2457"/>
      <c r="CD87" s="2465"/>
      <c r="CE87" s="2466"/>
      <c r="CF87" s="2466"/>
      <c r="CG87" s="2466"/>
      <c r="CH87" s="2466"/>
      <c r="CI87" s="2466"/>
      <c r="CJ87" s="2466"/>
      <c r="CK87" s="2466"/>
      <c r="CL87" s="2466"/>
      <c r="CM87" s="2466"/>
      <c r="CN87" s="2466"/>
      <c r="CO87" s="2466"/>
      <c r="CP87" s="2466"/>
      <c r="CQ87" s="2466"/>
      <c r="CR87" s="2466"/>
      <c r="CS87" s="2466"/>
      <c r="CT87" s="2466"/>
      <c r="CU87" s="2466"/>
      <c r="CV87" s="2466"/>
      <c r="CW87" s="2466"/>
      <c r="CX87" s="2466"/>
      <c r="CY87" s="2466"/>
      <c r="CZ87" s="2466"/>
      <c r="DA87" s="2466"/>
      <c r="DB87" s="4372"/>
      <c r="DC87" s="4372"/>
      <c r="DD87" s="4372"/>
      <c r="DE87" s="4372"/>
      <c r="DF87" s="4372"/>
      <c r="DG87" s="4372"/>
      <c r="DH87" s="4372"/>
      <c r="DI87" s="4372"/>
      <c r="DJ87" s="4372"/>
      <c r="DK87" s="4372"/>
      <c r="DL87" s="4372"/>
    </row>
    <row r="88" spans="1:123" ht="7.5" customHeight="1">
      <c r="A88" s="44"/>
      <c r="B88" s="2477"/>
      <c r="C88" s="2374"/>
      <c r="D88" s="2374"/>
      <c r="E88" s="2374"/>
      <c r="F88" s="2374"/>
      <c r="G88" s="2374"/>
      <c r="H88" s="2374"/>
      <c r="I88" s="2374"/>
      <c r="J88" s="2480"/>
      <c r="K88" s="2480"/>
      <c r="L88" s="2374"/>
      <c r="M88" s="2374"/>
      <c r="N88" s="2374"/>
      <c r="O88" s="2374"/>
      <c r="P88" s="2374"/>
      <c r="Q88" s="2374"/>
      <c r="R88" s="2374"/>
      <c r="S88" s="2374"/>
      <c r="T88" s="2374"/>
      <c r="U88" s="2374"/>
      <c r="V88" s="2374"/>
      <c r="W88" s="2460"/>
      <c r="X88" s="2460"/>
      <c r="Y88" s="2460"/>
      <c r="Z88" s="2460"/>
      <c r="AA88" s="2460"/>
      <c r="AB88" s="2460"/>
      <c r="AC88" s="2460"/>
      <c r="AD88" s="2460"/>
      <c r="AE88" s="2460"/>
      <c r="AF88" s="2460"/>
      <c r="AG88" s="2460"/>
      <c r="AH88" s="2460"/>
      <c r="AI88" s="2460"/>
      <c r="AJ88" s="2374"/>
      <c r="AK88" s="2374"/>
      <c r="AL88" s="2374"/>
      <c r="AM88" s="2374"/>
      <c r="AN88" s="2374"/>
      <c r="AO88" s="2374"/>
      <c r="AP88" s="2374"/>
      <c r="AQ88" s="2374"/>
      <c r="AR88" s="2374"/>
      <c r="AS88" s="2374"/>
      <c r="AT88" s="2374"/>
      <c r="AU88" s="2374"/>
      <c r="AV88" s="2463"/>
      <c r="AW88" s="2463"/>
      <c r="AX88" s="2463"/>
      <c r="AY88" s="2463"/>
      <c r="AZ88" s="2463"/>
      <c r="BA88" s="2463"/>
      <c r="BB88" s="2463"/>
      <c r="BC88" s="2463"/>
      <c r="BD88" s="2463"/>
      <c r="BE88" s="2463"/>
      <c r="BF88" s="2463"/>
      <c r="BG88" s="2463"/>
      <c r="BH88" s="2463"/>
      <c r="BI88" s="2463"/>
      <c r="BJ88" s="2463"/>
      <c r="BK88" s="2463"/>
      <c r="BL88" s="2463"/>
      <c r="BM88" s="2463"/>
      <c r="BN88" s="2463"/>
      <c r="BO88" s="2463"/>
      <c r="BP88" s="2463"/>
      <c r="BQ88" s="2463"/>
      <c r="BR88" s="2463"/>
      <c r="BS88" s="2463"/>
      <c r="BT88" s="2374"/>
      <c r="BU88" s="2374"/>
      <c r="BV88" s="2374"/>
      <c r="BW88" s="2374"/>
      <c r="BX88" s="2374"/>
      <c r="BY88" s="2374"/>
      <c r="BZ88" s="2374"/>
      <c r="CA88" s="2374"/>
      <c r="CB88" s="2374"/>
      <c r="CC88" s="2374"/>
      <c r="CD88" s="2467"/>
      <c r="CE88" s="2467"/>
      <c r="CF88" s="2467"/>
      <c r="CG88" s="2467"/>
      <c r="CH88" s="2467"/>
      <c r="CI88" s="2467"/>
      <c r="CJ88" s="2467"/>
      <c r="CK88" s="2467"/>
      <c r="CL88" s="2467"/>
      <c r="CM88" s="2467"/>
      <c r="CN88" s="2467"/>
      <c r="CO88" s="2467"/>
      <c r="CP88" s="2467"/>
      <c r="CQ88" s="2467"/>
      <c r="CR88" s="2467"/>
      <c r="CS88" s="2467"/>
      <c r="CT88" s="2467"/>
      <c r="CU88" s="2467"/>
      <c r="CV88" s="2467"/>
      <c r="CW88" s="2467"/>
      <c r="CX88" s="2467"/>
      <c r="CY88" s="2467"/>
      <c r="CZ88" s="2467"/>
      <c r="DA88" s="2467"/>
      <c r="DB88" s="3079"/>
      <c r="DC88" s="3079"/>
      <c r="DD88" s="3079"/>
      <c r="DE88" s="3079"/>
      <c r="DF88" s="3079"/>
      <c r="DG88" s="3079"/>
      <c r="DH88" s="3079"/>
      <c r="DI88" s="3079"/>
      <c r="DJ88" s="3079"/>
      <c r="DK88" s="3079"/>
      <c r="DL88" s="3079"/>
    </row>
    <row r="89" spans="1:123" ht="7.5" customHeight="1" thickBot="1">
      <c r="A89" s="44"/>
      <c r="B89" s="2478"/>
      <c r="C89" s="2458"/>
      <c r="D89" s="2458"/>
      <c r="E89" s="2458"/>
      <c r="F89" s="2458"/>
      <c r="G89" s="2458"/>
      <c r="H89" s="2458"/>
      <c r="I89" s="2458"/>
      <c r="J89" s="2481"/>
      <c r="K89" s="2481"/>
      <c r="L89" s="2458"/>
      <c r="M89" s="2458"/>
      <c r="N89" s="2458"/>
      <c r="O89" s="2458"/>
      <c r="P89" s="2458"/>
      <c r="Q89" s="2458"/>
      <c r="R89" s="2458"/>
      <c r="S89" s="2458"/>
      <c r="T89" s="2458"/>
      <c r="U89" s="2458"/>
      <c r="V89" s="2458"/>
      <c r="W89" s="2461"/>
      <c r="X89" s="2461"/>
      <c r="Y89" s="2461"/>
      <c r="Z89" s="2461"/>
      <c r="AA89" s="2461"/>
      <c r="AB89" s="2461"/>
      <c r="AC89" s="2461"/>
      <c r="AD89" s="2461"/>
      <c r="AE89" s="2461"/>
      <c r="AF89" s="2461"/>
      <c r="AG89" s="2461"/>
      <c r="AH89" s="2461"/>
      <c r="AI89" s="2461"/>
      <c r="AJ89" s="2458"/>
      <c r="AK89" s="2458"/>
      <c r="AL89" s="2458"/>
      <c r="AM89" s="2458"/>
      <c r="AN89" s="2458"/>
      <c r="AO89" s="2458"/>
      <c r="AP89" s="2458"/>
      <c r="AQ89" s="2458"/>
      <c r="AR89" s="2458"/>
      <c r="AS89" s="2458"/>
      <c r="AT89" s="2458"/>
      <c r="AU89" s="2458"/>
      <c r="AV89" s="2464"/>
      <c r="AW89" s="2464"/>
      <c r="AX89" s="2464"/>
      <c r="AY89" s="2464"/>
      <c r="AZ89" s="2464"/>
      <c r="BA89" s="2464"/>
      <c r="BB89" s="2464"/>
      <c r="BC89" s="2464"/>
      <c r="BD89" s="2464"/>
      <c r="BE89" s="2464"/>
      <c r="BF89" s="2464"/>
      <c r="BG89" s="2464"/>
      <c r="BH89" s="2464"/>
      <c r="BI89" s="2464"/>
      <c r="BJ89" s="2464"/>
      <c r="BK89" s="2464"/>
      <c r="BL89" s="2464"/>
      <c r="BM89" s="2464"/>
      <c r="BN89" s="2464"/>
      <c r="BO89" s="2464"/>
      <c r="BP89" s="2464"/>
      <c r="BQ89" s="2464"/>
      <c r="BR89" s="2464"/>
      <c r="BS89" s="2464"/>
      <c r="BT89" s="2458"/>
      <c r="BU89" s="2458"/>
      <c r="BV89" s="2458"/>
      <c r="BW89" s="2458"/>
      <c r="BX89" s="2458"/>
      <c r="BY89" s="2458"/>
      <c r="BZ89" s="2458"/>
      <c r="CA89" s="2458"/>
      <c r="CB89" s="2458"/>
      <c r="CC89" s="2458"/>
      <c r="CD89" s="2468"/>
      <c r="CE89" s="2468"/>
      <c r="CF89" s="2468"/>
      <c r="CG89" s="2468"/>
      <c r="CH89" s="2468"/>
      <c r="CI89" s="2468"/>
      <c r="CJ89" s="2468"/>
      <c r="CK89" s="2468"/>
      <c r="CL89" s="2468"/>
      <c r="CM89" s="2468"/>
      <c r="CN89" s="2468"/>
      <c r="CO89" s="2468"/>
      <c r="CP89" s="2468"/>
      <c r="CQ89" s="2468"/>
      <c r="CR89" s="2468"/>
      <c r="CS89" s="2468"/>
      <c r="CT89" s="2468"/>
      <c r="CU89" s="2468"/>
      <c r="CV89" s="2468"/>
      <c r="CW89" s="2468"/>
      <c r="CX89" s="2468"/>
      <c r="CY89" s="2468"/>
      <c r="CZ89" s="2468"/>
      <c r="DA89" s="2468"/>
      <c r="DB89" s="4373"/>
      <c r="DC89" s="4373"/>
      <c r="DD89" s="4373"/>
      <c r="DE89" s="4373"/>
      <c r="DF89" s="4373"/>
      <c r="DG89" s="4373"/>
      <c r="DH89" s="4373"/>
      <c r="DI89" s="4373"/>
      <c r="DJ89" s="4373"/>
      <c r="DK89" s="4373"/>
      <c r="DL89" s="4373"/>
    </row>
    <row r="90" spans="1:123" ht="6" customHeight="1" thickBot="1">
      <c r="A90" s="48"/>
      <c r="B90" s="54"/>
      <c r="C90" s="54"/>
      <c r="D90" s="54"/>
      <c r="E90" s="54"/>
      <c r="F90" s="54"/>
      <c r="G90" s="55"/>
      <c r="H90" s="55"/>
      <c r="I90" s="55"/>
      <c r="J90" s="103"/>
      <c r="K90" s="103"/>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4"/>
      <c r="DK90" s="44"/>
      <c r="DL90" s="44"/>
      <c r="DR90" s="109"/>
    </row>
    <row r="91" spans="1:123" ht="13.5" customHeight="1" thickTop="1">
      <c r="A91" s="48"/>
      <c r="B91" s="4278" t="s">
        <v>196</v>
      </c>
      <c r="C91" s="4279"/>
      <c r="D91" s="4279"/>
      <c r="E91" s="4279"/>
      <c r="F91" s="4279"/>
      <c r="G91" s="4279"/>
      <c r="H91" s="4279"/>
      <c r="I91" s="4279"/>
      <c r="J91" s="4279"/>
      <c r="K91" s="4279"/>
      <c r="L91" s="4279"/>
      <c r="M91" s="4279"/>
      <c r="N91" s="4279"/>
      <c r="O91" s="4279"/>
      <c r="P91" s="4279"/>
      <c r="Q91" s="4279"/>
      <c r="R91" s="4279"/>
      <c r="S91" s="4279"/>
      <c r="T91" s="4279"/>
      <c r="U91" s="4279"/>
      <c r="V91" s="4279"/>
      <c r="W91" s="4279"/>
      <c r="X91" s="4280"/>
      <c r="Y91" s="4261" t="s">
        <v>1202</v>
      </c>
      <c r="Z91" s="3996"/>
      <c r="AA91" s="3996"/>
      <c r="AB91" s="3996"/>
      <c r="AC91" s="3996"/>
      <c r="AD91" s="3996"/>
      <c r="AE91" s="3996"/>
      <c r="AF91" s="3996"/>
      <c r="AG91" s="3996"/>
      <c r="AH91" s="3996"/>
      <c r="AI91" s="3996"/>
      <c r="AJ91" s="3996"/>
      <c r="AK91" s="3996"/>
      <c r="AL91" s="3996"/>
      <c r="AM91" s="3996"/>
      <c r="AN91" s="3996"/>
      <c r="AO91" s="3996"/>
      <c r="AP91" s="3996"/>
      <c r="AQ91" s="3996"/>
      <c r="AR91" s="3996"/>
      <c r="AS91" s="3996"/>
      <c r="AT91" s="3996"/>
      <c r="AU91" s="3996"/>
      <c r="AV91" s="3996"/>
      <c r="AW91" s="4262"/>
      <c r="AX91" s="4265"/>
      <c r="AY91" s="4266"/>
      <c r="AZ91" s="4266"/>
      <c r="BA91" s="4266"/>
      <c r="BB91" s="4266"/>
      <c r="BC91" s="4266"/>
      <c r="BD91" s="4266"/>
      <c r="BE91" s="4266"/>
      <c r="BF91" s="4266"/>
      <c r="BG91" s="4266"/>
      <c r="BH91" s="4266"/>
      <c r="BI91" s="4266"/>
      <c r="BJ91" s="4266"/>
      <c r="BK91" s="4267"/>
      <c r="BL91" s="3996" t="s">
        <v>1201</v>
      </c>
      <c r="BM91" s="3996"/>
      <c r="BN91" s="3996"/>
      <c r="BO91" s="4271"/>
      <c r="BP91" s="4273"/>
      <c r="BQ91" s="3025"/>
      <c r="BR91" s="3025"/>
      <c r="BS91" s="3025"/>
      <c r="BT91" s="3025"/>
      <c r="BU91" s="3025"/>
      <c r="BV91" s="3025"/>
      <c r="BW91" s="3025"/>
      <c r="BX91" s="3025"/>
      <c r="BY91" s="3025"/>
      <c r="BZ91" s="3025"/>
      <c r="CA91" s="3025"/>
      <c r="CB91" s="3025"/>
      <c r="CC91" s="3025"/>
      <c r="CD91" s="3025"/>
      <c r="CE91" s="3025"/>
      <c r="CF91" s="3025"/>
      <c r="CG91" s="3025"/>
      <c r="CH91" s="3025"/>
      <c r="CI91" s="3025"/>
      <c r="CJ91" s="3025"/>
      <c r="CK91" s="3025"/>
      <c r="CL91" s="3025"/>
      <c r="CM91" s="3025"/>
      <c r="CN91" s="3025"/>
      <c r="CO91" s="3026"/>
      <c r="CP91" s="4423" t="s">
        <v>641</v>
      </c>
      <c r="CQ91" s="4424"/>
      <c r="CR91" s="4424"/>
      <c r="CS91" s="4424"/>
      <c r="CT91" s="4424"/>
      <c r="CU91" s="4424"/>
      <c r="CV91" s="4424"/>
      <c r="CW91" s="4424"/>
      <c r="CX91" s="4424"/>
      <c r="CY91" s="4424"/>
      <c r="CZ91" s="4424"/>
      <c r="DA91" s="4424"/>
      <c r="DB91" s="4424"/>
      <c r="DC91" s="4424"/>
      <c r="DD91" s="4424"/>
      <c r="DE91" s="4424"/>
      <c r="DF91" s="4424"/>
      <c r="DG91" s="4424"/>
      <c r="DH91" s="4424"/>
      <c r="DI91" s="4424"/>
      <c r="DJ91" s="4424"/>
      <c r="DK91" s="4424"/>
      <c r="DL91" s="4425"/>
      <c r="DS91" s="109"/>
    </row>
    <row r="92" spans="1:123" ht="13.5" customHeight="1" thickBot="1">
      <c r="A92" s="48"/>
      <c r="B92" s="4248" t="s">
        <v>576</v>
      </c>
      <c r="C92" s="4249"/>
      <c r="D92" s="4249"/>
      <c r="E92" s="4249"/>
      <c r="F92" s="4249"/>
      <c r="G92" s="4249"/>
      <c r="H92" s="4249"/>
      <c r="I92" s="4249"/>
      <c r="J92" s="4276" t="s">
        <v>577</v>
      </c>
      <c r="K92" s="4276"/>
      <c r="L92" s="4276"/>
      <c r="M92" s="4276"/>
      <c r="N92" s="4276"/>
      <c r="O92" s="4276"/>
      <c r="P92" s="4276"/>
      <c r="Q92" s="4276"/>
      <c r="R92" s="4276"/>
      <c r="S92" s="4276"/>
      <c r="T92" s="4276"/>
      <c r="U92" s="4276"/>
      <c r="V92" s="4276"/>
      <c r="W92" s="4276"/>
      <c r="X92" s="4277"/>
      <c r="Y92" s="4263"/>
      <c r="Z92" s="3998"/>
      <c r="AA92" s="3998"/>
      <c r="AB92" s="3998"/>
      <c r="AC92" s="3998"/>
      <c r="AD92" s="3998"/>
      <c r="AE92" s="3998"/>
      <c r="AF92" s="3998"/>
      <c r="AG92" s="3998"/>
      <c r="AH92" s="3998"/>
      <c r="AI92" s="3998"/>
      <c r="AJ92" s="3998"/>
      <c r="AK92" s="3998"/>
      <c r="AL92" s="3998"/>
      <c r="AM92" s="3998"/>
      <c r="AN92" s="3998"/>
      <c r="AO92" s="3998"/>
      <c r="AP92" s="3998"/>
      <c r="AQ92" s="3998"/>
      <c r="AR92" s="3998"/>
      <c r="AS92" s="3998"/>
      <c r="AT92" s="3998"/>
      <c r="AU92" s="3998"/>
      <c r="AV92" s="3998"/>
      <c r="AW92" s="4264"/>
      <c r="AX92" s="4268"/>
      <c r="AY92" s="4269"/>
      <c r="AZ92" s="4269"/>
      <c r="BA92" s="4269"/>
      <c r="BB92" s="4269"/>
      <c r="BC92" s="4269"/>
      <c r="BD92" s="4269"/>
      <c r="BE92" s="4269"/>
      <c r="BF92" s="4269"/>
      <c r="BG92" s="4269"/>
      <c r="BH92" s="4269"/>
      <c r="BI92" s="4269"/>
      <c r="BJ92" s="4269"/>
      <c r="BK92" s="4270"/>
      <c r="BL92" s="3998"/>
      <c r="BM92" s="3998"/>
      <c r="BN92" s="3998"/>
      <c r="BO92" s="4272"/>
      <c r="BP92" s="4274"/>
      <c r="BQ92" s="3034"/>
      <c r="BR92" s="3034"/>
      <c r="BS92" s="3034"/>
      <c r="BT92" s="3034"/>
      <c r="BU92" s="3034"/>
      <c r="BV92" s="3034"/>
      <c r="BW92" s="3034"/>
      <c r="BX92" s="3034"/>
      <c r="BY92" s="3034"/>
      <c r="BZ92" s="3034"/>
      <c r="CA92" s="3034"/>
      <c r="CB92" s="3034"/>
      <c r="CC92" s="3034"/>
      <c r="CD92" s="3034"/>
      <c r="CE92" s="3034"/>
      <c r="CF92" s="3034"/>
      <c r="CG92" s="3034"/>
      <c r="CH92" s="3034"/>
      <c r="CI92" s="3034"/>
      <c r="CJ92" s="3034"/>
      <c r="CK92" s="3034"/>
      <c r="CL92" s="3034"/>
      <c r="CM92" s="3034"/>
      <c r="CN92" s="3034"/>
      <c r="CO92" s="4275"/>
      <c r="CP92" s="4220" t="s">
        <v>750</v>
      </c>
      <c r="CQ92" s="4221"/>
      <c r="CR92" s="4221"/>
      <c r="CS92" s="4221"/>
      <c r="CT92" s="4221"/>
      <c r="CU92" s="4221"/>
      <c r="CV92" s="4221"/>
      <c r="CW92" s="4221"/>
      <c r="CX92" s="4221"/>
      <c r="CY92" s="4221"/>
      <c r="CZ92" s="4221"/>
      <c r="DA92" s="4221"/>
      <c r="DB92" s="4221"/>
      <c r="DC92" s="4221"/>
      <c r="DD92" s="4221"/>
      <c r="DE92" s="4221"/>
      <c r="DF92" s="4221"/>
      <c r="DG92" s="4221"/>
      <c r="DH92" s="4221"/>
      <c r="DI92" s="4221"/>
      <c r="DJ92" s="4221"/>
      <c r="DK92" s="4221"/>
      <c r="DL92" s="4222"/>
      <c r="DS92" s="109"/>
    </row>
    <row r="93" spans="1:123" ht="15" hidden="1" customHeight="1">
      <c r="A93" s="48"/>
      <c r="B93" s="4255" t="s">
        <v>196</v>
      </c>
      <c r="C93" s="4256"/>
      <c r="D93" s="4256"/>
      <c r="E93" s="4256"/>
      <c r="F93" s="4256"/>
      <c r="G93" s="4256"/>
      <c r="H93" s="4256"/>
      <c r="I93" s="4256"/>
      <c r="J93" s="4257"/>
      <c r="K93" s="4250"/>
      <c r="L93" s="4251"/>
      <c r="M93" s="4251"/>
      <c r="N93" s="4251"/>
      <c r="O93" s="4251"/>
      <c r="P93" s="4251"/>
      <c r="Q93" s="4251"/>
      <c r="R93" s="4251"/>
      <c r="S93" s="4251"/>
      <c r="T93" s="4251"/>
      <c r="U93" s="4251"/>
      <c r="V93" s="4251"/>
      <c r="W93" s="4251"/>
      <c r="X93" s="4251"/>
      <c r="Y93" s="4251"/>
      <c r="Z93" s="4251"/>
      <c r="AA93" s="4251"/>
      <c r="AB93" s="4251"/>
      <c r="AC93" s="4251"/>
      <c r="AD93" s="4251"/>
      <c r="AE93" s="4251"/>
      <c r="AF93" s="4251"/>
      <c r="AG93" s="4251"/>
      <c r="AH93" s="4251"/>
      <c r="AI93" s="4251"/>
      <c r="AJ93" s="4251"/>
      <c r="AK93" s="4252"/>
      <c r="AL93" s="4543"/>
      <c r="AM93" s="4544"/>
      <c r="AN93" s="4544"/>
      <c r="AO93" s="4544"/>
      <c r="AP93" s="4544"/>
      <c r="AQ93" s="4544"/>
      <c r="AR93" s="4544"/>
      <c r="AS93" s="4544"/>
      <c r="AT93" s="4544"/>
      <c r="AU93" s="4544"/>
      <c r="AV93" s="4544"/>
      <c r="AW93" s="4544"/>
      <c r="AX93" s="4544"/>
      <c r="AY93" s="4544"/>
      <c r="AZ93" s="4544"/>
      <c r="BA93" s="4544"/>
      <c r="BB93" s="4544"/>
      <c r="BC93" s="4544"/>
      <c r="BD93" s="4544"/>
      <c r="BE93" s="4544"/>
      <c r="BF93" s="4544"/>
      <c r="BG93" s="4544"/>
      <c r="BH93" s="4544"/>
      <c r="BI93" s="4544"/>
      <c r="BJ93" s="4544"/>
      <c r="BK93" s="4544"/>
      <c r="BL93" s="4544"/>
      <c r="BM93" s="4544"/>
      <c r="BN93" s="4544"/>
      <c r="BO93" s="4544"/>
      <c r="BP93" s="4544"/>
      <c r="BQ93" s="4544"/>
      <c r="BR93" s="4544"/>
      <c r="BS93" s="4544"/>
      <c r="BT93" s="4544"/>
      <c r="BU93" s="4544"/>
      <c r="BV93" s="4544"/>
      <c r="BW93" s="4544"/>
      <c r="BX93" s="4544"/>
      <c r="BY93" s="4544"/>
      <c r="BZ93" s="4544"/>
      <c r="CA93" s="4544"/>
      <c r="CB93" s="4544"/>
      <c r="CC93" s="4544"/>
      <c r="CD93" s="4544"/>
      <c r="CE93" s="4544"/>
      <c r="CF93" s="4544"/>
      <c r="CG93" s="4544"/>
      <c r="CH93" s="4544"/>
      <c r="CI93" s="4544"/>
      <c r="CJ93" s="4544"/>
      <c r="CK93" s="4544"/>
      <c r="CL93" s="4544"/>
      <c r="CM93" s="4544"/>
      <c r="CN93" s="4544"/>
      <c r="CO93" s="4544"/>
      <c r="CP93" s="4544"/>
      <c r="CQ93" s="4544"/>
      <c r="CR93" s="4544"/>
      <c r="CS93" s="4544"/>
      <c r="CT93" s="4544"/>
      <c r="CU93" s="4544"/>
      <c r="CV93" s="4544"/>
      <c r="CW93" s="4544"/>
      <c r="CX93" s="4544"/>
      <c r="CY93" s="4544"/>
      <c r="CZ93" s="4544"/>
      <c r="DA93" s="4544"/>
      <c r="DB93" s="4544"/>
      <c r="DC93" s="4544"/>
      <c r="DD93" s="4544"/>
      <c r="DE93" s="4544"/>
      <c r="DF93" s="4544"/>
      <c r="DG93" s="4544"/>
      <c r="DH93" s="4544"/>
      <c r="DI93" s="4544"/>
      <c r="DJ93" s="4544"/>
      <c r="DK93" s="4544"/>
      <c r="DL93" s="4544"/>
      <c r="DS93" s="109"/>
    </row>
    <row r="94" spans="1:123" ht="15" hidden="1" customHeight="1" thickBot="1">
      <c r="A94" s="48"/>
      <c r="B94" s="4258"/>
      <c r="C94" s="4259"/>
      <c r="D94" s="4259"/>
      <c r="E94" s="4259"/>
      <c r="F94" s="4259"/>
      <c r="G94" s="4259"/>
      <c r="H94" s="4259"/>
      <c r="I94" s="4259"/>
      <c r="J94" s="4260"/>
      <c r="K94" s="4537" t="s">
        <v>889</v>
      </c>
      <c r="L94" s="4538"/>
      <c r="M94" s="4538"/>
      <c r="N94" s="4538"/>
      <c r="O94" s="4539"/>
      <c r="P94" s="4540"/>
      <c r="Q94" s="4541"/>
      <c r="R94" s="4541"/>
      <c r="S94" s="4541"/>
      <c r="T94" s="4541"/>
      <c r="U94" s="4541"/>
      <c r="V94" s="4541"/>
      <c r="W94" s="4541"/>
      <c r="X94" s="4541"/>
      <c r="Y94" s="4541"/>
      <c r="Z94" s="4541"/>
      <c r="AA94" s="4541"/>
      <c r="AB94" s="4541"/>
      <c r="AC94" s="4541"/>
      <c r="AD94" s="4541"/>
      <c r="AE94" s="4541"/>
      <c r="AF94" s="4541"/>
      <c r="AG94" s="4541"/>
      <c r="AH94" s="4541"/>
      <c r="AI94" s="4541"/>
      <c r="AJ94" s="4541"/>
      <c r="AK94" s="4542"/>
      <c r="AL94" s="4545"/>
      <c r="AM94" s="4546"/>
      <c r="AN94" s="4546"/>
      <c r="AO94" s="4546"/>
      <c r="AP94" s="4546"/>
      <c r="AQ94" s="4546"/>
      <c r="AR94" s="4546"/>
      <c r="AS94" s="4546"/>
      <c r="AT94" s="4546"/>
      <c r="AU94" s="4546"/>
      <c r="AV94" s="4546"/>
      <c r="AW94" s="4546"/>
      <c r="AX94" s="4546"/>
      <c r="AY94" s="4546"/>
      <c r="AZ94" s="4546"/>
      <c r="BA94" s="4546"/>
      <c r="BB94" s="4546"/>
      <c r="BC94" s="4546"/>
      <c r="BD94" s="4546"/>
      <c r="BE94" s="4546"/>
      <c r="BF94" s="4546"/>
      <c r="BG94" s="4546"/>
      <c r="BH94" s="4546"/>
      <c r="BI94" s="4546"/>
      <c r="BJ94" s="4546"/>
      <c r="BK94" s="4546"/>
      <c r="BL94" s="4546"/>
      <c r="BM94" s="4546"/>
      <c r="BN94" s="4546"/>
      <c r="BO94" s="4546"/>
      <c r="BP94" s="4546"/>
      <c r="BQ94" s="4546"/>
      <c r="BR94" s="4546"/>
      <c r="BS94" s="4546"/>
      <c r="BT94" s="4546"/>
      <c r="BU94" s="4546"/>
      <c r="BV94" s="4546"/>
      <c r="BW94" s="4546"/>
      <c r="BX94" s="4546"/>
      <c r="BY94" s="4546"/>
      <c r="BZ94" s="4546"/>
      <c r="CA94" s="4546"/>
      <c r="CB94" s="4546"/>
      <c r="CC94" s="4546"/>
      <c r="CD94" s="4546"/>
      <c r="CE94" s="4546"/>
      <c r="CF94" s="4546"/>
      <c r="CG94" s="4546"/>
      <c r="CH94" s="4546"/>
      <c r="CI94" s="4546"/>
      <c r="CJ94" s="4546"/>
      <c r="CK94" s="4546"/>
      <c r="CL94" s="4546"/>
      <c r="CM94" s="4546"/>
      <c r="CN94" s="4546"/>
      <c r="CO94" s="4546"/>
      <c r="CP94" s="4546"/>
      <c r="CQ94" s="4546"/>
      <c r="CR94" s="4546"/>
      <c r="CS94" s="4546"/>
      <c r="CT94" s="4546"/>
      <c r="CU94" s="4546"/>
      <c r="CV94" s="4546"/>
      <c r="CW94" s="4546"/>
      <c r="CX94" s="4546"/>
      <c r="CY94" s="4546"/>
      <c r="CZ94" s="4546"/>
      <c r="DA94" s="4546"/>
      <c r="DB94" s="4546"/>
      <c r="DC94" s="4546"/>
      <c r="DD94" s="4546"/>
      <c r="DE94" s="4546"/>
      <c r="DF94" s="4546"/>
      <c r="DG94" s="4546"/>
      <c r="DH94" s="4546"/>
      <c r="DI94" s="4546"/>
      <c r="DJ94" s="4546"/>
      <c r="DK94" s="4546"/>
      <c r="DL94" s="4546"/>
      <c r="DS94" s="109"/>
    </row>
    <row r="95" spans="1:123" ht="6" customHeight="1" thickTop="1" thickBot="1">
      <c r="A95" s="48"/>
      <c r="B95" s="54"/>
      <c r="C95" s="54"/>
      <c r="D95" s="54"/>
      <c r="E95" s="54"/>
      <c r="F95" s="54"/>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4"/>
      <c r="DK95" s="44"/>
      <c r="DL95" s="44"/>
      <c r="DR95" s="109"/>
    </row>
    <row r="96" spans="1:123" ht="8.25" customHeight="1">
      <c r="A96" s="48"/>
      <c r="B96" s="2647" t="s">
        <v>187</v>
      </c>
      <c r="C96" s="2648"/>
      <c r="D96" s="2648"/>
      <c r="E96" s="2648"/>
      <c r="F96" s="2648"/>
      <c r="G96" s="2648"/>
      <c r="H96" s="2648"/>
      <c r="I96" s="2648"/>
      <c r="J96" s="2648"/>
      <c r="K96" s="2648"/>
      <c r="L96" s="2648"/>
      <c r="M96" s="2648"/>
      <c r="N96" s="2648"/>
      <c r="O96" s="2648"/>
      <c r="P96" s="2648"/>
      <c r="Q96" s="2648"/>
      <c r="R96" s="2648"/>
      <c r="S96" s="2648"/>
      <c r="T96" s="2648"/>
      <c r="U96" s="2648"/>
      <c r="V96" s="2648"/>
      <c r="W96" s="2648"/>
      <c r="X96" s="2648"/>
      <c r="Y96" s="2648"/>
      <c r="Z96" s="2985" t="s">
        <v>257</v>
      </c>
      <c r="AA96" s="2985"/>
      <c r="AB96" s="2985"/>
      <c r="AC96" s="2985"/>
      <c r="AD96" s="2985"/>
      <c r="AE96" s="2985"/>
      <c r="AF96" s="2985"/>
      <c r="AG96" s="2985"/>
      <c r="AH96" s="2985"/>
      <c r="AI96" s="2985"/>
      <c r="AJ96" s="2985"/>
      <c r="AK96" s="2985"/>
      <c r="AL96" s="2985"/>
      <c r="AM96" s="2985"/>
      <c r="AN96" s="2985"/>
      <c r="AO96" s="2985"/>
      <c r="AP96" s="2985"/>
      <c r="AQ96" s="2985"/>
      <c r="AR96" s="2985"/>
      <c r="AS96" s="2985"/>
      <c r="AT96" s="2985"/>
      <c r="AU96" s="2985"/>
      <c r="AV96" s="2985"/>
      <c r="AW96" s="2985"/>
      <c r="AX96" s="2985"/>
      <c r="AY96" s="2985"/>
      <c r="AZ96" s="2985"/>
      <c r="BA96" s="2985"/>
      <c r="BB96" s="2985"/>
      <c r="BC96" s="2985"/>
      <c r="BD96" s="2985"/>
      <c r="BE96" s="2985"/>
      <c r="BF96" s="2985"/>
      <c r="BG96" s="2985"/>
      <c r="BH96" s="2985"/>
      <c r="BI96" s="2985"/>
      <c r="BJ96" s="2985"/>
      <c r="BK96" s="2985"/>
      <c r="BL96" s="2985"/>
      <c r="BM96" s="2985"/>
      <c r="BN96" s="2985"/>
      <c r="BO96" s="2985"/>
      <c r="BP96" s="2985"/>
      <c r="BQ96" s="2985"/>
      <c r="BR96" s="2985"/>
      <c r="BS96" s="2985"/>
      <c r="BT96" s="2985"/>
      <c r="BU96" s="2985"/>
      <c r="BV96" s="2985"/>
      <c r="BW96" s="2985"/>
      <c r="BX96" s="2985"/>
      <c r="BY96" s="2985"/>
      <c r="BZ96" s="2985"/>
      <c r="CA96" s="2985"/>
      <c r="CB96" s="2985"/>
      <c r="CC96" s="2985"/>
      <c r="CD96" s="2985"/>
      <c r="CE96" s="2985"/>
      <c r="CF96" s="2985"/>
      <c r="CG96" s="2985"/>
      <c r="CH96" s="2985"/>
      <c r="CI96" s="2985"/>
      <c r="CJ96" s="2985"/>
      <c r="CK96" s="2985"/>
      <c r="CL96" s="2985"/>
      <c r="CM96" s="2985"/>
      <c r="CN96" s="2985"/>
      <c r="CO96" s="2985"/>
      <c r="CP96" s="2985"/>
      <c r="CQ96" s="2985"/>
      <c r="CR96" s="2985"/>
      <c r="CS96" s="2985"/>
      <c r="CT96" s="2985"/>
      <c r="CU96" s="2985"/>
      <c r="CV96" s="2985"/>
      <c r="CW96" s="2985"/>
      <c r="CX96" s="2985"/>
      <c r="CY96" s="2985"/>
      <c r="CZ96" s="2985"/>
      <c r="DA96" s="2985"/>
      <c r="DB96" s="2985"/>
      <c r="DC96" s="2985"/>
      <c r="DD96" s="2985"/>
      <c r="DE96" s="2985"/>
      <c r="DF96" s="2985"/>
      <c r="DG96" s="2985"/>
      <c r="DH96" s="2985"/>
      <c r="DI96" s="2985"/>
      <c r="DJ96" s="2985"/>
      <c r="DK96" s="2985"/>
      <c r="DL96" s="2986"/>
      <c r="DP96" s="109"/>
    </row>
    <row r="97" spans="1:138" ht="8.25" customHeight="1" thickBot="1">
      <c r="A97" s="48"/>
      <c r="B97" s="4253"/>
      <c r="C97" s="4254"/>
      <c r="D97" s="4254"/>
      <c r="E97" s="4254"/>
      <c r="F97" s="4254"/>
      <c r="G97" s="4254"/>
      <c r="H97" s="4254"/>
      <c r="I97" s="4254"/>
      <c r="J97" s="4254"/>
      <c r="K97" s="4254"/>
      <c r="L97" s="4254"/>
      <c r="M97" s="4254"/>
      <c r="N97" s="4254"/>
      <c r="O97" s="4254"/>
      <c r="P97" s="4254"/>
      <c r="Q97" s="4254"/>
      <c r="R97" s="4254"/>
      <c r="S97" s="4254"/>
      <c r="T97" s="4254"/>
      <c r="U97" s="4254"/>
      <c r="V97" s="4254"/>
      <c r="W97" s="4254"/>
      <c r="X97" s="4254"/>
      <c r="Y97" s="4254"/>
      <c r="Z97" s="2987"/>
      <c r="AA97" s="2987"/>
      <c r="AB97" s="2987"/>
      <c r="AC97" s="2987"/>
      <c r="AD97" s="2987"/>
      <c r="AE97" s="2987"/>
      <c r="AF97" s="2987"/>
      <c r="AG97" s="2987"/>
      <c r="AH97" s="2987"/>
      <c r="AI97" s="2987"/>
      <c r="AJ97" s="2987"/>
      <c r="AK97" s="2987"/>
      <c r="AL97" s="2987"/>
      <c r="AM97" s="2987"/>
      <c r="AN97" s="2987"/>
      <c r="AO97" s="2987"/>
      <c r="AP97" s="2987"/>
      <c r="AQ97" s="2987"/>
      <c r="AR97" s="2987"/>
      <c r="AS97" s="2987"/>
      <c r="AT97" s="2987"/>
      <c r="AU97" s="2987"/>
      <c r="AV97" s="2987"/>
      <c r="AW97" s="2987"/>
      <c r="AX97" s="2987"/>
      <c r="AY97" s="2987"/>
      <c r="AZ97" s="2987"/>
      <c r="BA97" s="2987"/>
      <c r="BB97" s="2987"/>
      <c r="BC97" s="2987"/>
      <c r="BD97" s="2987"/>
      <c r="BE97" s="2987"/>
      <c r="BF97" s="2987"/>
      <c r="BG97" s="2987"/>
      <c r="BH97" s="2987"/>
      <c r="BI97" s="2987"/>
      <c r="BJ97" s="2987"/>
      <c r="BK97" s="2987"/>
      <c r="BL97" s="2987"/>
      <c r="BM97" s="2987"/>
      <c r="BN97" s="2987"/>
      <c r="BO97" s="2987"/>
      <c r="BP97" s="2987"/>
      <c r="BQ97" s="2987"/>
      <c r="BR97" s="2987"/>
      <c r="BS97" s="2987"/>
      <c r="BT97" s="2987"/>
      <c r="BU97" s="2987"/>
      <c r="BV97" s="2987"/>
      <c r="BW97" s="2987"/>
      <c r="BX97" s="2987"/>
      <c r="BY97" s="2987"/>
      <c r="BZ97" s="2987"/>
      <c r="CA97" s="2987"/>
      <c r="CB97" s="2987"/>
      <c r="CC97" s="2987"/>
      <c r="CD97" s="2987"/>
      <c r="CE97" s="2987"/>
      <c r="CF97" s="2987"/>
      <c r="CG97" s="2987"/>
      <c r="CH97" s="2987"/>
      <c r="CI97" s="2987"/>
      <c r="CJ97" s="2987"/>
      <c r="CK97" s="2987"/>
      <c r="CL97" s="2987"/>
      <c r="CM97" s="2987"/>
      <c r="CN97" s="2987"/>
      <c r="CO97" s="2987"/>
      <c r="CP97" s="2987"/>
      <c r="CQ97" s="2987"/>
      <c r="CR97" s="2987"/>
      <c r="CS97" s="2987"/>
      <c r="CT97" s="2987"/>
      <c r="CU97" s="2987"/>
      <c r="CV97" s="2987"/>
      <c r="CW97" s="2987"/>
      <c r="CX97" s="2987"/>
      <c r="CY97" s="2987"/>
      <c r="CZ97" s="2987"/>
      <c r="DA97" s="2987"/>
      <c r="DB97" s="2987"/>
      <c r="DC97" s="2987"/>
      <c r="DD97" s="2987"/>
      <c r="DE97" s="2987"/>
      <c r="DF97" s="2987"/>
      <c r="DG97" s="2987"/>
      <c r="DH97" s="2987"/>
      <c r="DI97" s="2987"/>
      <c r="DJ97" s="2987"/>
      <c r="DK97" s="2987"/>
      <c r="DL97" s="4228"/>
      <c r="DP97" s="109"/>
    </row>
    <row r="98" spans="1:138" ht="7.5" customHeight="1" thickTop="1">
      <c r="A98" s="48"/>
      <c r="B98" s="2744" t="s">
        <v>105</v>
      </c>
      <c r="C98" s="2710"/>
      <c r="D98" s="2711"/>
      <c r="E98" s="2486"/>
      <c r="F98" s="2450"/>
      <c r="G98" s="2450"/>
      <c r="H98" s="2450"/>
      <c r="I98" s="2450"/>
      <c r="J98" s="2450"/>
      <c r="K98" s="2450"/>
      <c r="L98" s="2450"/>
      <c r="M98" s="2450"/>
      <c r="N98" s="2450"/>
      <c r="O98" s="2450"/>
      <c r="P98" s="2450"/>
      <c r="Q98" s="2450"/>
      <c r="R98" s="2450"/>
      <c r="S98" s="2450"/>
      <c r="T98" s="2450"/>
      <c r="U98" s="2450"/>
      <c r="V98" s="2487"/>
      <c r="W98" s="2709" t="s">
        <v>80</v>
      </c>
      <c r="X98" s="2710"/>
      <c r="Y98" s="2711"/>
      <c r="Z98" s="2486"/>
      <c r="AA98" s="2450"/>
      <c r="AB98" s="2450"/>
      <c r="AC98" s="2450"/>
      <c r="AD98" s="2450"/>
      <c r="AE98" s="2450"/>
      <c r="AF98" s="2450"/>
      <c r="AG98" s="2450"/>
      <c r="AH98" s="2451"/>
      <c r="AI98" s="4223" t="s">
        <v>801</v>
      </c>
      <c r="AJ98" s="2444"/>
      <c r="AK98" s="4224"/>
      <c r="AL98" s="2449"/>
      <c r="AM98" s="2450"/>
      <c r="AN98" s="2450"/>
      <c r="AO98" s="2450"/>
      <c r="AP98" s="2450"/>
      <c r="AQ98" s="2450"/>
      <c r="AR98" s="2450"/>
      <c r="AS98" s="2450"/>
      <c r="AT98" s="2450"/>
      <c r="AU98" s="2450"/>
      <c r="AV98" s="2450"/>
      <c r="AW98" s="2450"/>
      <c r="AX98" s="2450"/>
      <c r="AY98" s="2450"/>
      <c r="AZ98" s="2450"/>
      <c r="BA98" s="2450"/>
      <c r="BB98" s="2450"/>
      <c r="BC98" s="2451"/>
      <c r="BD98" s="4223" t="s">
        <v>228</v>
      </c>
      <c r="BE98" s="2444"/>
      <c r="BF98" s="2444"/>
      <c r="BG98" s="2445"/>
      <c r="BH98" s="3064"/>
      <c r="BI98" s="2676"/>
      <c r="BJ98" s="2676"/>
      <c r="BK98" s="3065"/>
      <c r="BL98" s="2443" t="s">
        <v>217</v>
      </c>
      <c r="BM98" s="2444"/>
      <c r="BN98" s="2444"/>
      <c r="BO98" s="2445"/>
      <c r="BP98" s="2499"/>
      <c r="BQ98" s="2492"/>
      <c r="BR98" s="2443" t="s">
        <v>142</v>
      </c>
      <c r="BS98" s="2444"/>
      <c r="BT98" s="2445"/>
      <c r="BU98" s="2520"/>
      <c r="BV98" s="2437"/>
      <c r="BW98" s="2438"/>
      <c r="BX98" s="2443" t="s">
        <v>215</v>
      </c>
      <c r="BY98" s="2444"/>
      <c r="BZ98" s="2444"/>
      <c r="CA98" s="2444"/>
      <c r="CB98" s="2445"/>
      <c r="CC98" s="2884">
        <v>20</v>
      </c>
      <c r="CD98" s="2669"/>
      <c r="CE98" s="2669"/>
      <c r="CF98" s="2434"/>
      <c r="CG98" s="2434"/>
      <c r="CH98" s="2483" t="s">
        <v>0</v>
      </c>
      <c r="CI98" s="2483"/>
      <c r="CJ98" s="2434"/>
      <c r="CK98" s="2434"/>
      <c r="CL98" s="2483" t="s">
        <v>218</v>
      </c>
      <c r="CM98" s="2483"/>
      <c r="CN98" s="2483"/>
      <c r="CO98" s="4229"/>
      <c r="CP98" s="2443" t="s">
        <v>219</v>
      </c>
      <c r="CQ98" s="2444"/>
      <c r="CR98" s="2444"/>
      <c r="CS98" s="2445"/>
      <c r="CT98" s="2499"/>
      <c r="CU98" s="2491"/>
      <c r="CV98" s="2491"/>
      <c r="CW98" s="2491"/>
      <c r="CX98" s="2491"/>
      <c r="CY98" s="2491"/>
      <c r="CZ98" s="2491"/>
      <c r="DA98" s="2491"/>
      <c r="DB98" s="2491"/>
      <c r="DC98" s="2491"/>
      <c r="DD98" s="2491"/>
      <c r="DE98" s="2491"/>
      <c r="DF98" s="2491"/>
      <c r="DG98" s="2491"/>
      <c r="DH98" s="2491"/>
      <c r="DI98" s="2491"/>
      <c r="DJ98" s="2491"/>
      <c r="DK98" s="2491"/>
      <c r="DL98" s="2500"/>
    </row>
    <row r="99" spans="1:138" ht="7.5" customHeight="1">
      <c r="A99" s="48"/>
      <c r="B99" s="2745"/>
      <c r="C99" s="2374"/>
      <c r="D99" s="2375"/>
      <c r="E99" s="2488"/>
      <c r="F99" s="2439"/>
      <c r="G99" s="2439"/>
      <c r="H99" s="2439"/>
      <c r="I99" s="2439"/>
      <c r="J99" s="2439"/>
      <c r="K99" s="2439"/>
      <c r="L99" s="2439"/>
      <c r="M99" s="2439"/>
      <c r="N99" s="2439"/>
      <c r="O99" s="2439"/>
      <c r="P99" s="2439"/>
      <c r="Q99" s="2439"/>
      <c r="R99" s="2439"/>
      <c r="S99" s="2439"/>
      <c r="T99" s="2439"/>
      <c r="U99" s="2439"/>
      <c r="V99" s="2440"/>
      <c r="W99" s="2373"/>
      <c r="X99" s="2374"/>
      <c r="Y99" s="2375"/>
      <c r="Z99" s="2488"/>
      <c r="AA99" s="2439"/>
      <c r="AB99" s="2439"/>
      <c r="AC99" s="2439"/>
      <c r="AD99" s="2439"/>
      <c r="AE99" s="2439"/>
      <c r="AF99" s="2439"/>
      <c r="AG99" s="2439"/>
      <c r="AH99" s="2453"/>
      <c r="AI99" s="2745"/>
      <c r="AJ99" s="2374"/>
      <c r="AK99" s="4225"/>
      <c r="AL99" s="2452"/>
      <c r="AM99" s="2439"/>
      <c r="AN99" s="2439"/>
      <c r="AO99" s="2439"/>
      <c r="AP99" s="2439"/>
      <c r="AQ99" s="2439"/>
      <c r="AR99" s="2439"/>
      <c r="AS99" s="2439"/>
      <c r="AT99" s="2439"/>
      <c r="AU99" s="2439"/>
      <c r="AV99" s="2439"/>
      <c r="AW99" s="2439"/>
      <c r="AX99" s="2439"/>
      <c r="AY99" s="2439"/>
      <c r="AZ99" s="2439"/>
      <c r="BA99" s="2439"/>
      <c r="BB99" s="2439"/>
      <c r="BC99" s="2453"/>
      <c r="BD99" s="2745"/>
      <c r="BE99" s="2374"/>
      <c r="BF99" s="2374"/>
      <c r="BG99" s="2375"/>
      <c r="BH99" s="2628"/>
      <c r="BI99" s="2629"/>
      <c r="BJ99" s="2629"/>
      <c r="BK99" s="2630"/>
      <c r="BL99" s="2373"/>
      <c r="BM99" s="2374"/>
      <c r="BN99" s="2374"/>
      <c r="BO99" s="2375"/>
      <c r="BP99" s="2501"/>
      <c r="BQ99" s="2494"/>
      <c r="BR99" s="2373"/>
      <c r="BS99" s="2374"/>
      <c r="BT99" s="2375"/>
      <c r="BU99" s="2488"/>
      <c r="BV99" s="2439"/>
      <c r="BW99" s="2440"/>
      <c r="BX99" s="2373"/>
      <c r="BY99" s="2374"/>
      <c r="BZ99" s="2374"/>
      <c r="CA99" s="2374"/>
      <c r="CB99" s="2375"/>
      <c r="CC99" s="2885"/>
      <c r="CD99" s="2670"/>
      <c r="CE99" s="2670"/>
      <c r="CF99" s="2435"/>
      <c r="CG99" s="2435"/>
      <c r="CH99" s="2484"/>
      <c r="CI99" s="2484"/>
      <c r="CJ99" s="2435"/>
      <c r="CK99" s="2435"/>
      <c r="CL99" s="2484"/>
      <c r="CM99" s="2484"/>
      <c r="CN99" s="2484"/>
      <c r="CO99" s="4230"/>
      <c r="CP99" s="2373"/>
      <c r="CQ99" s="2374"/>
      <c r="CR99" s="2374"/>
      <c r="CS99" s="2375"/>
      <c r="CT99" s="2501"/>
      <c r="CU99" s="2493"/>
      <c r="CV99" s="2493"/>
      <c r="CW99" s="2493"/>
      <c r="CX99" s="2493"/>
      <c r="CY99" s="2493"/>
      <c r="CZ99" s="2493"/>
      <c r="DA99" s="2493"/>
      <c r="DB99" s="2493"/>
      <c r="DC99" s="2493"/>
      <c r="DD99" s="2493"/>
      <c r="DE99" s="2493"/>
      <c r="DF99" s="2493"/>
      <c r="DG99" s="2493"/>
      <c r="DH99" s="2493"/>
      <c r="DI99" s="2493"/>
      <c r="DJ99" s="2493"/>
      <c r="DK99" s="2493"/>
      <c r="DL99" s="2502"/>
    </row>
    <row r="100" spans="1:138" ht="7.5" customHeight="1" thickBot="1">
      <c r="A100" s="48"/>
      <c r="B100" s="2746"/>
      <c r="C100" s="2713"/>
      <c r="D100" s="2714"/>
      <c r="E100" s="2489"/>
      <c r="F100" s="2455"/>
      <c r="G100" s="2455"/>
      <c r="H100" s="2455"/>
      <c r="I100" s="2455"/>
      <c r="J100" s="2455"/>
      <c r="K100" s="2455"/>
      <c r="L100" s="2455"/>
      <c r="M100" s="2455"/>
      <c r="N100" s="2455"/>
      <c r="O100" s="2455"/>
      <c r="P100" s="2455"/>
      <c r="Q100" s="2455"/>
      <c r="R100" s="2455"/>
      <c r="S100" s="2455"/>
      <c r="T100" s="2455"/>
      <c r="U100" s="2455"/>
      <c r="V100" s="2490"/>
      <c r="W100" s="2712"/>
      <c r="X100" s="2713"/>
      <c r="Y100" s="2714"/>
      <c r="Z100" s="2489"/>
      <c r="AA100" s="2455"/>
      <c r="AB100" s="2455"/>
      <c r="AC100" s="2455"/>
      <c r="AD100" s="2455"/>
      <c r="AE100" s="2455"/>
      <c r="AF100" s="2455"/>
      <c r="AG100" s="2455"/>
      <c r="AH100" s="2456"/>
      <c r="AI100" s="4226"/>
      <c r="AJ100" s="2377"/>
      <c r="AK100" s="4227"/>
      <c r="AL100" s="2454"/>
      <c r="AM100" s="2455"/>
      <c r="AN100" s="2455"/>
      <c r="AO100" s="2455"/>
      <c r="AP100" s="2455"/>
      <c r="AQ100" s="2455"/>
      <c r="AR100" s="2455"/>
      <c r="AS100" s="2455"/>
      <c r="AT100" s="2455"/>
      <c r="AU100" s="2455"/>
      <c r="AV100" s="2455"/>
      <c r="AW100" s="2455"/>
      <c r="AX100" s="2455"/>
      <c r="AY100" s="2455"/>
      <c r="AZ100" s="2455"/>
      <c r="BA100" s="2455"/>
      <c r="BB100" s="2455"/>
      <c r="BC100" s="2456"/>
      <c r="BD100" s="4226"/>
      <c r="BE100" s="2377"/>
      <c r="BF100" s="2377"/>
      <c r="BG100" s="2378"/>
      <c r="BH100" s="2631"/>
      <c r="BI100" s="2632"/>
      <c r="BJ100" s="2632"/>
      <c r="BK100" s="2633"/>
      <c r="BL100" s="2376"/>
      <c r="BM100" s="2377"/>
      <c r="BN100" s="2377"/>
      <c r="BO100" s="2378"/>
      <c r="BP100" s="2503"/>
      <c r="BQ100" s="2496"/>
      <c r="BR100" s="2376"/>
      <c r="BS100" s="2377"/>
      <c r="BT100" s="2378"/>
      <c r="BU100" s="2521"/>
      <c r="BV100" s="2522"/>
      <c r="BW100" s="2523"/>
      <c r="BX100" s="2376"/>
      <c r="BY100" s="2377"/>
      <c r="BZ100" s="2377"/>
      <c r="CA100" s="2377"/>
      <c r="CB100" s="2378"/>
      <c r="CC100" s="2886"/>
      <c r="CD100" s="2699"/>
      <c r="CE100" s="2699"/>
      <c r="CF100" s="2482"/>
      <c r="CG100" s="2482"/>
      <c r="CH100" s="2485"/>
      <c r="CI100" s="2485"/>
      <c r="CJ100" s="2482"/>
      <c r="CK100" s="2482"/>
      <c r="CL100" s="2485"/>
      <c r="CM100" s="2485"/>
      <c r="CN100" s="2485"/>
      <c r="CO100" s="4231"/>
      <c r="CP100" s="2376"/>
      <c r="CQ100" s="2377"/>
      <c r="CR100" s="2377"/>
      <c r="CS100" s="2378"/>
      <c r="CT100" s="2503"/>
      <c r="CU100" s="2495"/>
      <c r="CV100" s="2495"/>
      <c r="CW100" s="2495"/>
      <c r="CX100" s="2495"/>
      <c r="CY100" s="2495"/>
      <c r="CZ100" s="2495"/>
      <c r="DA100" s="2495"/>
      <c r="DB100" s="2495"/>
      <c r="DC100" s="2495"/>
      <c r="DD100" s="2495"/>
      <c r="DE100" s="2495"/>
      <c r="DF100" s="2495"/>
      <c r="DG100" s="2495"/>
      <c r="DH100" s="2495"/>
      <c r="DI100" s="2495"/>
      <c r="DJ100" s="2495"/>
      <c r="DK100" s="2495"/>
      <c r="DL100" s="2504"/>
    </row>
    <row r="101" spans="1:138" ht="11.25" customHeight="1" thickTop="1" thickBot="1">
      <c r="A101" s="44"/>
      <c r="B101" s="2946" t="s">
        <v>235</v>
      </c>
      <c r="C101" s="2947"/>
      <c r="D101" s="2947"/>
      <c r="E101" s="2947"/>
      <c r="F101" s="2947"/>
      <c r="G101" s="2947"/>
      <c r="H101" s="2947"/>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47"/>
      <c r="AD101" s="2947"/>
      <c r="AE101" s="2947"/>
      <c r="AF101" s="2947"/>
      <c r="AG101" s="2947"/>
      <c r="AH101" s="2947"/>
      <c r="AI101" s="2947"/>
      <c r="AJ101" s="2947"/>
      <c r="AK101" s="2947"/>
      <c r="AL101" s="2947"/>
      <c r="AM101" s="2947"/>
      <c r="AN101" s="2947"/>
      <c r="AO101" s="2947"/>
      <c r="AP101" s="2947"/>
      <c r="AQ101" s="2947"/>
      <c r="AR101" s="2947"/>
      <c r="AS101" s="2947"/>
      <c r="AT101" s="2947"/>
      <c r="AU101" s="2947"/>
      <c r="AV101" s="2947"/>
      <c r="AW101" s="2947"/>
      <c r="AX101" s="2947"/>
      <c r="AY101" s="2947"/>
      <c r="AZ101" s="2947"/>
      <c r="BA101" s="2947"/>
      <c r="BB101" s="2947"/>
      <c r="BC101" s="2947"/>
      <c r="BD101" s="2947"/>
      <c r="BE101" s="2947"/>
      <c r="BF101" s="2947"/>
      <c r="BG101" s="2947"/>
      <c r="BH101" s="2947"/>
      <c r="BI101" s="2947"/>
      <c r="BJ101" s="2947"/>
      <c r="BK101" s="2947"/>
      <c r="BL101" s="2947"/>
      <c r="BM101" s="2947"/>
      <c r="BN101" s="2947"/>
      <c r="BO101" s="2947"/>
      <c r="BP101" s="2947"/>
      <c r="BQ101" s="2947"/>
      <c r="BR101" s="2947"/>
      <c r="BS101" s="2947"/>
      <c r="BT101" s="2947"/>
      <c r="BU101" s="2947"/>
      <c r="BV101" s="2947"/>
      <c r="BW101" s="2947"/>
      <c r="BX101" s="2947"/>
      <c r="BY101" s="2947"/>
      <c r="BZ101" s="2947"/>
      <c r="CA101" s="2947"/>
      <c r="CB101" s="2947"/>
      <c r="CC101" s="2947"/>
      <c r="CD101" s="2947"/>
      <c r="CE101" s="2947"/>
      <c r="CF101" s="2947"/>
      <c r="CG101" s="2947"/>
      <c r="CH101" s="2947"/>
      <c r="CI101" s="2947"/>
      <c r="CJ101" s="2947"/>
      <c r="CK101" s="2947"/>
      <c r="CL101" s="2947"/>
      <c r="CM101" s="2947"/>
      <c r="CN101" s="2947"/>
      <c r="CO101" s="2947"/>
      <c r="CP101" s="2947"/>
      <c r="CQ101" s="2947"/>
      <c r="CR101" s="2947"/>
      <c r="CS101" s="2947"/>
      <c r="CT101" s="2947"/>
      <c r="CU101" s="2947"/>
      <c r="CV101" s="2947"/>
      <c r="CW101" s="2947"/>
      <c r="CX101" s="2947"/>
      <c r="CY101" s="2947"/>
      <c r="CZ101" s="2947"/>
      <c r="DA101" s="2947"/>
      <c r="DB101" s="2947"/>
      <c r="DC101" s="2947"/>
      <c r="DD101" s="2947"/>
      <c r="DE101" s="2947"/>
      <c r="DF101" s="2947"/>
      <c r="DG101" s="2947"/>
      <c r="DH101" s="2947"/>
      <c r="DI101" s="2947"/>
      <c r="DJ101" s="2947"/>
      <c r="DK101" s="2947"/>
      <c r="DL101" s="4558"/>
      <c r="DP101" s="109"/>
    </row>
    <row r="102" spans="1:138" ht="10" customHeight="1">
      <c r="A102" s="44"/>
      <c r="B102" s="2508" t="s">
        <v>229</v>
      </c>
      <c r="C102" s="2444"/>
      <c r="D102" s="2444"/>
      <c r="E102" s="2445"/>
      <c r="F102" s="2499"/>
      <c r="G102" s="2492"/>
      <c r="H102" s="2443" t="s">
        <v>230</v>
      </c>
      <c r="I102" s="2444"/>
      <c r="J102" s="2444"/>
      <c r="K102" s="2444"/>
      <c r="L102" s="2445"/>
      <c r="M102" s="2499"/>
      <c r="N102" s="2492"/>
      <c r="O102" s="2443" t="s">
        <v>231</v>
      </c>
      <c r="P102" s="2444"/>
      <c r="Q102" s="2444"/>
      <c r="R102" s="2445"/>
      <c r="S102" s="2499"/>
      <c r="T102" s="2492"/>
      <c r="U102" s="2443" t="s">
        <v>164</v>
      </c>
      <c r="V102" s="2444"/>
      <c r="W102" s="2444"/>
      <c r="X102" s="2445"/>
      <c r="Y102" s="2499"/>
      <c r="Z102" s="2492"/>
      <c r="AA102" s="4232"/>
      <c r="AB102" s="4233"/>
      <c r="AC102" s="2443" t="s">
        <v>232</v>
      </c>
      <c r="AD102" s="2444"/>
      <c r="AE102" s="2444"/>
      <c r="AF102" s="2444"/>
      <c r="AG102" s="2444"/>
      <c r="AH102" s="2444"/>
      <c r="AI102" s="2444"/>
      <c r="AJ102" s="2445"/>
      <c r="AK102" s="4236"/>
      <c r="AL102" s="4237"/>
      <c r="AM102" s="4237"/>
      <c r="AN102" s="4237"/>
      <c r="AO102" s="4237"/>
      <c r="AP102" s="4237"/>
      <c r="AQ102" s="4237"/>
      <c r="AR102" s="4237"/>
      <c r="AS102" s="4237"/>
      <c r="AT102" s="4237"/>
      <c r="AU102" s="4237"/>
      <c r="AV102" s="4237"/>
      <c r="AW102" s="4237"/>
      <c r="AX102" s="4237"/>
      <c r="AY102" s="4238"/>
      <c r="AZ102" s="2443" t="s">
        <v>734</v>
      </c>
      <c r="BA102" s="2444"/>
      <c r="BB102" s="2444"/>
      <c r="BC102" s="2444"/>
      <c r="BD102" s="2444"/>
      <c r="BE102" s="2445"/>
      <c r="BF102" s="2700"/>
      <c r="BG102" s="2701"/>
      <c r="BH102" s="2701"/>
      <c r="BI102" s="2702"/>
      <c r="BJ102" s="2833" t="s">
        <v>233</v>
      </c>
      <c r="BK102" s="2639"/>
      <c r="BL102" s="2639"/>
      <c r="BM102" s="2639"/>
      <c r="BN102" s="2639"/>
      <c r="BO102" s="2639"/>
      <c r="BP102" s="2640"/>
      <c r="BQ102" s="2520"/>
      <c r="BR102" s="2437"/>
      <c r="BS102" s="2437"/>
      <c r="BT102" s="2437"/>
      <c r="BU102" s="2437"/>
      <c r="BV102" s="2437"/>
      <c r="BW102" s="2437"/>
      <c r="BX102" s="2437"/>
      <c r="BY102" s="2437"/>
      <c r="BZ102" s="2437"/>
      <c r="CA102" s="2437"/>
      <c r="CB102" s="2437"/>
      <c r="CC102" s="2437"/>
      <c r="CD102" s="2437"/>
      <c r="CE102" s="2437"/>
      <c r="CF102" s="2437"/>
      <c r="CG102" s="2443" t="s">
        <v>165</v>
      </c>
      <c r="CH102" s="2444"/>
      <c r="CI102" s="2444"/>
      <c r="CJ102" s="2444"/>
      <c r="CK102" s="2444"/>
      <c r="CL102" s="2444"/>
      <c r="CM102" s="2445"/>
      <c r="CN102" s="2499"/>
      <c r="CO102" s="2492"/>
      <c r="CP102" s="2443" t="s">
        <v>160</v>
      </c>
      <c r="CQ102" s="2444"/>
      <c r="CR102" s="2444"/>
      <c r="CS102" s="2444"/>
      <c r="CT102" s="4216"/>
      <c r="CU102" s="4217"/>
      <c r="CV102" s="4547" t="s">
        <v>1187</v>
      </c>
      <c r="CW102" s="4548"/>
      <c r="CX102" s="4548"/>
      <c r="CY102" s="4548"/>
      <c r="CZ102" s="4548"/>
      <c r="DA102" s="4548"/>
      <c r="DB102" s="4549"/>
      <c r="DC102" s="4550"/>
      <c r="DD102" s="4551"/>
      <c r="DE102" s="4554" t="s">
        <v>1213</v>
      </c>
      <c r="DF102" s="4554"/>
      <c r="DG102" s="4554"/>
      <c r="DH102" s="4554"/>
      <c r="DI102" s="4554"/>
      <c r="DJ102" s="4555"/>
      <c r="DK102" s="4550"/>
      <c r="DL102" s="4556"/>
    </row>
    <row r="103" spans="1:138" ht="7.5" customHeight="1">
      <c r="A103" s="44"/>
      <c r="B103" s="2509"/>
      <c r="C103" s="2374"/>
      <c r="D103" s="2374"/>
      <c r="E103" s="2375"/>
      <c r="F103" s="2501"/>
      <c r="G103" s="2494"/>
      <c r="H103" s="2373"/>
      <c r="I103" s="2374"/>
      <c r="J103" s="2374"/>
      <c r="K103" s="2374"/>
      <c r="L103" s="2375"/>
      <c r="M103" s="2501"/>
      <c r="N103" s="2494"/>
      <c r="O103" s="2373"/>
      <c r="P103" s="2374"/>
      <c r="Q103" s="2374"/>
      <c r="R103" s="2375"/>
      <c r="S103" s="2501"/>
      <c r="T103" s="2494"/>
      <c r="U103" s="2373"/>
      <c r="V103" s="2374"/>
      <c r="W103" s="2374"/>
      <c r="X103" s="2375"/>
      <c r="Y103" s="2501"/>
      <c r="Z103" s="2494"/>
      <c r="AA103" s="4234"/>
      <c r="AB103" s="4235"/>
      <c r="AC103" s="2373"/>
      <c r="AD103" s="2374"/>
      <c r="AE103" s="2374"/>
      <c r="AF103" s="2374"/>
      <c r="AG103" s="2374"/>
      <c r="AH103" s="2374"/>
      <c r="AI103" s="2374"/>
      <c r="AJ103" s="2375"/>
      <c r="AK103" s="4239"/>
      <c r="AL103" s="4240"/>
      <c r="AM103" s="4240"/>
      <c r="AN103" s="4240"/>
      <c r="AO103" s="4240"/>
      <c r="AP103" s="4240"/>
      <c r="AQ103" s="4240"/>
      <c r="AR103" s="4240"/>
      <c r="AS103" s="4240"/>
      <c r="AT103" s="4240"/>
      <c r="AU103" s="4240"/>
      <c r="AV103" s="4240"/>
      <c r="AW103" s="4240"/>
      <c r="AX103" s="4240"/>
      <c r="AY103" s="4241"/>
      <c r="AZ103" s="2373"/>
      <c r="BA103" s="2374"/>
      <c r="BB103" s="2374"/>
      <c r="BC103" s="2374"/>
      <c r="BD103" s="2374"/>
      <c r="BE103" s="2375"/>
      <c r="BF103" s="2703"/>
      <c r="BG103" s="2704"/>
      <c r="BH103" s="2704"/>
      <c r="BI103" s="2705"/>
      <c r="BJ103" s="2340"/>
      <c r="BK103" s="2341"/>
      <c r="BL103" s="2341"/>
      <c r="BM103" s="2341"/>
      <c r="BN103" s="2341"/>
      <c r="BO103" s="2341"/>
      <c r="BP103" s="2641"/>
      <c r="BQ103" s="2488"/>
      <c r="BR103" s="2439"/>
      <c r="BS103" s="2439"/>
      <c r="BT103" s="2439"/>
      <c r="BU103" s="2439"/>
      <c r="BV103" s="2439"/>
      <c r="BW103" s="2439"/>
      <c r="BX103" s="2439"/>
      <c r="BY103" s="2439"/>
      <c r="BZ103" s="2439"/>
      <c r="CA103" s="2439"/>
      <c r="CB103" s="2439"/>
      <c r="CC103" s="2439"/>
      <c r="CD103" s="2439"/>
      <c r="CE103" s="2439"/>
      <c r="CF103" s="2439"/>
      <c r="CG103" s="2373"/>
      <c r="CH103" s="2374"/>
      <c r="CI103" s="2374"/>
      <c r="CJ103" s="2374"/>
      <c r="CK103" s="2374"/>
      <c r="CL103" s="2374"/>
      <c r="CM103" s="2375"/>
      <c r="CN103" s="2501"/>
      <c r="CO103" s="2494"/>
      <c r="CP103" s="2373"/>
      <c r="CQ103" s="2374"/>
      <c r="CR103" s="2374"/>
      <c r="CS103" s="2374"/>
      <c r="CT103" s="4218"/>
      <c r="CU103" s="4219"/>
      <c r="CV103" s="4377"/>
      <c r="CW103" s="4378"/>
      <c r="CX103" s="4378"/>
      <c r="CY103" s="4378"/>
      <c r="CZ103" s="4378"/>
      <c r="DA103" s="4378"/>
      <c r="DB103" s="4379"/>
      <c r="DC103" s="4552"/>
      <c r="DD103" s="4553"/>
      <c r="DE103" s="4554"/>
      <c r="DF103" s="4554"/>
      <c r="DG103" s="4554"/>
      <c r="DH103" s="4554"/>
      <c r="DI103" s="4554"/>
      <c r="DJ103" s="4555"/>
      <c r="DK103" s="4552"/>
      <c r="DL103" s="4557"/>
    </row>
    <row r="104" spans="1:138" ht="7.5" customHeight="1">
      <c r="A104" s="44"/>
      <c r="B104" s="2510"/>
      <c r="C104" s="2377"/>
      <c r="D104" s="2377"/>
      <c r="E104" s="2378"/>
      <c r="F104" s="2503"/>
      <c r="G104" s="2496"/>
      <c r="H104" s="2376"/>
      <c r="I104" s="2377"/>
      <c r="J104" s="2377"/>
      <c r="K104" s="2377"/>
      <c r="L104" s="2378"/>
      <c r="M104" s="2503"/>
      <c r="N104" s="2496"/>
      <c r="O104" s="2376"/>
      <c r="P104" s="2377"/>
      <c r="Q104" s="2377"/>
      <c r="R104" s="2378"/>
      <c r="S104" s="2503"/>
      <c r="T104" s="2496"/>
      <c r="U104" s="2373"/>
      <c r="V104" s="2374"/>
      <c r="W104" s="2374"/>
      <c r="X104" s="2375"/>
      <c r="Y104" s="2501"/>
      <c r="Z104" s="2494"/>
      <c r="AA104" s="4234"/>
      <c r="AB104" s="4235"/>
      <c r="AC104" s="2373"/>
      <c r="AD104" s="2374"/>
      <c r="AE104" s="2374"/>
      <c r="AF104" s="2374"/>
      <c r="AG104" s="2374"/>
      <c r="AH104" s="2374"/>
      <c r="AI104" s="2374"/>
      <c r="AJ104" s="2375"/>
      <c r="AK104" s="4239"/>
      <c r="AL104" s="4240"/>
      <c r="AM104" s="4240"/>
      <c r="AN104" s="4240"/>
      <c r="AO104" s="4240"/>
      <c r="AP104" s="4240"/>
      <c r="AQ104" s="4240"/>
      <c r="AR104" s="4240"/>
      <c r="AS104" s="4240"/>
      <c r="AT104" s="4240"/>
      <c r="AU104" s="4240"/>
      <c r="AV104" s="4240"/>
      <c r="AW104" s="4240"/>
      <c r="AX104" s="4240"/>
      <c r="AY104" s="4241"/>
      <c r="AZ104" s="2373"/>
      <c r="BA104" s="2374"/>
      <c r="BB104" s="2374"/>
      <c r="BC104" s="2374"/>
      <c r="BD104" s="2374"/>
      <c r="BE104" s="2375"/>
      <c r="BF104" s="2703"/>
      <c r="BG104" s="2704"/>
      <c r="BH104" s="2704"/>
      <c r="BI104" s="2705"/>
      <c r="BJ104" s="2340"/>
      <c r="BK104" s="2341"/>
      <c r="BL104" s="2341"/>
      <c r="BM104" s="2341"/>
      <c r="BN104" s="2341"/>
      <c r="BO104" s="2341"/>
      <c r="BP104" s="2641"/>
      <c r="BQ104" s="2488"/>
      <c r="BR104" s="2439"/>
      <c r="BS104" s="2439"/>
      <c r="BT104" s="2439"/>
      <c r="BU104" s="2439"/>
      <c r="BV104" s="2439"/>
      <c r="BW104" s="2439"/>
      <c r="BX104" s="2439"/>
      <c r="BY104" s="2439"/>
      <c r="BZ104" s="2439"/>
      <c r="CA104" s="2439"/>
      <c r="CB104" s="2439"/>
      <c r="CC104" s="2439"/>
      <c r="CD104" s="2439"/>
      <c r="CE104" s="2439"/>
      <c r="CF104" s="2439"/>
      <c r="CG104" s="2373"/>
      <c r="CH104" s="2374"/>
      <c r="CI104" s="2374"/>
      <c r="CJ104" s="2374"/>
      <c r="CK104" s="2374"/>
      <c r="CL104" s="2374"/>
      <c r="CM104" s="2375"/>
      <c r="CN104" s="2501"/>
      <c r="CO104" s="2494"/>
      <c r="CP104" s="2373"/>
      <c r="CQ104" s="2374"/>
      <c r="CR104" s="2374"/>
      <c r="CS104" s="2374"/>
      <c r="CT104" s="4218"/>
      <c r="CU104" s="4219"/>
      <c r="CV104" s="4377"/>
      <c r="CW104" s="4378"/>
      <c r="CX104" s="4378"/>
      <c r="CY104" s="4378"/>
      <c r="CZ104" s="4378"/>
      <c r="DA104" s="4378"/>
      <c r="DB104" s="4379"/>
      <c r="DC104" s="4552"/>
      <c r="DD104" s="4553"/>
      <c r="DE104" s="4554"/>
      <c r="DF104" s="4554"/>
      <c r="DG104" s="4554"/>
      <c r="DH104" s="4554"/>
      <c r="DI104" s="4554"/>
      <c r="DJ104" s="4555"/>
      <c r="DK104" s="4552"/>
      <c r="DL104" s="4557"/>
    </row>
    <row r="105" spans="1:138" ht="10" customHeight="1">
      <c r="A105" s="44"/>
      <c r="B105" s="4635" t="s">
        <v>1345</v>
      </c>
      <c r="C105" s="2935"/>
      <c r="D105" s="2935"/>
      <c r="E105" s="2935"/>
      <c r="F105" s="2935"/>
      <c r="G105" s="2936"/>
      <c r="H105" s="4615"/>
      <c r="I105" s="4616"/>
      <c r="J105" s="4616"/>
      <c r="K105" s="4616"/>
      <c r="L105" s="4616"/>
      <c r="M105" s="4616"/>
      <c r="N105" s="4616"/>
      <c r="O105" s="4616"/>
      <c r="P105" s="4616"/>
      <c r="Q105" s="4616"/>
      <c r="R105" s="4616"/>
      <c r="S105" s="4616"/>
      <c r="T105" s="4616"/>
      <c r="U105" s="4597" t="s">
        <v>1198</v>
      </c>
      <c r="V105" s="4598"/>
      <c r="W105" s="4598"/>
      <c r="X105" s="4598"/>
      <c r="Y105" s="4598"/>
      <c r="Z105" s="4598"/>
      <c r="AA105" s="4598"/>
      <c r="AB105" s="4598"/>
      <c r="AC105" s="4598"/>
      <c r="AD105" s="4599"/>
      <c r="AE105" s="4591"/>
      <c r="AF105" s="4592"/>
      <c r="AG105" s="4610" t="s">
        <v>1174</v>
      </c>
      <c r="AH105" s="4611"/>
      <c r="AI105" s="4611"/>
      <c r="AJ105" s="4611"/>
      <c r="AK105" s="4611"/>
      <c r="AL105" s="4611"/>
      <c r="AM105" s="4611"/>
      <c r="AN105" s="4611"/>
      <c r="AO105" s="4612"/>
      <c r="AP105" s="4581"/>
      <c r="AQ105" s="4582"/>
      <c r="AR105" s="4582"/>
      <c r="AS105" s="4582"/>
      <c r="AT105" s="4582"/>
      <c r="AU105" s="4582"/>
      <c r="AV105" s="4582"/>
      <c r="AW105" s="4582"/>
      <c r="AX105" s="4582"/>
      <c r="AY105" s="4582"/>
      <c r="AZ105" s="4582"/>
      <c r="BA105" s="4582"/>
      <c r="BB105" s="4582"/>
      <c r="BC105" s="4582"/>
      <c r="BD105" s="4582"/>
      <c r="BE105" s="4582"/>
      <c r="BF105" s="4582"/>
      <c r="BG105" s="4582"/>
      <c r="BH105" s="4582"/>
      <c r="BI105" s="4582"/>
      <c r="BJ105" s="4582"/>
      <c r="BK105" s="4582"/>
      <c r="BL105" s="4583"/>
      <c r="BM105" s="4412" t="s">
        <v>506</v>
      </c>
      <c r="BN105" s="4412"/>
      <c r="BO105" s="4412"/>
      <c r="BP105" s="4412"/>
      <c r="BQ105" s="4412"/>
      <c r="BR105" s="4413"/>
      <c r="BS105" s="4575"/>
      <c r="BT105" s="4576"/>
      <c r="BU105" s="4576"/>
      <c r="BV105" s="4576"/>
      <c r="BW105" s="4576"/>
      <c r="BX105" s="4576"/>
      <c r="BY105" s="4576"/>
      <c r="BZ105" s="4576"/>
      <c r="CA105" s="4576"/>
      <c r="CB105" s="4577"/>
      <c r="CC105" s="4406" t="s">
        <v>1195</v>
      </c>
      <c r="CD105" s="4407"/>
      <c r="CE105" s="4407"/>
      <c r="CF105" s="4407"/>
      <c r="CG105" s="4407"/>
      <c r="CH105" s="4407"/>
      <c r="CI105" s="4407"/>
      <c r="CJ105" s="4407"/>
      <c r="CK105" s="4399"/>
      <c r="CL105" s="4400"/>
      <c r="CM105" s="4400"/>
      <c r="CN105" s="4400"/>
      <c r="CO105" s="4400"/>
      <c r="CP105" s="4400"/>
      <c r="CQ105" s="4400"/>
      <c r="CR105" s="4400"/>
      <c r="CS105" s="4400"/>
      <c r="CT105" s="4401"/>
      <c r="CU105" s="4414" t="s">
        <v>1185</v>
      </c>
      <c r="CV105" s="4415"/>
      <c r="CW105" s="4415"/>
      <c r="CX105" s="4415"/>
      <c r="CY105" s="4415"/>
      <c r="CZ105" s="4415"/>
      <c r="DA105" s="4415"/>
      <c r="DB105" s="4416"/>
      <c r="DC105" s="4383"/>
      <c r="DD105" s="4384"/>
      <c r="DE105" s="4374" t="s">
        <v>1186</v>
      </c>
      <c r="DF105" s="4375"/>
      <c r="DG105" s="4375"/>
      <c r="DH105" s="4375"/>
      <c r="DI105" s="4375"/>
      <c r="DJ105" s="4376"/>
      <c r="DK105" s="4393"/>
      <c r="DL105" s="4394"/>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row>
    <row r="106" spans="1:138" ht="9.75" customHeight="1">
      <c r="A106" s="44"/>
      <c r="B106" s="4636"/>
      <c r="C106" s="2938"/>
      <c r="D106" s="2938"/>
      <c r="E106" s="2938"/>
      <c r="F106" s="2938"/>
      <c r="G106" s="2939"/>
      <c r="H106" s="4295"/>
      <c r="I106" s="4296"/>
      <c r="J106" s="4296"/>
      <c r="K106" s="4296"/>
      <c r="L106" s="4296"/>
      <c r="M106" s="4296"/>
      <c r="N106" s="4296"/>
      <c r="O106" s="4296"/>
      <c r="P106" s="4296"/>
      <c r="Q106" s="4296"/>
      <c r="R106" s="4296"/>
      <c r="S106" s="4296"/>
      <c r="T106" s="4296"/>
      <c r="U106" s="4600"/>
      <c r="V106" s="4601"/>
      <c r="W106" s="4601"/>
      <c r="X106" s="4601"/>
      <c r="Y106" s="4601"/>
      <c r="Z106" s="4601"/>
      <c r="AA106" s="4601"/>
      <c r="AB106" s="4601"/>
      <c r="AC106" s="4601"/>
      <c r="AD106" s="4602"/>
      <c r="AE106" s="4593"/>
      <c r="AF106" s="4594"/>
      <c r="AG106" s="4613"/>
      <c r="AH106" s="2938"/>
      <c r="AI106" s="2938"/>
      <c r="AJ106" s="2938"/>
      <c r="AK106" s="2938"/>
      <c r="AL106" s="2938"/>
      <c r="AM106" s="2938"/>
      <c r="AN106" s="2938"/>
      <c r="AO106" s="4614"/>
      <c r="AP106" s="4584"/>
      <c r="AQ106" s="4585"/>
      <c r="AR106" s="4585"/>
      <c r="AS106" s="4585"/>
      <c r="AT106" s="4585"/>
      <c r="AU106" s="4585"/>
      <c r="AV106" s="4585"/>
      <c r="AW106" s="4585"/>
      <c r="AX106" s="4585"/>
      <c r="AY106" s="4585"/>
      <c r="AZ106" s="4585"/>
      <c r="BA106" s="4585"/>
      <c r="BB106" s="4585"/>
      <c r="BC106" s="4585"/>
      <c r="BD106" s="4585"/>
      <c r="BE106" s="4585"/>
      <c r="BF106" s="4585"/>
      <c r="BG106" s="4585"/>
      <c r="BH106" s="4585"/>
      <c r="BI106" s="4585"/>
      <c r="BJ106" s="4585"/>
      <c r="BK106" s="4585"/>
      <c r="BL106" s="4586"/>
      <c r="BM106" s="2374"/>
      <c r="BN106" s="2374"/>
      <c r="BO106" s="2374"/>
      <c r="BP106" s="2374"/>
      <c r="BQ106" s="2374"/>
      <c r="BR106" s="2375"/>
      <c r="BS106" s="2501"/>
      <c r="BT106" s="2493"/>
      <c r="BU106" s="2493"/>
      <c r="BV106" s="2493"/>
      <c r="BW106" s="2493"/>
      <c r="BX106" s="2493"/>
      <c r="BY106" s="2493"/>
      <c r="BZ106" s="2493"/>
      <c r="CA106" s="2493"/>
      <c r="CB106" s="2494"/>
      <c r="CC106" s="4408"/>
      <c r="CD106" s="4409"/>
      <c r="CE106" s="4409"/>
      <c r="CF106" s="4409"/>
      <c r="CG106" s="4409"/>
      <c r="CH106" s="4409"/>
      <c r="CI106" s="4409"/>
      <c r="CJ106" s="4409"/>
      <c r="CK106" s="4402"/>
      <c r="CL106" s="4240"/>
      <c r="CM106" s="4240"/>
      <c r="CN106" s="4240"/>
      <c r="CO106" s="4240"/>
      <c r="CP106" s="4240"/>
      <c r="CQ106" s="4240"/>
      <c r="CR106" s="4240"/>
      <c r="CS106" s="4240"/>
      <c r="CT106" s="4241"/>
      <c r="CU106" s="4417"/>
      <c r="CV106" s="4418"/>
      <c r="CW106" s="4418"/>
      <c r="CX106" s="4418"/>
      <c r="CY106" s="4418"/>
      <c r="CZ106" s="4418"/>
      <c r="DA106" s="4418"/>
      <c r="DB106" s="4419"/>
      <c r="DC106" s="4385"/>
      <c r="DD106" s="4386"/>
      <c r="DE106" s="4377"/>
      <c r="DF106" s="4378"/>
      <c r="DG106" s="4378"/>
      <c r="DH106" s="4378"/>
      <c r="DI106" s="4378"/>
      <c r="DJ106" s="4379"/>
      <c r="DK106" s="4395"/>
      <c r="DL106" s="439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row>
    <row r="107" spans="1:138" ht="7.5" customHeight="1">
      <c r="A107" s="44"/>
      <c r="B107" s="4637"/>
      <c r="C107" s="4638"/>
      <c r="D107" s="4638"/>
      <c r="E107" s="4638"/>
      <c r="F107" s="4638"/>
      <c r="G107" s="4639"/>
      <c r="H107" s="4295"/>
      <c r="I107" s="4296"/>
      <c r="J107" s="4296"/>
      <c r="K107" s="4296"/>
      <c r="L107" s="4296"/>
      <c r="M107" s="4296"/>
      <c r="N107" s="4296"/>
      <c r="O107" s="4296"/>
      <c r="P107" s="4296"/>
      <c r="Q107" s="4296"/>
      <c r="R107" s="4296"/>
      <c r="S107" s="4296"/>
      <c r="T107" s="4296"/>
      <c r="U107" s="4603"/>
      <c r="V107" s="4604"/>
      <c r="W107" s="4604"/>
      <c r="X107" s="4604"/>
      <c r="Y107" s="4604"/>
      <c r="Z107" s="4604"/>
      <c r="AA107" s="4604"/>
      <c r="AB107" s="4604"/>
      <c r="AC107" s="4604"/>
      <c r="AD107" s="4605"/>
      <c r="AE107" s="4595"/>
      <c r="AF107" s="4596"/>
      <c r="AG107" s="4613"/>
      <c r="AH107" s="2938"/>
      <c r="AI107" s="2938"/>
      <c r="AJ107" s="2938"/>
      <c r="AK107" s="2938"/>
      <c r="AL107" s="2938"/>
      <c r="AM107" s="2938"/>
      <c r="AN107" s="2938"/>
      <c r="AO107" s="4614"/>
      <c r="AP107" s="4587"/>
      <c r="AQ107" s="4588"/>
      <c r="AR107" s="4588"/>
      <c r="AS107" s="4589"/>
      <c r="AT107" s="4589"/>
      <c r="AU107" s="4589"/>
      <c r="AV107" s="4589"/>
      <c r="AW107" s="4589"/>
      <c r="AX107" s="4589"/>
      <c r="AY107" s="4589"/>
      <c r="AZ107" s="4589"/>
      <c r="BA107" s="4589"/>
      <c r="BB107" s="4589"/>
      <c r="BC107" s="4589"/>
      <c r="BD107" s="4589"/>
      <c r="BE107" s="4589"/>
      <c r="BF107" s="4589"/>
      <c r="BG107" s="4589"/>
      <c r="BH107" s="4589"/>
      <c r="BI107" s="4589"/>
      <c r="BJ107" s="4589"/>
      <c r="BK107" s="4589"/>
      <c r="BL107" s="4590"/>
      <c r="BM107" s="2374"/>
      <c r="BN107" s="2374"/>
      <c r="BO107" s="2374"/>
      <c r="BP107" s="2374"/>
      <c r="BQ107" s="2374"/>
      <c r="BR107" s="2375"/>
      <c r="BS107" s="4578"/>
      <c r="BT107" s="4579"/>
      <c r="BU107" s="4579"/>
      <c r="BV107" s="4579"/>
      <c r="BW107" s="4579"/>
      <c r="BX107" s="4579"/>
      <c r="BY107" s="4579"/>
      <c r="BZ107" s="4579"/>
      <c r="CA107" s="4579"/>
      <c r="CB107" s="4580"/>
      <c r="CC107" s="4410"/>
      <c r="CD107" s="4411"/>
      <c r="CE107" s="4411"/>
      <c r="CF107" s="4411"/>
      <c r="CG107" s="4411"/>
      <c r="CH107" s="4411"/>
      <c r="CI107" s="4411"/>
      <c r="CJ107" s="4411"/>
      <c r="CK107" s="4403"/>
      <c r="CL107" s="4404"/>
      <c r="CM107" s="4404"/>
      <c r="CN107" s="4404"/>
      <c r="CO107" s="4404"/>
      <c r="CP107" s="4404"/>
      <c r="CQ107" s="4404"/>
      <c r="CR107" s="4404"/>
      <c r="CS107" s="4404"/>
      <c r="CT107" s="4405"/>
      <c r="CU107" s="4420"/>
      <c r="CV107" s="4421"/>
      <c r="CW107" s="4421"/>
      <c r="CX107" s="4421"/>
      <c r="CY107" s="4421"/>
      <c r="CZ107" s="4421"/>
      <c r="DA107" s="4421"/>
      <c r="DB107" s="4422"/>
      <c r="DC107" s="4387"/>
      <c r="DD107" s="4388"/>
      <c r="DE107" s="4380"/>
      <c r="DF107" s="4381"/>
      <c r="DG107" s="4381"/>
      <c r="DH107" s="4381"/>
      <c r="DI107" s="4381"/>
      <c r="DJ107" s="4382"/>
      <c r="DK107" s="4397"/>
      <c r="DL107" s="4398"/>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row>
    <row r="108" spans="1:138" ht="7.5" customHeight="1">
      <c r="A108" s="44"/>
      <c r="B108" s="4567" t="s">
        <v>1258</v>
      </c>
      <c r="C108" s="2938"/>
      <c r="D108" s="2938"/>
      <c r="E108" s="2938"/>
      <c r="F108" s="2938"/>
      <c r="G108" s="2938"/>
      <c r="H108" s="4568"/>
      <c r="I108" s="4569"/>
      <c r="J108" s="4640" t="s">
        <v>1397</v>
      </c>
      <c r="K108" s="2577"/>
      <c r="L108" s="2577"/>
      <c r="M108" s="2577"/>
      <c r="N108" s="2577"/>
      <c r="O108" s="2577"/>
      <c r="P108" s="2577"/>
      <c r="Q108" s="2577"/>
      <c r="R108" s="2577"/>
      <c r="S108" s="2577"/>
      <c r="T108" s="2577"/>
      <c r="U108" s="2577"/>
      <c r="V108" s="2577"/>
      <c r="W108" s="4644"/>
      <c r="X108" s="4644"/>
      <c r="Y108" s="4644"/>
      <c r="Z108" s="4644"/>
      <c r="AA108" s="4644"/>
      <c r="AB108" s="4644"/>
      <c r="AC108" s="4644"/>
      <c r="AD108" s="4644"/>
      <c r="AE108" s="4644"/>
      <c r="AF108" s="4644"/>
      <c r="AG108" s="4644"/>
      <c r="AH108" s="4644"/>
      <c r="AI108" s="4644"/>
      <c r="AJ108" s="4644"/>
      <c r="AK108" s="4392" t="s">
        <v>1507</v>
      </c>
      <c r="AL108" s="4392"/>
      <c r="AM108" s="4392"/>
      <c r="AN108" s="4392"/>
      <c r="AO108" s="4392"/>
      <c r="AP108" s="4392"/>
      <c r="AQ108" s="4392"/>
      <c r="AR108" s="4392"/>
      <c r="AS108" s="4606"/>
      <c r="AT108" s="4606"/>
      <c r="AU108" s="4606"/>
      <c r="AV108" s="4606"/>
      <c r="AW108" s="4606"/>
      <c r="AX108" s="4606"/>
      <c r="AY108" s="4606"/>
      <c r="AZ108" s="4606"/>
      <c r="BA108" s="4606"/>
      <c r="BB108" s="4606"/>
      <c r="BC108" s="4606"/>
      <c r="BD108" s="4606"/>
      <c r="BE108" s="4606"/>
      <c r="BF108" s="4606"/>
      <c r="BG108" s="4606"/>
      <c r="BH108" s="4606"/>
      <c r="BI108" s="4606"/>
      <c r="BJ108" s="4606"/>
      <c r="BK108" s="4606"/>
      <c r="BL108" s="4607"/>
      <c r="BM108" s="4426" t="s">
        <v>1508</v>
      </c>
      <c r="BN108" s="3052"/>
      <c r="BO108" s="3052"/>
      <c r="BP108" s="3052"/>
      <c r="BQ108" s="3052"/>
      <c r="BR108" s="4427"/>
      <c r="BS108" s="4429"/>
      <c r="BT108" s="4430"/>
      <c r="BU108" s="4430"/>
      <c r="BV108" s="4430"/>
      <c r="BW108" s="4430"/>
      <c r="BX108" s="4430"/>
      <c r="BY108" s="4430"/>
      <c r="BZ108" s="4430"/>
      <c r="CA108" s="4430"/>
      <c r="CB108" s="4430"/>
      <c r="CC108" s="4430"/>
      <c r="CD108" s="4430"/>
      <c r="CE108" s="4430"/>
      <c r="CF108" s="4430"/>
      <c r="CG108" s="4430"/>
      <c r="CH108" s="4430"/>
      <c r="CI108" s="4431"/>
      <c r="CJ108" s="4574" t="s">
        <v>1489</v>
      </c>
      <c r="CK108" s="4412"/>
      <c r="CL108" s="4412"/>
      <c r="CM108" s="4412"/>
      <c r="CN108" s="4412"/>
      <c r="CO108" s="4412"/>
      <c r="CP108" s="4413"/>
      <c r="CQ108" s="4645"/>
      <c r="CR108" s="4646"/>
      <c r="CS108" s="4646"/>
      <c r="CT108" s="4647"/>
      <c r="CU108" s="4648" t="s">
        <v>1578</v>
      </c>
      <c r="CV108" s="4649"/>
      <c r="CW108" s="4649"/>
      <c r="CX108" s="4649"/>
      <c r="CY108" s="4649"/>
      <c r="CZ108" s="4649"/>
      <c r="DA108" s="4649"/>
      <c r="DB108" s="4650"/>
      <c r="DC108" s="4652"/>
      <c r="DD108" s="4653"/>
      <c r="DE108" s="696"/>
      <c r="DF108" s="696"/>
      <c r="DG108" s="696"/>
      <c r="DH108" s="696"/>
      <c r="DI108" s="696"/>
      <c r="DJ108" s="696"/>
      <c r="DK108" s="696"/>
      <c r="DL108" s="69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row>
    <row r="109" spans="1:138" ht="7.5" customHeight="1">
      <c r="A109" s="44"/>
      <c r="B109" s="4567"/>
      <c r="C109" s="2938"/>
      <c r="D109" s="2938"/>
      <c r="E109" s="2938"/>
      <c r="F109" s="2938"/>
      <c r="G109" s="2938"/>
      <c r="H109" s="4570"/>
      <c r="I109" s="4571"/>
      <c r="J109" s="4641"/>
      <c r="K109" s="2578"/>
      <c r="L109" s="2578"/>
      <c r="M109" s="2578"/>
      <c r="N109" s="2578"/>
      <c r="O109" s="2578"/>
      <c r="P109" s="2578"/>
      <c r="Q109" s="2578"/>
      <c r="R109" s="2578"/>
      <c r="S109" s="2578"/>
      <c r="T109" s="2578"/>
      <c r="U109" s="2578"/>
      <c r="V109" s="2578"/>
      <c r="W109" s="2460"/>
      <c r="X109" s="2460"/>
      <c r="Y109" s="2460"/>
      <c r="Z109" s="2460"/>
      <c r="AA109" s="2460"/>
      <c r="AB109" s="2460"/>
      <c r="AC109" s="2460"/>
      <c r="AD109" s="2460"/>
      <c r="AE109" s="2460"/>
      <c r="AF109" s="2460"/>
      <c r="AG109" s="2460"/>
      <c r="AH109" s="2460"/>
      <c r="AI109" s="2460"/>
      <c r="AJ109" s="2460"/>
      <c r="AK109" s="2341"/>
      <c r="AL109" s="2341"/>
      <c r="AM109" s="2341"/>
      <c r="AN109" s="2341"/>
      <c r="AO109" s="2341"/>
      <c r="AP109" s="2341"/>
      <c r="AQ109" s="2341"/>
      <c r="AR109" s="2341"/>
      <c r="AS109" s="4608"/>
      <c r="AT109" s="4608"/>
      <c r="AU109" s="4608"/>
      <c r="AV109" s="4608"/>
      <c r="AW109" s="4608"/>
      <c r="AX109" s="4608"/>
      <c r="AY109" s="4608"/>
      <c r="AZ109" s="4608"/>
      <c r="BA109" s="4608"/>
      <c r="BB109" s="4608"/>
      <c r="BC109" s="4608"/>
      <c r="BD109" s="4608"/>
      <c r="BE109" s="4608"/>
      <c r="BF109" s="4608"/>
      <c r="BG109" s="4608"/>
      <c r="BH109" s="4608"/>
      <c r="BI109" s="4608"/>
      <c r="BJ109" s="4608"/>
      <c r="BK109" s="4608"/>
      <c r="BL109" s="4609"/>
      <c r="BM109" s="2373"/>
      <c r="BN109" s="2374"/>
      <c r="BO109" s="2374"/>
      <c r="BP109" s="2374"/>
      <c r="BQ109" s="2374"/>
      <c r="BR109" s="4428"/>
      <c r="BS109" s="4432"/>
      <c r="BT109" s="4433"/>
      <c r="BU109" s="4433"/>
      <c r="BV109" s="4433"/>
      <c r="BW109" s="4433"/>
      <c r="BX109" s="4433"/>
      <c r="BY109" s="4433"/>
      <c r="BZ109" s="4433"/>
      <c r="CA109" s="4433"/>
      <c r="CB109" s="4433"/>
      <c r="CC109" s="4433"/>
      <c r="CD109" s="4433"/>
      <c r="CE109" s="4433"/>
      <c r="CF109" s="4433"/>
      <c r="CG109" s="4433"/>
      <c r="CH109" s="4433"/>
      <c r="CI109" s="4434"/>
      <c r="CJ109" s="2373"/>
      <c r="CK109" s="2374"/>
      <c r="CL109" s="2374"/>
      <c r="CM109" s="2374"/>
      <c r="CN109" s="2374"/>
      <c r="CO109" s="2374"/>
      <c r="CP109" s="2375"/>
      <c r="CQ109" s="2703"/>
      <c r="CR109" s="2704"/>
      <c r="CS109" s="2704"/>
      <c r="CT109" s="2705"/>
      <c r="CU109" s="2340"/>
      <c r="CV109" s="2341"/>
      <c r="CW109" s="2341"/>
      <c r="CX109" s="2341"/>
      <c r="CY109" s="2341"/>
      <c r="CZ109" s="2341"/>
      <c r="DA109" s="2341"/>
      <c r="DB109" s="2641"/>
      <c r="DC109" s="3048"/>
      <c r="DD109" s="3049"/>
      <c r="DE109" s="697"/>
      <c r="DF109" s="697"/>
      <c r="DG109" s="697"/>
      <c r="DH109" s="697"/>
      <c r="DI109" s="697"/>
      <c r="DJ109" s="697"/>
      <c r="DK109" s="697"/>
      <c r="DL109" s="697"/>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row>
    <row r="110" spans="1:138" ht="7.5" customHeight="1">
      <c r="A110" s="44"/>
      <c r="B110" s="4567"/>
      <c r="C110" s="2938"/>
      <c r="D110" s="2938"/>
      <c r="E110" s="2938"/>
      <c r="F110" s="2938"/>
      <c r="G110" s="2938"/>
      <c r="H110" s="4572"/>
      <c r="I110" s="4573"/>
      <c r="J110" s="4642"/>
      <c r="K110" s="4643"/>
      <c r="L110" s="4643"/>
      <c r="M110" s="4643"/>
      <c r="N110" s="4643"/>
      <c r="O110" s="4643"/>
      <c r="P110" s="4643"/>
      <c r="Q110" s="4643"/>
      <c r="R110" s="4643"/>
      <c r="S110" s="4643"/>
      <c r="T110" s="4643"/>
      <c r="U110" s="4643"/>
      <c r="V110" s="4643"/>
      <c r="W110" s="2460"/>
      <c r="X110" s="2460"/>
      <c r="Y110" s="2460"/>
      <c r="Z110" s="2460"/>
      <c r="AA110" s="2460"/>
      <c r="AB110" s="2460"/>
      <c r="AC110" s="2460"/>
      <c r="AD110" s="2460"/>
      <c r="AE110" s="2460"/>
      <c r="AF110" s="2460"/>
      <c r="AG110" s="2460"/>
      <c r="AH110" s="2460"/>
      <c r="AI110" s="2460"/>
      <c r="AJ110" s="2460"/>
      <c r="AK110" s="2341"/>
      <c r="AL110" s="2341"/>
      <c r="AM110" s="2341"/>
      <c r="AN110" s="2341"/>
      <c r="AO110" s="2341"/>
      <c r="AP110" s="2341"/>
      <c r="AQ110" s="2341"/>
      <c r="AR110" s="2341"/>
      <c r="AS110" s="4608"/>
      <c r="AT110" s="4608"/>
      <c r="AU110" s="4608"/>
      <c r="AV110" s="4608"/>
      <c r="AW110" s="4608"/>
      <c r="AX110" s="4608"/>
      <c r="AY110" s="4608"/>
      <c r="AZ110" s="4608"/>
      <c r="BA110" s="4608"/>
      <c r="BB110" s="4608"/>
      <c r="BC110" s="4608"/>
      <c r="BD110" s="4608"/>
      <c r="BE110" s="4608"/>
      <c r="BF110" s="4608"/>
      <c r="BG110" s="4608"/>
      <c r="BH110" s="4608"/>
      <c r="BI110" s="4608"/>
      <c r="BJ110" s="4608"/>
      <c r="BK110" s="4608"/>
      <c r="BL110" s="4609"/>
      <c r="BM110" s="2373"/>
      <c r="BN110" s="2374"/>
      <c r="BO110" s="2374"/>
      <c r="BP110" s="2374"/>
      <c r="BQ110" s="2374"/>
      <c r="BR110" s="4428"/>
      <c r="BS110" s="4432"/>
      <c r="BT110" s="4433"/>
      <c r="BU110" s="4433"/>
      <c r="BV110" s="4433"/>
      <c r="BW110" s="4433"/>
      <c r="BX110" s="4433"/>
      <c r="BY110" s="4433"/>
      <c r="BZ110" s="4433"/>
      <c r="CA110" s="4433"/>
      <c r="CB110" s="4433"/>
      <c r="CC110" s="4433"/>
      <c r="CD110" s="4433"/>
      <c r="CE110" s="4433"/>
      <c r="CF110" s="4433"/>
      <c r="CG110" s="4433"/>
      <c r="CH110" s="4433"/>
      <c r="CI110" s="4434"/>
      <c r="CJ110" s="2373"/>
      <c r="CK110" s="2374"/>
      <c r="CL110" s="2374"/>
      <c r="CM110" s="2374"/>
      <c r="CN110" s="2374"/>
      <c r="CO110" s="2374"/>
      <c r="CP110" s="2375"/>
      <c r="CQ110" s="2703"/>
      <c r="CR110" s="2704"/>
      <c r="CS110" s="2704"/>
      <c r="CT110" s="2705"/>
      <c r="CU110" s="2835"/>
      <c r="CV110" s="2836"/>
      <c r="CW110" s="2836"/>
      <c r="CX110" s="2836"/>
      <c r="CY110" s="2836"/>
      <c r="CZ110" s="2836"/>
      <c r="DA110" s="2836"/>
      <c r="DB110" s="4651"/>
      <c r="DC110" s="4654"/>
      <c r="DD110" s="4655"/>
      <c r="DE110" s="697"/>
      <c r="DF110" s="697"/>
      <c r="DG110" s="697"/>
      <c r="DH110" s="697"/>
      <c r="DI110" s="697"/>
      <c r="DJ110" s="697"/>
      <c r="DK110" s="697"/>
      <c r="DL110" s="697"/>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row>
    <row r="111" spans="1:138" ht="7.5" customHeight="1">
      <c r="A111" s="44"/>
      <c r="B111" s="4617" t="s">
        <v>1188</v>
      </c>
      <c r="C111" s="4618"/>
      <c r="D111" s="4618"/>
      <c r="E111" s="4618"/>
      <c r="F111" s="4618"/>
      <c r="G111" s="4618"/>
      <c r="H111" s="4618"/>
      <c r="I111" s="4618"/>
      <c r="J111" s="4618"/>
      <c r="K111" s="4618"/>
      <c r="L111" s="4618"/>
      <c r="M111" s="4618"/>
      <c r="N111" s="4618"/>
      <c r="O111" s="4618"/>
      <c r="P111" s="4618"/>
      <c r="Q111" s="4618"/>
      <c r="R111" s="4618"/>
      <c r="S111" s="4618"/>
      <c r="T111" s="4618"/>
      <c r="U111" s="4618"/>
      <c r="V111" s="4618"/>
      <c r="W111" s="4618"/>
      <c r="X111" s="4618"/>
      <c r="Y111" s="4618"/>
      <c r="Z111" s="4618"/>
      <c r="AA111" s="4618"/>
      <c r="AB111" s="4618"/>
      <c r="AC111" s="4618"/>
      <c r="AD111" s="4618"/>
      <c r="AE111" s="4618"/>
      <c r="AF111" s="4618"/>
      <c r="AG111" s="4618"/>
      <c r="AH111" s="4618"/>
      <c r="AI111" s="4618"/>
      <c r="AJ111" s="4618"/>
      <c r="AK111" s="4618"/>
      <c r="AL111" s="4618"/>
      <c r="AM111" s="4619"/>
      <c r="AN111" s="4626"/>
      <c r="AO111" s="4627"/>
      <c r="AP111" s="4627"/>
      <c r="AQ111" s="4627"/>
      <c r="AR111" s="4627"/>
      <c r="AS111" s="4627"/>
      <c r="AT111" s="4627"/>
      <c r="AU111" s="4627"/>
      <c r="AV111" s="4627"/>
      <c r="AW111" s="4627"/>
      <c r="AX111" s="4627"/>
      <c r="AY111" s="4627"/>
      <c r="AZ111" s="4627"/>
      <c r="BA111" s="4627"/>
      <c r="BB111" s="4627"/>
      <c r="BC111" s="4627"/>
      <c r="BD111" s="4627"/>
      <c r="BE111" s="4627"/>
      <c r="BF111" s="4627"/>
      <c r="BG111" s="4627"/>
      <c r="BH111" s="4627"/>
      <c r="BI111" s="4627"/>
      <c r="BJ111" s="4627"/>
      <c r="BK111" s="4627"/>
      <c r="BL111" s="4627"/>
      <c r="BM111" s="4627"/>
      <c r="BN111" s="4627"/>
      <c r="BO111" s="4627"/>
      <c r="BP111" s="4627"/>
      <c r="BQ111" s="4627"/>
      <c r="BR111" s="4627"/>
      <c r="BS111" s="4627"/>
      <c r="BT111" s="4627"/>
      <c r="BU111" s="4627"/>
      <c r="BV111" s="4627"/>
      <c r="BW111" s="4627"/>
      <c r="BX111" s="4627"/>
      <c r="BY111" s="4627"/>
      <c r="BZ111" s="4627"/>
      <c r="CA111" s="4627"/>
      <c r="CB111" s="4627"/>
      <c r="CC111" s="4627"/>
      <c r="CD111" s="4627"/>
      <c r="CE111" s="4627"/>
      <c r="CF111" s="4627"/>
      <c r="CG111" s="4627"/>
      <c r="CH111" s="4627"/>
      <c r="CI111" s="4627"/>
      <c r="CJ111" s="4627"/>
      <c r="CK111" s="4627"/>
      <c r="CL111" s="4627"/>
      <c r="CM111" s="4627"/>
      <c r="CN111" s="4627"/>
      <c r="CO111" s="4627"/>
      <c r="CP111" s="4627"/>
      <c r="CQ111" s="4627"/>
      <c r="CR111" s="4627"/>
      <c r="CS111" s="4627"/>
      <c r="CT111" s="4627"/>
      <c r="CU111" s="4627"/>
      <c r="CV111" s="4627"/>
      <c r="CW111" s="4627"/>
      <c r="CX111" s="4627"/>
      <c r="CY111" s="4627"/>
      <c r="CZ111" s="4627"/>
      <c r="DA111" s="4627"/>
      <c r="DB111" s="4627"/>
      <c r="DC111" s="4627"/>
      <c r="DD111" s="4627"/>
      <c r="DE111" s="4627"/>
      <c r="DF111" s="4628"/>
      <c r="DG111" s="4323"/>
      <c r="DH111" s="4323"/>
      <c r="DI111" s="4323"/>
      <c r="DJ111" s="4323"/>
      <c r="DK111" s="4323"/>
      <c r="DL111" s="4324"/>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row>
    <row r="112" spans="1:138" ht="7.5" customHeight="1">
      <c r="A112" s="44"/>
      <c r="B112" s="4620"/>
      <c r="C112" s="4621"/>
      <c r="D112" s="4621"/>
      <c r="E112" s="4621"/>
      <c r="F112" s="4621"/>
      <c r="G112" s="4621"/>
      <c r="H112" s="4621"/>
      <c r="I112" s="4621"/>
      <c r="J112" s="4621"/>
      <c r="K112" s="4621"/>
      <c r="L112" s="4621"/>
      <c r="M112" s="4621"/>
      <c r="N112" s="4621"/>
      <c r="O112" s="4621"/>
      <c r="P112" s="4621"/>
      <c r="Q112" s="4621"/>
      <c r="R112" s="4621"/>
      <c r="S112" s="4621"/>
      <c r="T112" s="4621"/>
      <c r="U112" s="4621"/>
      <c r="V112" s="4621"/>
      <c r="W112" s="4621"/>
      <c r="X112" s="4621"/>
      <c r="Y112" s="4621"/>
      <c r="Z112" s="4621"/>
      <c r="AA112" s="4621"/>
      <c r="AB112" s="4621"/>
      <c r="AC112" s="4621"/>
      <c r="AD112" s="4621"/>
      <c r="AE112" s="4621"/>
      <c r="AF112" s="4621"/>
      <c r="AG112" s="4621"/>
      <c r="AH112" s="4621"/>
      <c r="AI112" s="4621"/>
      <c r="AJ112" s="4621"/>
      <c r="AK112" s="4621"/>
      <c r="AL112" s="4621"/>
      <c r="AM112" s="4622"/>
      <c r="AN112" s="4629"/>
      <c r="AO112" s="4630"/>
      <c r="AP112" s="4630"/>
      <c r="AQ112" s="4630"/>
      <c r="AR112" s="4630"/>
      <c r="AS112" s="4630"/>
      <c r="AT112" s="4630"/>
      <c r="AU112" s="4630"/>
      <c r="AV112" s="4630"/>
      <c r="AW112" s="4630"/>
      <c r="AX112" s="4630"/>
      <c r="AY112" s="4630"/>
      <c r="AZ112" s="4630"/>
      <c r="BA112" s="4630"/>
      <c r="BB112" s="4630"/>
      <c r="BC112" s="4630"/>
      <c r="BD112" s="4630"/>
      <c r="BE112" s="4630"/>
      <c r="BF112" s="4630"/>
      <c r="BG112" s="4630"/>
      <c r="BH112" s="4630"/>
      <c r="BI112" s="4630"/>
      <c r="BJ112" s="4630"/>
      <c r="BK112" s="4630"/>
      <c r="BL112" s="4630"/>
      <c r="BM112" s="4630"/>
      <c r="BN112" s="4630"/>
      <c r="BO112" s="4630"/>
      <c r="BP112" s="4630"/>
      <c r="BQ112" s="4630"/>
      <c r="BR112" s="4630"/>
      <c r="BS112" s="4630"/>
      <c r="BT112" s="4630"/>
      <c r="BU112" s="4630"/>
      <c r="BV112" s="4630"/>
      <c r="BW112" s="4630"/>
      <c r="BX112" s="4630"/>
      <c r="BY112" s="4630"/>
      <c r="BZ112" s="4630"/>
      <c r="CA112" s="4630"/>
      <c r="CB112" s="4630"/>
      <c r="CC112" s="4630"/>
      <c r="CD112" s="4630"/>
      <c r="CE112" s="4630"/>
      <c r="CF112" s="4630"/>
      <c r="CG112" s="4630"/>
      <c r="CH112" s="4630"/>
      <c r="CI112" s="4630"/>
      <c r="CJ112" s="4630"/>
      <c r="CK112" s="4630"/>
      <c r="CL112" s="4630"/>
      <c r="CM112" s="4630"/>
      <c r="CN112" s="4630"/>
      <c r="CO112" s="4630"/>
      <c r="CP112" s="4630"/>
      <c r="CQ112" s="4630"/>
      <c r="CR112" s="4630"/>
      <c r="CS112" s="4630"/>
      <c r="CT112" s="4630"/>
      <c r="CU112" s="4630"/>
      <c r="CV112" s="4630"/>
      <c r="CW112" s="4630"/>
      <c r="CX112" s="4630"/>
      <c r="CY112" s="4630"/>
      <c r="CZ112" s="4630"/>
      <c r="DA112" s="4630"/>
      <c r="DB112" s="4630"/>
      <c r="DC112" s="4630"/>
      <c r="DD112" s="4630"/>
      <c r="DE112" s="4630"/>
      <c r="DF112" s="4631"/>
      <c r="DG112" s="4325"/>
      <c r="DH112" s="4325"/>
      <c r="DI112" s="4325"/>
      <c r="DJ112" s="4325"/>
      <c r="DK112" s="4325"/>
      <c r="DL112" s="43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row>
    <row r="113" spans="1:137" ht="7.5" customHeight="1" thickBot="1">
      <c r="A113" s="44"/>
      <c r="B113" s="4623"/>
      <c r="C113" s="4624"/>
      <c r="D113" s="4624"/>
      <c r="E113" s="4624"/>
      <c r="F113" s="4624"/>
      <c r="G113" s="4624"/>
      <c r="H113" s="4624"/>
      <c r="I113" s="4624"/>
      <c r="J113" s="4624"/>
      <c r="K113" s="4624"/>
      <c r="L113" s="4624"/>
      <c r="M113" s="4624"/>
      <c r="N113" s="4624"/>
      <c r="O113" s="4624"/>
      <c r="P113" s="4624"/>
      <c r="Q113" s="4624"/>
      <c r="R113" s="4624"/>
      <c r="S113" s="4624"/>
      <c r="T113" s="4624"/>
      <c r="U113" s="4624"/>
      <c r="V113" s="4624"/>
      <c r="W113" s="4624"/>
      <c r="X113" s="4624"/>
      <c r="Y113" s="4624"/>
      <c r="Z113" s="4624"/>
      <c r="AA113" s="4624"/>
      <c r="AB113" s="4624"/>
      <c r="AC113" s="4624"/>
      <c r="AD113" s="4624"/>
      <c r="AE113" s="4624"/>
      <c r="AF113" s="4624"/>
      <c r="AG113" s="4624"/>
      <c r="AH113" s="4624"/>
      <c r="AI113" s="4624"/>
      <c r="AJ113" s="4624"/>
      <c r="AK113" s="4624"/>
      <c r="AL113" s="4624"/>
      <c r="AM113" s="4625"/>
      <c r="AN113" s="4632"/>
      <c r="AO113" s="4633"/>
      <c r="AP113" s="4633"/>
      <c r="AQ113" s="4633"/>
      <c r="AR113" s="4633"/>
      <c r="AS113" s="4633"/>
      <c r="AT113" s="4633"/>
      <c r="AU113" s="4633"/>
      <c r="AV113" s="4633"/>
      <c r="AW113" s="4633"/>
      <c r="AX113" s="4633"/>
      <c r="AY113" s="4633"/>
      <c r="AZ113" s="4633"/>
      <c r="BA113" s="4633"/>
      <c r="BB113" s="4633"/>
      <c r="BC113" s="4633"/>
      <c r="BD113" s="4633"/>
      <c r="BE113" s="4633"/>
      <c r="BF113" s="4633"/>
      <c r="BG113" s="4633"/>
      <c r="BH113" s="4633"/>
      <c r="BI113" s="4633"/>
      <c r="BJ113" s="4633"/>
      <c r="BK113" s="4633"/>
      <c r="BL113" s="4633"/>
      <c r="BM113" s="4633"/>
      <c r="BN113" s="4633"/>
      <c r="BO113" s="4633"/>
      <c r="BP113" s="4633"/>
      <c r="BQ113" s="4633"/>
      <c r="BR113" s="4633"/>
      <c r="BS113" s="4633"/>
      <c r="BT113" s="4633"/>
      <c r="BU113" s="4633"/>
      <c r="BV113" s="4633"/>
      <c r="BW113" s="4633"/>
      <c r="BX113" s="4633"/>
      <c r="BY113" s="4633"/>
      <c r="BZ113" s="4633"/>
      <c r="CA113" s="4633"/>
      <c r="CB113" s="4633"/>
      <c r="CC113" s="4633"/>
      <c r="CD113" s="4633"/>
      <c r="CE113" s="4633"/>
      <c r="CF113" s="4633"/>
      <c r="CG113" s="4633"/>
      <c r="CH113" s="4633"/>
      <c r="CI113" s="4633"/>
      <c r="CJ113" s="4633"/>
      <c r="CK113" s="4633"/>
      <c r="CL113" s="4633"/>
      <c r="CM113" s="4633"/>
      <c r="CN113" s="4633"/>
      <c r="CO113" s="4633"/>
      <c r="CP113" s="4633"/>
      <c r="CQ113" s="4633"/>
      <c r="CR113" s="4633"/>
      <c r="CS113" s="4633"/>
      <c r="CT113" s="4633"/>
      <c r="CU113" s="4633"/>
      <c r="CV113" s="4633"/>
      <c r="CW113" s="4633"/>
      <c r="CX113" s="4633"/>
      <c r="CY113" s="4633"/>
      <c r="CZ113" s="4633"/>
      <c r="DA113" s="4633"/>
      <c r="DB113" s="4633"/>
      <c r="DC113" s="4633"/>
      <c r="DD113" s="4633"/>
      <c r="DE113" s="4633"/>
      <c r="DF113" s="4634"/>
      <c r="DG113" s="4327"/>
      <c r="DH113" s="4327"/>
      <c r="DI113" s="4327"/>
      <c r="DJ113" s="4327"/>
      <c r="DK113" s="4327"/>
      <c r="DL113" s="4328"/>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row>
    <row r="114" spans="1:137" ht="9" customHeight="1">
      <c r="A114" s="59"/>
      <c r="B114" s="2607" t="s">
        <v>645</v>
      </c>
      <c r="C114" s="2608"/>
      <c r="D114" s="2608"/>
      <c r="E114" s="2608"/>
      <c r="F114" s="2608"/>
      <c r="G114" s="2608"/>
      <c r="H114" s="2608"/>
      <c r="I114" s="2608"/>
      <c r="J114" s="2608"/>
      <c r="K114" s="2608"/>
      <c r="L114" s="2608"/>
      <c r="M114" s="2608"/>
      <c r="N114" s="2608"/>
      <c r="O114" s="2608"/>
      <c r="P114" s="2608"/>
      <c r="Q114" s="2608"/>
      <c r="R114" s="2608"/>
      <c r="S114" s="2608"/>
      <c r="T114" s="2608"/>
      <c r="U114" s="2608"/>
      <c r="V114" s="2608"/>
      <c r="W114" s="2608"/>
      <c r="X114" s="2608"/>
      <c r="Y114" s="2608"/>
      <c r="Z114" s="2608"/>
      <c r="AA114" s="2608"/>
      <c r="AB114" s="2608"/>
      <c r="AC114" s="2608"/>
      <c r="AD114" s="2608"/>
      <c r="AE114" s="2608"/>
      <c r="AF114" s="2608"/>
      <c r="AG114" s="2608"/>
      <c r="AH114" s="2608"/>
      <c r="AI114" s="2608"/>
      <c r="AJ114" s="2608"/>
      <c r="AK114" s="2608"/>
      <c r="AL114" s="2608"/>
      <c r="AM114" s="2608"/>
      <c r="AN114" s="2608"/>
      <c r="AO114" s="2608"/>
      <c r="AP114" s="2608"/>
      <c r="AQ114" s="2608"/>
      <c r="AR114" s="2608"/>
      <c r="AS114" s="2608"/>
      <c r="AT114" s="2608"/>
      <c r="AU114" s="2608"/>
      <c r="AV114" s="2608"/>
      <c r="AW114" s="2608"/>
      <c r="AX114" s="2608"/>
      <c r="AY114" s="2608"/>
      <c r="AZ114" s="2608"/>
      <c r="BA114" s="2608"/>
      <c r="BB114" s="2608"/>
      <c r="BC114" s="2608"/>
      <c r="BD114" s="2608"/>
      <c r="BE114" s="2608"/>
      <c r="BF114" s="2608"/>
      <c r="BG114" s="2608"/>
      <c r="BH114" s="2608"/>
      <c r="BI114" s="2608"/>
      <c r="BJ114" s="2608"/>
      <c r="BK114" s="2608"/>
      <c r="BL114" s="2608"/>
      <c r="BM114" s="2608"/>
      <c r="BN114" s="2608"/>
      <c r="BO114" s="2608"/>
      <c r="BP114" s="2608"/>
      <c r="BQ114" s="2608"/>
      <c r="BR114" s="2608"/>
      <c r="BS114" s="2608"/>
      <c r="BT114" s="2608"/>
      <c r="BU114" s="2613" t="s">
        <v>1169</v>
      </c>
      <c r="BV114" s="2613"/>
      <c r="BW114" s="2613"/>
      <c r="BX114" s="2613"/>
      <c r="BY114" s="2613"/>
      <c r="BZ114" s="2613"/>
      <c r="CA114" s="2613"/>
      <c r="CB114" s="2613"/>
      <c r="CC114" s="2613"/>
      <c r="CD114" s="2613"/>
      <c r="CE114" s="2613"/>
      <c r="CF114" s="2613"/>
      <c r="CG114" s="2613"/>
      <c r="CH114" s="2613"/>
      <c r="CI114" s="2613"/>
      <c r="CJ114" s="2613"/>
      <c r="CK114" s="2613"/>
      <c r="CL114" s="2613"/>
      <c r="CM114" s="2613"/>
      <c r="CN114" s="2613"/>
      <c r="CO114" s="2613"/>
      <c r="CP114" s="2613"/>
      <c r="CQ114" s="2613"/>
      <c r="CR114" s="2613"/>
      <c r="CS114" s="2613"/>
      <c r="CT114" s="2613"/>
      <c r="CU114" s="2613"/>
      <c r="CV114" s="2613"/>
      <c r="CW114" s="2613"/>
      <c r="CX114" s="2613"/>
      <c r="CY114" s="2613"/>
      <c r="CZ114" s="2613"/>
      <c r="DA114" s="2613"/>
      <c r="DB114" s="2613"/>
      <c r="DC114" s="2613"/>
      <c r="DD114" s="2613"/>
      <c r="DE114" s="2613"/>
      <c r="DF114" s="2613"/>
      <c r="DG114" s="2361"/>
      <c r="DH114" s="2361"/>
      <c r="DI114" s="2361"/>
      <c r="DJ114" s="2361"/>
      <c r="DK114" s="2361"/>
      <c r="DL114" s="2362"/>
      <c r="DM114" s="110"/>
      <c r="DN114" s="110"/>
      <c r="DO114" s="110"/>
      <c r="DP114" s="110"/>
      <c r="DQ114" s="110"/>
      <c r="DR114" s="110"/>
      <c r="DS114" s="110"/>
      <c r="DT114" s="110"/>
    </row>
    <row r="115" spans="1:137" ht="7.5" customHeight="1">
      <c r="A115" s="59"/>
      <c r="B115" s="2609"/>
      <c r="C115" s="2610"/>
      <c r="D115" s="2610"/>
      <c r="E115" s="2610"/>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0"/>
      <c r="AK115" s="2610"/>
      <c r="AL115" s="2610"/>
      <c r="AM115" s="2610"/>
      <c r="AN115" s="2610"/>
      <c r="AO115" s="2610"/>
      <c r="AP115" s="2610"/>
      <c r="AQ115" s="2610"/>
      <c r="AR115" s="2610"/>
      <c r="AS115" s="2610"/>
      <c r="AT115" s="2610"/>
      <c r="AU115" s="2610"/>
      <c r="AV115" s="2610"/>
      <c r="AW115" s="2610"/>
      <c r="AX115" s="2610"/>
      <c r="AY115" s="2610"/>
      <c r="AZ115" s="2610"/>
      <c r="BA115" s="2610"/>
      <c r="BB115" s="2610"/>
      <c r="BC115" s="2610"/>
      <c r="BD115" s="2610"/>
      <c r="BE115" s="2610"/>
      <c r="BF115" s="2610"/>
      <c r="BG115" s="2610"/>
      <c r="BH115" s="2610"/>
      <c r="BI115" s="2610"/>
      <c r="BJ115" s="2610"/>
      <c r="BK115" s="2610"/>
      <c r="BL115" s="2610"/>
      <c r="BM115" s="2610"/>
      <c r="BN115" s="2610"/>
      <c r="BO115" s="2610"/>
      <c r="BP115" s="2610"/>
      <c r="BQ115" s="2610"/>
      <c r="BR115" s="2610"/>
      <c r="BS115" s="2610"/>
      <c r="BT115" s="2610"/>
      <c r="BU115" s="2614"/>
      <c r="BV115" s="2614"/>
      <c r="BW115" s="2614"/>
      <c r="BX115" s="2614"/>
      <c r="BY115" s="2614"/>
      <c r="BZ115" s="2614"/>
      <c r="CA115" s="2614"/>
      <c r="CB115" s="2614"/>
      <c r="CC115" s="2614"/>
      <c r="CD115" s="2614"/>
      <c r="CE115" s="2614"/>
      <c r="CF115" s="2614"/>
      <c r="CG115" s="2614"/>
      <c r="CH115" s="2614"/>
      <c r="CI115" s="2614"/>
      <c r="CJ115" s="2614"/>
      <c r="CK115" s="2614"/>
      <c r="CL115" s="2614"/>
      <c r="CM115" s="2614"/>
      <c r="CN115" s="2614"/>
      <c r="CO115" s="2614"/>
      <c r="CP115" s="2614"/>
      <c r="CQ115" s="2614"/>
      <c r="CR115" s="2614"/>
      <c r="CS115" s="2614"/>
      <c r="CT115" s="2614"/>
      <c r="CU115" s="2614"/>
      <c r="CV115" s="2614"/>
      <c r="CW115" s="2614"/>
      <c r="CX115" s="2614"/>
      <c r="CY115" s="2614"/>
      <c r="CZ115" s="2614"/>
      <c r="DA115" s="2614"/>
      <c r="DB115" s="2614"/>
      <c r="DC115" s="2614"/>
      <c r="DD115" s="2614"/>
      <c r="DE115" s="2614"/>
      <c r="DF115" s="2614"/>
      <c r="DG115" s="2363"/>
      <c r="DH115" s="2363"/>
      <c r="DI115" s="2363"/>
      <c r="DJ115" s="2363"/>
      <c r="DK115" s="2363"/>
      <c r="DL115" s="2364"/>
      <c r="DM115" s="110"/>
      <c r="DN115" s="110"/>
      <c r="DO115" s="110"/>
      <c r="DP115" s="110"/>
      <c r="DQ115" s="110"/>
      <c r="DR115" s="110"/>
      <c r="DS115" s="110"/>
      <c r="DT115" s="110"/>
    </row>
    <row r="116" spans="1:137" ht="7.5" customHeight="1" thickBot="1">
      <c r="A116" s="59"/>
      <c r="B116" s="2611"/>
      <c r="C116" s="2612"/>
      <c r="D116" s="2612"/>
      <c r="E116" s="2612"/>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2"/>
      <c r="AK116" s="2612"/>
      <c r="AL116" s="2612"/>
      <c r="AM116" s="2612"/>
      <c r="AN116" s="2612"/>
      <c r="AO116" s="2612"/>
      <c r="AP116" s="2612"/>
      <c r="AQ116" s="2612"/>
      <c r="AR116" s="2612"/>
      <c r="AS116" s="2612"/>
      <c r="AT116" s="2612"/>
      <c r="AU116" s="2612"/>
      <c r="AV116" s="2612"/>
      <c r="AW116" s="2612"/>
      <c r="AX116" s="2612"/>
      <c r="AY116" s="2612"/>
      <c r="AZ116" s="2612"/>
      <c r="BA116" s="2612"/>
      <c r="BB116" s="2612"/>
      <c r="BC116" s="2612"/>
      <c r="BD116" s="2612"/>
      <c r="BE116" s="2612"/>
      <c r="BF116" s="2612"/>
      <c r="BG116" s="2612"/>
      <c r="BH116" s="2612"/>
      <c r="BI116" s="2612"/>
      <c r="BJ116" s="2612"/>
      <c r="BK116" s="2612"/>
      <c r="BL116" s="2612"/>
      <c r="BM116" s="2612"/>
      <c r="BN116" s="2612"/>
      <c r="BO116" s="2612"/>
      <c r="BP116" s="2612"/>
      <c r="BQ116" s="2612"/>
      <c r="BR116" s="2612"/>
      <c r="BS116" s="2612"/>
      <c r="BT116" s="2612"/>
      <c r="BU116" s="2615"/>
      <c r="BV116" s="2615"/>
      <c r="BW116" s="2615"/>
      <c r="BX116" s="2615"/>
      <c r="BY116" s="2615"/>
      <c r="BZ116" s="2615"/>
      <c r="CA116" s="2615"/>
      <c r="CB116" s="2615"/>
      <c r="CC116" s="2615"/>
      <c r="CD116" s="2615"/>
      <c r="CE116" s="2615"/>
      <c r="CF116" s="2615"/>
      <c r="CG116" s="2615"/>
      <c r="CH116" s="2615"/>
      <c r="CI116" s="2615"/>
      <c r="CJ116" s="2615"/>
      <c r="CK116" s="2615"/>
      <c r="CL116" s="2615"/>
      <c r="CM116" s="2615"/>
      <c r="CN116" s="2615"/>
      <c r="CO116" s="2615"/>
      <c r="CP116" s="2615"/>
      <c r="CQ116" s="2615"/>
      <c r="CR116" s="2615"/>
      <c r="CS116" s="2615"/>
      <c r="CT116" s="2615"/>
      <c r="CU116" s="2615"/>
      <c r="CV116" s="2615"/>
      <c r="CW116" s="2615"/>
      <c r="CX116" s="2615"/>
      <c r="CY116" s="2615"/>
      <c r="CZ116" s="2615"/>
      <c r="DA116" s="2615"/>
      <c r="DB116" s="2615"/>
      <c r="DC116" s="2615"/>
      <c r="DD116" s="2615"/>
      <c r="DE116" s="2615"/>
      <c r="DF116" s="2615"/>
      <c r="DG116" s="2365"/>
      <c r="DH116" s="2365"/>
      <c r="DI116" s="2365"/>
      <c r="DJ116" s="2365"/>
      <c r="DK116" s="2365"/>
      <c r="DL116" s="2366"/>
      <c r="DM116" s="110"/>
      <c r="DN116" s="110"/>
      <c r="DO116" s="110"/>
      <c r="DP116" s="110"/>
      <c r="DQ116" s="110"/>
      <c r="DR116" s="110"/>
      <c r="DS116" s="110"/>
      <c r="DT116" s="110"/>
    </row>
    <row r="117" spans="1:137" ht="9" customHeight="1" thickBot="1">
      <c r="A117" s="59"/>
      <c r="B117" s="2621" t="s">
        <v>735</v>
      </c>
      <c r="C117" s="2622"/>
      <c r="D117" s="2622"/>
      <c r="E117" s="2622"/>
      <c r="F117" s="2622"/>
      <c r="G117" s="2622"/>
      <c r="H117" s="2622"/>
      <c r="I117" s="2622"/>
      <c r="J117" s="2622"/>
      <c r="K117" s="2622"/>
      <c r="L117" s="2622"/>
      <c r="M117" s="2622"/>
      <c r="N117" s="2622"/>
      <c r="O117" s="2622"/>
      <c r="P117" s="2622"/>
      <c r="Q117" s="2622"/>
      <c r="R117" s="2622"/>
      <c r="S117" s="2622"/>
      <c r="T117" s="2622"/>
      <c r="U117" s="2622"/>
      <c r="V117" s="2622"/>
      <c r="W117" s="2622"/>
      <c r="X117" s="2622"/>
      <c r="Y117" s="2622"/>
      <c r="Z117" s="2622"/>
      <c r="AA117" s="2622"/>
      <c r="AB117" s="2622"/>
      <c r="AC117" s="2622"/>
      <c r="AD117" s="2622"/>
      <c r="AE117" s="2622"/>
      <c r="AF117" s="2622"/>
      <c r="AG117" s="2622"/>
      <c r="AH117" s="2622"/>
      <c r="AI117" s="2622"/>
      <c r="AJ117" s="2622"/>
      <c r="AK117" s="2622"/>
      <c r="AL117" s="2622"/>
      <c r="AM117" s="2622"/>
      <c r="AN117" s="2622"/>
      <c r="AO117" s="2622"/>
      <c r="AP117" s="2622"/>
      <c r="AQ117" s="2622"/>
      <c r="AR117" s="2622"/>
      <c r="AS117" s="2622"/>
      <c r="AT117" s="2622"/>
      <c r="AU117" s="2622"/>
      <c r="AV117" s="2622"/>
      <c r="AW117" s="2622"/>
      <c r="AX117" s="2622"/>
      <c r="AY117" s="2622"/>
      <c r="AZ117" s="2622"/>
      <c r="BA117" s="2622"/>
      <c r="BB117" s="2622"/>
      <c r="BC117" s="2622"/>
      <c r="BD117" s="2622"/>
      <c r="BE117" s="2622"/>
      <c r="BF117" s="2622"/>
      <c r="BG117" s="2622"/>
      <c r="BH117" s="2622"/>
      <c r="BI117" s="2622"/>
      <c r="BJ117" s="2622"/>
      <c r="BK117" s="2622"/>
      <c r="BL117" s="2622"/>
      <c r="BM117" s="2622"/>
      <c r="BN117" s="2622"/>
      <c r="BO117" s="2622"/>
      <c r="BP117" s="2622"/>
      <c r="BQ117" s="2622"/>
      <c r="BR117" s="2622"/>
      <c r="BS117" s="2622"/>
      <c r="BT117" s="2622"/>
      <c r="BU117" s="2622"/>
      <c r="BV117" s="2622"/>
      <c r="BW117" s="2622"/>
      <c r="BX117" s="2622"/>
      <c r="BY117" s="2622"/>
      <c r="BZ117" s="2622"/>
      <c r="CA117" s="2622"/>
      <c r="CB117" s="2622"/>
      <c r="CC117" s="2622"/>
      <c r="CD117" s="2622"/>
      <c r="CE117" s="2622"/>
      <c r="CF117" s="2622"/>
      <c r="CG117" s="2622"/>
      <c r="CH117" s="2622"/>
      <c r="CI117" s="2622"/>
      <c r="CJ117" s="2622"/>
      <c r="CK117" s="2622"/>
      <c r="CL117" s="2622"/>
      <c r="CM117" s="2622"/>
      <c r="CN117" s="2622"/>
      <c r="CO117" s="2622"/>
      <c r="CP117" s="2622"/>
      <c r="CQ117" s="2622"/>
      <c r="CR117" s="2622"/>
      <c r="CS117" s="2622"/>
      <c r="CT117" s="2622"/>
      <c r="CU117" s="2622"/>
      <c r="CV117" s="2622"/>
      <c r="CW117" s="2622"/>
      <c r="CX117" s="2622"/>
      <c r="CY117" s="2622"/>
      <c r="CZ117" s="2622"/>
      <c r="DA117" s="2622"/>
      <c r="DB117" s="2622"/>
      <c r="DC117" s="2622"/>
      <c r="DD117" s="2622"/>
      <c r="DE117" s="2622"/>
      <c r="DF117" s="2622"/>
      <c r="DG117" s="2622"/>
      <c r="DH117" s="2622"/>
      <c r="DI117" s="2622"/>
      <c r="DJ117" s="2622"/>
      <c r="DK117" s="2622"/>
      <c r="DL117" s="2623"/>
      <c r="DM117" s="110"/>
      <c r="DN117" s="110"/>
      <c r="DO117" s="110"/>
      <c r="DP117" s="110"/>
      <c r="DQ117" s="110"/>
      <c r="DR117" s="110"/>
      <c r="DS117" s="110"/>
      <c r="DT117" s="110"/>
    </row>
    <row r="118" spans="1:137" s="49" customFormat="1" ht="6" hidden="1" customHeight="1" thickBot="1">
      <c r="A118" s="63"/>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row>
    <row r="119" spans="1:137" s="129" customFormat="1" ht="8.25" hidden="1" customHeight="1">
      <c r="A119" s="128"/>
      <c r="B119" s="2524" t="s">
        <v>265</v>
      </c>
      <c r="C119" s="2525"/>
      <c r="D119" s="2525"/>
      <c r="E119" s="2525"/>
      <c r="F119" s="2525"/>
      <c r="G119" s="2525"/>
      <c r="H119" s="2525"/>
      <c r="I119" s="2525"/>
      <c r="J119" s="2525"/>
      <c r="K119" s="2525"/>
      <c r="L119" s="2525"/>
      <c r="M119" s="2525"/>
      <c r="N119" s="2525"/>
      <c r="O119" s="2525"/>
      <c r="P119" s="2525"/>
      <c r="Q119" s="2525"/>
      <c r="R119" s="2525"/>
      <c r="S119" s="2525"/>
      <c r="T119" s="2525"/>
      <c r="U119" s="2525"/>
      <c r="V119" s="2525"/>
      <c r="W119" s="2525"/>
      <c r="X119" s="2525"/>
      <c r="Y119" s="2525"/>
      <c r="Z119" s="2525"/>
      <c r="AA119" s="2525"/>
      <c r="AB119" s="2525"/>
      <c r="AC119" s="2525"/>
      <c r="AD119" s="2525"/>
      <c r="AE119" s="2525"/>
      <c r="AF119" s="2525"/>
      <c r="AG119" s="2525"/>
      <c r="AH119" s="2525"/>
      <c r="AI119" s="2529" t="s">
        <v>264</v>
      </c>
      <c r="AJ119" s="2529"/>
      <c r="AK119" s="2529"/>
      <c r="AL119" s="2529"/>
      <c r="AM119" s="2529"/>
      <c r="AN119" s="2529"/>
      <c r="AO119" s="2529"/>
      <c r="AP119" s="2529"/>
      <c r="AQ119" s="2529"/>
      <c r="AR119" s="2529"/>
      <c r="AS119" s="2529"/>
      <c r="AT119" s="2529"/>
      <c r="AU119" s="2529"/>
      <c r="AV119" s="2529"/>
      <c r="AW119" s="2529"/>
      <c r="AX119" s="2529"/>
      <c r="AY119" s="2529"/>
      <c r="AZ119" s="2529"/>
      <c r="BA119" s="2529"/>
      <c r="BB119" s="2529"/>
      <c r="BC119" s="2529"/>
      <c r="BD119" s="2529"/>
      <c r="BE119" s="2529"/>
      <c r="BF119" s="2529"/>
      <c r="BG119" s="2529"/>
      <c r="BH119" s="2529"/>
      <c r="BI119" s="2529"/>
      <c r="BJ119" s="2529"/>
      <c r="BK119" s="2529"/>
      <c r="BL119" s="2529"/>
      <c r="BM119" s="2529"/>
      <c r="BN119" s="2529"/>
      <c r="BO119" s="2529"/>
      <c r="BP119" s="2529"/>
      <c r="BQ119" s="2529"/>
      <c r="BR119" s="2529"/>
      <c r="BS119" s="2529"/>
      <c r="BT119" s="2529"/>
      <c r="BU119" s="2529"/>
      <c r="BV119" s="2529"/>
      <c r="BW119" s="2529"/>
      <c r="BX119" s="2529"/>
      <c r="BY119" s="2529"/>
      <c r="BZ119" s="2529"/>
      <c r="CA119" s="2529"/>
      <c r="CB119" s="2529"/>
      <c r="CC119" s="2529"/>
      <c r="CD119" s="2529"/>
      <c r="CE119" s="2529"/>
      <c r="CF119" s="2529"/>
      <c r="CG119" s="2529"/>
      <c r="CH119" s="2529"/>
      <c r="CI119" s="2529"/>
      <c r="CJ119" s="2529"/>
      <c r="CK119" s="2529"/>
      <c r="CL119" s="2529"/>
      <c r="CM119" s="2529"/>
      <c r="CN119" s="2529"/>
      <c r="CO119" s="2529"/>
      <c r="CP119" s="2529"/>
      <c r="CQ119" s="2529"/>
      <c r="CR119" s="2529"/>
      <c r="CS119" s="2529"/>
      <c r="CT119" s="2529"/>
      <c r="CU119" s="2529"/>
      <c r="CV119" s="2529"/>
      <c r="CW119" s="2529"/>
      <c r="CX119" s="2529"/>
      <c r="CY119" s="2529"/>
      <c r="CZ119" s="2529"/>
      <c r="DA119" s="2529"/>
      <c r="DB119" s="2529"/>
      <c r="DC119" s="2529"/>
      <c r="DD119" s="2529"/>
      <c r="DE119" s="2529"/>
      <c r="DF119" s="2529"/>
      <c r="DG119" s="2529"/>
      <c r="DH119" s="2529"/>
      <c r="DI119" s="2529"/>
      <c r="DJ119" s="2529"/>
      <c r="DK119" s="2529"/>
      <c r="DL119" s="2530"/>
    </row>
    <row r="120" spans="1:137" s="129" customFormat="1" ht="8.25" hidden="1" customHeight="1">
      <c r="A120" s="128"/>
      <c r="B120" s="2526"/>
      <c r="C120" s="2527"/>
      <c r="D120" s="2527"/>
      <c r="E120" s="2527"/>
      <c r="F120" s="2527"/>
      <c r="G120" s="2527"/>
      <c r="H120" s="2527"/>
      <c r="I120" s="2527"/>
      <c r="J120" s="2527"/>
      <c r="K120" s="2527"/>
      <c r="L120" s="2527"/>
      <c r="M120" s="2527"/>
      <c r="N120" s="2527"/>
      <c r="O120" s="2527"/>
      <c r="P120" s="2527"/>
      <c r="Q120" s="2527"/>
      <c r="R120" s="2527"/>
      <c r="S120" s="2527"/>
      <c r="T120" s="2527"/>
      <c r="U120" s="2527"/>
      <c r="V120" s="2527"/>
      <c r="W120" s="2527"/>
      <c r="X120" s="2527"/>
      <c r="Y120" s="2527"/>
      <c r="Z120" s="2527"/>
      <c r="AA120" s="2527"/>
      <c r="AB120" s="2527"/>
      <c r="AC120" s="2527"/>
      <c r="AD120" s="2527"/>
      <c r="AE120" s="2527"/>
      <c r="AF120" s="2527"/>
      <c r="AG120" s="2527"/>
      <c r="AH120" s="2527"/>
      <c r="AI120" s="2532"/>
      <c r="AJ120" s="2532"/>
      <c r="AK120" s="2532"/>
      <c r="AL120" s="2532"/>
      <c r="AM120" s="2532"/>
      <c r="AN120" s="2532"/>
      <c r="AO120" s="2532"/>
      <c r="AP120" s="2532"/>
      <c r="AQ120" s="2532"/>
      <c r="AR120" s="2532"/>
      <c r="AS120" s="2532"/>
      <c r="AT120" s="2532"/>
      <c r="AU120" s="2532"/>
      <c r="AV120" s="2532"/>
      <c r="AW120" s="2532"/>
      <c r="AX120" s="2532"/>
      <c r="AY120" s="2532"/>
      <c r="AZ120" s="2532"/>
      <c r="BA120" s="2532"/>
      <c r="BB120" s="2532"/>
      <c r="BC120" s="2532"/>
      <c r="BD120" s="2532"/>
      <c r="BE120" s="2532"/>
      <c r="BF120" s="2532"/>
      <c r="BG120" s="2532"/>
      <c r="BH120" s="2532"/>
      <c r="BI120" s="2532"/>
      <c r="BJ120" s="2532"/>
      <c r="BK120" s="2532"/>
      <c r="BL120" s="2532"/>
      <c r="BM120" s="2532"/>
      <c r="BN120" s="2532"/>
      <c r="BO120" s="2532"/>
      <c r="BP120" s="2532"/>
      <c r="BQ120" s="2532"/>
      <c r="BR120" s="2532"/>
      <c r="BS120" s="2532"/>
      <c r="BT120" s="2532"/>
      <c r="BU120" s="2532"/>
      <c r="BV120" s="2532"/>
      <c r="BW120" s="2532"/>
      <c r="BX120" s="2532"/>
      <c r="BY120" s="2532"/>
      <c r="BZ120" s="2532"/>
      <c r="CA120" s="2532"/>
      <c r="CB120" s="2532"/>
      <c r="CC120" s="2532"/>
      <c r="CD120" s="2532"/>
      <c r="CE120" s="2532"/>
      <c r="CF120" s="2532"/>
      <c r="CG120" s="2532"/>
      <c r="CH120" s="2532"/>
      <c r="CI120" s="2532"/>
      <c r="CJ120" s="2532"/>
      <c r="CK120" s="2532"/>
      <c r="CL120" s="2532"/>
      <c r="CM120" s="2532"/>
      <c r="CN120" s="2532"/>
      <c r="CO120" s="2532"/>
      <c r="CP120" s="2532"/>
      <c r="CQ120" s="2532"/>
      <c r="CR120" s="2532"/>
      <c r="CS120" s="2532"/>
      <c r="CT120" s="2532"/>
      <c r="CU120" s="2532"/>
      <c r="CV120" s="2532"/>
      <c r="CW120" s="2532"/>
      <c r="CX120" s="2532"/>
      <c r="CY120" s="2532"/>
      <c r="CZ120" s="2532"/>
      <c r="DA120" s="2532"/>
      <c r="DB120" s="2532"/>
      <c r="DC120" s="2532"/>
      <c r="DD120" s="2532"/>
      <c r="DE120" s="2532"/>
      <c r="DF120" s="2532"/>
      <c r="DG120" s="2532"/>
      <c r="DH120" s="2532"/>
      <c r="DI120" s="2532"/>
      <c r="DJ120" s="2532"/>
      <c r="DK120" s="2532"/>
      <c r="DL120" s="2533"/>
    </row>
    <row r="121" spans="1:137" s="129" customFormat="1" ht="11.25" hidden="1" customHeight="1">
      <c r="A121" s="128"/>
      <c r="B121" s="2509" t="s">
        <v>120</v>
      </c>
      <c r="C121" s="2374"/>
      <c r="D121" s="2375"/>
      <c r="E121" s="2439"/>
      <c r="F121" s="2439"/>
      <c r="G121" s="2439"/>
      <c r="H121" s="2439"/>
      <c r="I121" s="2439"/>
      <c r="J121" s="2439"/>
      <c r="K121" s="2439"/>
      <c r="L121" s="2439"/>
      <c r="M121" s="2439"/>
      <c r="N121" s="2439"/>
      <c r="O121" s="2439"/>
      <c r="P121" s="2439"/>
      <c r="Q121" s="2439"/>
      <c r="R121" s="2439"/>
      <c r="S121" s="2439"/>
      <c r="T121" s="2439"/>
      <c r="U121" s="2439"/>
      <c r="V121" s="2439"/>
      <c r="W121" s="2440"/>
      <c r="X121" s="2373" t="s">
        <v>121</v>
      </c>
      <c r="Y121" s="2374"/>
      <c r="Z121" s="2375"/>
      <c r="AA121" s="2439"/>
      <c r="AB121" s="2439"/>
      <c r="AC121" s="2439"/>
      <c r="AD121" s="2439"/>
      <c r="AE121" s="2439"/>
      <c r="AF121" s="2439"/>
      <c r="AG121" s="2439"/>
      <c r="AH121" s="2439"/>
      <c r="AI121" s="2439"/>
      <c r="AJ121" s="2439"/>
      <c r="AK121" s="2439"/>
      <c r="AL121" s="2439"/>
      <c r="AM121" s="2439"/>
      <c r="AN121" s="2439"/>
      <c r="AO121" s="2439"/>
      <c r="AP121" s="2439"/>
      <c r="AQ121" s="2439"/>
      <c r="AR121" s="2439"/>
      <c r="AS121" s="2439"/>
      <c r="AT121" s="2439"/>
      <c r="AU121" s="2440"/>
      <c r="AV121" s="2373" t="s">
        <v>228</v>
      </c>
      <c r="AW121" s="2374"/>
      <c r="AX121" s="2374"/>
      <c r="AY121" s="2375"/>
      <c r="AZ121" s="2628"/>
      <c r="BA121" s="2629"/>
      <c r="BB121" s="2629"/>
      <c r="BC121" s="2630"/>
      <c r="BD121" s="2373" t="s">
        <v>247</v>
      </c>
      <c r="BE121" s="2374"/>
      <c r="BF121" s="2375"/>
      <c r="BG121" s="2520"/>
      <c r="BH121" s="2437"/>
      <c r="BI121" s="2438"/>
      <c r="BJ121" s="2373" t="s">
        <v>248</v>
      </c>
      <c r="BK121" s="2374"/>
      <c r="BL121" s="2374"/>
      <c r="BM121" s="2374"/>
      <c r="BN121" s="2375"/>
      <c r="BO121" s="2550">
        <v>20</v>
      </c>
      <c r="BP121" s="2551"/>
      <c r="BQ121" s="2551"/>
      <c r="BR121" s="2424"/>
      <c r="BS121" s="2424"/>
      <c r="BT121" s="2556" t="s">
        <v>0</v>
      </c>
      <c r="BU121" s="2556"/>
      <c r="BV121" s="2424"/>
      <c r="BW121" s="2424"/>
      <c r="BX121" s="2624" t="s">
        <v>218</v>
      </c>
      <c r="BY121" s="2624"/>
      <c r="BZ121" s="2624"/>
      <c r="CA121" s="2625"/>
      <c r="CB121" s="2373" t="s">
        <v>246</v>
      </c>
      <c r="CC121" s="2374"/>
      <c r="CD121" s="2374"/>
      <c r="CE121" s="2374"/>
      <c r="CF121" s="2374"/>
      <c r="CG121" s="2375"/>
      <c r="CH121" s="2501"/>
      <c r="CI121" s="2494"/>
      <c r="CJ121" s="2418" t="str">
        <f>IF(AA121="新規","試用版","保有")</f>
        <v>保有</v>
      </c>
      <c r="CK121" s="2419"/>
      <c r="CL121" s="2419"/>
      <c r="CM121" s="2419"/>
      <c r="CN121" s="2420"/>
      <c r="CO121" s="2499"/>
      <c r="CP121" s="2491"/>
      <c r="CQ121" s="2491"/>
      <c r="CR121" s="2491"/>
      <c r="CS121" s="2491"/>
      <c r="CT121" s="2491"/>
      <c r="CU121" s="2491"/>
      <c r="CV121" s="2491"/>
      <c r="CW121" s="2491"/>
      <c r="CX121" s="2491"/>
      <c r="CY121" s="2491"/>
      <c r="CZ121" s="2491"/>
      <c r="DA121" s="2491"/>
      <c r="DB121" s="2491"/>
      <c r="DC121" s="2491"/>
      <c r="DD121" s="2491"/>
      <c r="DE121" s="2491"/>
      <c r="DF121" s="2491"/>
      <c r="DG121" s="2491"/>
      <c r="DH121" s="2491"/>
      <c r="DI121" s="2491"/>
      <c r="DJ121" s="2491"/>
      <c r="DK121" s="2491"/>
      <c r="DL121" s="2500"/>
    </row>
    <row r="122" spans="1:137" s="129" customFormat="1" ht="3.75" hidden="1" customHeight="1">
      <c r="A122" s="128"/>
      <c r="B122" s="2509"/>
      <c r="C122" s="2374"/>
      <c r="D122" s="2375"/>
      <c r="E122" s="2439"/>
      <c r="F122" s="2439"/>
      <c r="G122" s="2439"/>
      <c r="H122" s="2439"/>
      <c r="I122" s="2439"/>
      <c r="J122" s="2439"/>
      <c r="K122" s="2439"/>
      <c r="L122" s="2439"/>
      <c r="M122" s="2439"/>
      <c r="N122" s="2439"/>
      <c r="O122" s="2439"/>
      <c r="P122" s="2439"/>
      <c r="Q122" s="2439"/>
      <c r="R122" s="2439"/>
      <c r="S122" s="2439"/>
      <c r="T122" s="2439"/>
      <c r="U122" s="2439"/>
      <c r="V122" s="2439"/>
      <c r="W122" s="2440"/>
      <c r="X122" s="2373"/>
      <c r="Y122" s="2374"/>
      <c r="Z122" s="2375"/>
      <c r="AA122" s="2439"/>
      <c r="AB122" s="2439"/>
      <c r="AC122" s="2439"/>
      <c r="AD122" s="2439"/>
      <c r="AE122" s="2439"/>
      <c r="AF122" s="2439"/>
      <c r="AG122" s="2439"/>
      <c r="AH122" s="2439"/>
      <c r="AI122" s="2439"/>
      <c r="AJ122" s="2439"/>
      <c r="AK122" s="2439"/>
      <c r="AL122" s="2439"/>
      <c r="AM122" s="2439"/>
      <c r="AN122" s="2439"/>
      <c r="AO122" s="2439"/>
      <c r="AP122" s="2439"/>
      <c r="AQ122" s="2439"/>
      <c r="AR122" s="2439"/>
      <c r="AS122" s="2439"/>
      <c r="AT122" s="2439"/>
      <c r="AU122" s="2440"/>
      <c r="AV122" s="2373"/>
      <c r="AW122" s="2374"/>
      <c r="AX122" s="2374"/>
      <c r="AY122" s="2375"/>
      <c r="AZ122" s="2628"/>
      <c r="BA122" s="2629"/>
      <c r="BB122" s="2629"/>
      <c r="BC122" s="2630"/>
      <c r="BD122" s="2373"/>
      <c r="BE122" s="2374"/>
      <c r="BF122" s="2375"/>
      <c r="BG122" s="2488"/>
      <c r="BH122" s="2439"/>
      <c r="BI122" s="2440"/>
      <c r="BJ122" s="2373"/>
      <c r="BK122" s="2374"/>
      <c r="BL122" s="2374"/>
      <c r="BM122" s="2374"/>
      <c r="BN122" s="2375"/>
      <c r="BO122" s="2552"/>
      <c r="BP122" s="2553"/>
      <c r="BQ122" s="2553"/>
      <c r="BR122" s="2424"/>
      <c r="BS122" s="2424"/>
      <c r="BT122" s="2557"/>
      <c r="BU122" s="2557"/>
      <c r="BV122" s="2424"/>
      <c r="BW122" s="2424"/>
      <c r="BX122" s="2624"/>
      <c r="BY122" s="2624"/>
      <c r="BZ122" s="2624"/>
      <c r="CA122" s="2625"/>
      <c r="CB122" s="2373"/>
      <c r="CC122" s="2374"/>
      <c r="CD122" s="2374"/>
      <c r="CE122" s="2374"/>
      <c r="CF122" s="2374"/>
      <c r="CG122" s="2375"/>
      <c r="CH122" s="2501"/>
      <c r="CI122" s="2494"/>
      <c r="CJ122" s="2418" t="s">
        <v>262</v>
      </c>
      <c r="CK122" s="2419"/>
      <c r="CL122" s="2419"/>
      <c r="CM122" s="2419"/>
      <c r="CN122" s="2420"/>
      <c r="CO122" s="2501"/>
      <c r="CP122" s="2493"/>
      <c r="CQ122" s="2493"/>
      <c r="CR122" s="2493"/>
      <c r="CS122" s="2493"/>
      <c r="CT122" s="2493"/>
      <c r="CU122" s="2493"/>
      <c r="CV122" s="2493"/>
      <c r="CW122" s="2493"/>
      <c r="CX122" s="2493"/>
      <c r="CY122" s="2493"/>
      <c r="CZ122" s="2493"/>
      <c r="DA122" s="2493"/>
      <c r="DB122" s="2493"/>
      <c r="DC122" s="2493"/>
      <c r="DD122" s="2493"/>
      <c r="DE122" s="2493"/>
      <c r="DF122" s="2493"/>
      <c r="DG122" s="2493"/>
      <c r="DH122" s="2493"/>
      <c r="DI122" s="2493"/>
      <c r="DJ122" s="2493"/>
      <c r="DK122" s="2493"/>
      <c r="DL122" s="2502"/>
    </row>
    <row r="123" spans="1:137" s="129" customFormat="1" ht="7.5" hidden="1" customHeight="1">
      <c r="A123" s="128"/>
      <c r="B123" s="2510"/>
      <c r="C123" s="2377"/>
      <c r="D123" s="2378"/>
      <c r="E123" s="4344"/>
      <c r="F123" s="4344"/>
      <c r="G123" s="4344"/>
      <c r="H123" s="4344"/>
      <c r="I123" s="4344"/>
      <c r="J123" s="4344"/>
      <c r="K123" s="4344"/>
      <c r="L123" s="4344"/>
      <c r="M123" s="4344"/>
      <c r="N123" s="4344"/>
      <c r="O123" s="4344"/>
      <c r="P123" s="4344"/>
      <c r="Q123" s="4344"/>
      <c r="R123" s="4344"/>
      <c r="S123" s="4344"/>
      <c r="T123" s="4344"/>
      <c r="U123" s="4344"/>
      <c r="V123" s="4344"/>
      <c r="W123" s="4345"/>
      <c r="X123" s="2376"/>
      <c r="Y123" s="2377"/>
      <c r="Z123" s="2378"/>
      <c r="AA123" s="4344"/>
      <c r="AB123" s="4344"/>
      <c r="AC123" s="4344"/>
      <c r="AD123" s="4344"/>
      <c r="AE123" s="4344"/>
      <c r="AF123" s="4344"/>
      <c r="AG123" s="4344"/>
      <c r="AH123" s="4344"/>
      <c r="AI123" s="4344"/>
      <c r="AJ123" s="4344"/>
      <c r="AK123" s="4344"/>
      <c r="AL123" s="4344"/>
      <c r="AM123" s="4344"/>
      <c r="AN123" s="4344"/>
      <c r="AO123" s="4344"/>
      <c r="AP123" s="4344"/>
      <c r="AQ123" s="4344"/>
      <c r="AR123" s="4344"/>
      <c r="AS123" s="4344"/>
      <c r="AT123" s="4344"/>
      <c r="AU123" s="4345"/>
      <c r="AV123" s="2376"/>
      <c r="AW123" s="2377"/>
      <c r="AX123" s="2377"/>
      <c r="AY123" s="2378"/>
      <c r="AZ123" s="2631"/>
      <c r="BA123" s="2632"/>
      <c r="BB123" s="2632"/>
      <c r="BC123" s="2633"/>
      <c r="BD123" s="2376"/>
      <c r="BE123" s="2377"/>
      <c r="BF123" s="2378"/>
      <c r="BG123" s="2521"/>
      <c r="BH123" s="2522"/>
      <c r="BI123" s="2523"/>
      <c r="BJ123" s="2376"/>
      <c r="BK123" s="2377"/>
      <c r="BL123" s="2377"/>
      <c r="BM123" s="2377"/>
      <c r="BN123" s="2378"/>
      <c r="BO123" s="2554"/>
      <c r="BP123" s="2555"/>
      <c r="BQ123" s="2555"/>
      <c r="BR123" s="2425"/>
      <c r="BS123" s="2425"/>
      <c r="BT123" s="2558"/>
      <c r="BU123" s="2558"/>
      <c r="BV123" s="2425"/>
      <c r="BW123" s="2425"/>
      <c r="BX123" s="2626"/>
      <c r="BY123" s="2626"/>
      <c r="BZ123" s="2626"/>
      <c r="CA123" s="2627"/>
      <c r="CB123" s="2376"/>
      <c r="CC123" s="2377"/>
      <c r="CD123" s="2377"/>
      <c r="CE123" s="2377"/>
      <c r="CF123" s="2377"/>
      <c r="CG123" s="2378"/>
      <c r="CH123" s="2503"/>
      <c r="CI123" s="2496"/>
      <c r="CJ123" s="2421"/>
      <c r="CK123" s="2422"/>
      <c r="CL123" s="2422"/>
      <c r="CM123" s="2422"/>
      <c r="CN123" s="2423"/>
      <c r="CO123" s="2503"/>
      <c r="CP123" s="2495"/>
      <c r="CQ123" s="2495"/>
      <c r="CR123" s="2495"/>
      <c r="CS123" s="2495"/>
      <c r="CT123" s="2495"/>
      <c r="CU123" s="2495"/>
      <c r="CV123" s="2495"/>
      <c r="CW123" s="2495"/>
      <c r="CX123" s="2495"/>
      <c r="CY123" s="2495"/>
      <c r="CZ123" s="2495"/>
      <c r="DA123" s="2495"/>
      <c r="DB123" s="2495"/>
      <c r="DC123" s="2495"/>
      <c r="DD123" s="2495"/>
      <c r="DE123" s="2495"/>
      <c r="DF123" s="2495"/>
      <c r="DG123" s="2495"/>
      <c r="DH123" s="2495"/>
      <c r="DI123" s="2495"/>
      <c r="DJ123" s="2495"/>
      <c r="DK123" s="2495"/>
      <c r="DL123" s="2504"/>
    </row>
    <row r="124" spans="1:137" ht="11.25" hidden="1" customHeight="1">
      <c r="A124" s="44"/>
      <c r="B124" s="4329" t="s">
        <v>235</v>
      </c>
      <c r="C124" s="2948"/>
      <c r="D124" s="2948"/>
      <c r="E124" s="2948"/>
      <c r="F124" s="2948"/>
      <c r="G124" s="2948"/>
      <c r="H124" s="2948"/>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48"/>
      <c r="AD124" s="2948"/>
      <c r="AE124" s="2948"/>
      <c r="AF124" s="2948"/>
      <c r="AG124" s="2948"/>
      <c r="AH124" s="2948"/>
      <c r="AI124" s="2948"/>
      <c r="AJ124" s="2948"/>
      <c r="AK124" s="2948"/>
      <c r="AL124" s="2948"/>
      <c r="AM124" s="2948"/>
      <c r="AN124" s="2948"/>
      <c r="AO124" s="2948"/>
      <c r="AP124" s="2948"/>
      <c r="AQ124" s="2948"/>
      <c r="AR124" s="2948"/>
      <c r="AS124" s="2948"/>
      <c r="AT124" s="2948"/>
      <c r="AU124" s="2948"/>
      <c r="AV124" s="2948"/>
      <c r="AW124" s="2948"/>
      <c r="AX124" s="2948"/>
      <c r="AY124" s="2948"/>
      <c r="AZ124" s="2948"/>
      <c r="BA124" s="2948"/>
      <c r="BB124" s="2948"/>
      <c r="BC124" s="2948"/>
      <c r="BD124" s="2948"/>
      <c r="BE124" s="2948"/>
      <c r="BF124" s="2948"/>
      <c r="BG124" s="2948"/>
      <c r="BH124" s="2948"/>
      <c r="BI124" s="2948"/>
      <c r="BJ124" s="2948"/>
      <c r="BK124" s="2948"/>
      <c r="BL124" s="2948"/>
      <c r="BM124" s="2948"/>
      <c r="BN124" s="2948"/>
      <c r="BO124" s="2948"/>
      <c r="BP124" s="2948"/>
      <c r="BQ124" s="2948"/>
      <c r="BR124" s="2948"/>
      <c r="BS124" s="2948"/>
      <c r="BT124" s="2948"/>
      <c r="BU124" s="2948"/>
      <c r="BV124" s="2948"/>
      <c r="BW124" s="2948"/>
      <c r="BX124" s="2948"/>
      <c r="BY124" s="2948"/>
      <c r="BZ124" s="2948"/>
      <c r="CA124" s="2948"/>
      <c r="CB124" s="2948"/>
      <c r="CC124" s="2948"/>
      <c r="CD124" s="2948"/>
      <c r="CE124" s="2948"/>
      <c r="CF124" s="2948"/>
      <c r="CG124" s="2948"/>
      <c r="CH124" s="2948"/>
      <c r="CI124" s="2948"/>
      <c r="CJ124" s="2948"/>
      <c r="CK124" s="2948"/>
      <c r="CL124" s="2948"/>
      <c r="CM124" s="2948"/>
      <c r="CN124" s="2948"/>
      <c r="CO124" s="2948"/>
      <c r="CP124" s="2948"/>
      <c r="CQ124" s="2948"/>
      <c r="CR124" s="2948"/>
      <c r="CS124" s="2948"/>
      <c r="CT124" s="2948"/>
      <c r="CU124" s="2948"/>
      <c r="CV124" s="2948"/>
      <c r="CW124" s="2948"/>
      <c r="CX124" s="2948"/>
      <c r="CY124" s="2948"/>
      <c r="CZ124" s="2948"/>
      <c r="DA124" s="2948"/>
      <c r="DB124" s="2948"/>
      <c r="DC124" s="2948"/>
      <c r="DD124" s="2948"/>
      <c r="DE124" s="2948"/>
      <c r="DF124" s="2948"/>
      <c r="DG124" s="2948"/>
      <c r="DH124" s="2948"/>
      <c r="DI124" s="2948"/>
      <c r="DJ124" s="2948"/>
      <c r="DK124" s="2948"/>
      <c r="DL124" s="2949"/>
      <c r="DM124" s="125"/>
      <c r="DR124" s="109"/>
    </row>
    <row r="125" spans="1:137" s="129" customFormat="1" ht="7.5" hidden="1" customHeight="1">
      <c r="A125" s="128"/>
      <c r="B125" s="2508" t="s">
        <v>249</v>
      </c>
      <c r="C125" s="2444"/>
      <c r="D125" s="2444"/>
      <c r="E125" s="2444"/>
      <c r="F125" s="2444"/>
      <c r="G125" s="2444"/>
      <c r="H125" s="2444"/>
      <c r="I125" s="2444"/>
      <c r="J125" s="2445"/>
      <c r="K125" s="2499"/>
      <c r="L125" s="2491"/>
      <c r="M125" s="2491"/>
      <c r="N125" s="2491"/>
      <c r="O125" s="2491"/>
      <c r="P125" s="2491"/>
      <c r="Q125" s="2491"/>
      <c r="R125" s="2491"/>
      <c r="S125" s="2491"/>
      <c r="T125" s="2491"/>
      <c r="U125" s="2491"/>
      <c r="V125" s="2491"/>
      <c r="W125" s="2491"/>
      <c r="X125" s="2491"/>
      <c r="Y125" s="2491"/>
      <c r="Z125" s="2491"/>
      <c r="AA125" s="2443" t="s">
        <v>250</v>
      </c>
      <c r="AB125" s="2444"/>
      <c r="AC125" s="2444"/>
      <c r="AD125" s="2444"/>
      <c r="AE125" s="2444"/>
      <c r="AF125" s="2444"/>
      <c r="AG125" s="2445"/>
      <c r="AH125" s="2559"/>
      <c r="AI125" s="2560"/>
      <c r="AJ125" s="2560"/>
      <c r="AK125" s="2560"/>
      <c r="AL125" s="2560"/>
      <c r="AM125" s="2560"/>
      <c r="AN125" s="2560"/>
      <c r="AO125" s="2560"/>
      <c r="AP125" s="2560"/>
      <c r="AQ125" s="2560"/>
      <c r="AR125" s="2560"/>
      <c r="AS125" s="2560"/>
      <c r="AT125" s="2544" t="s">
        <v>744</v>
      </c>
      <c r="AU125" s="2544"/>
      <c r="AV125" s="2544"/>
      <c r="AW125" s="2544"/>
      <c r="AX125" s="2544"/>
      <c r="AY125" s="2426"/>
      <c r="AZ125" s="2426"/>
      <c r="BA125" s="2426"/>
      <c r="BB125" s="2426"/>
      <c r="BC125" s="2426"/>
      <c r="BD125" s="2426"/>
      <c r="BE125" s="2426"/>
      <c r="BF125" s="2426"/>
      <c r="BG125" s="2426"/>
      <c r="BH125" s="2426"/>
      <c r="BI125" s="2426"/>
      <c r="BJ125" s="2426"/>
      <c r="BK125" s="2426"/>
      <c r="BL125" s="2426"/>
      <c r="BM125" s="2426"/>
      <c r="BN125" s="2426"/>
      <c r="BO125" s="2426"/>
      <c r="BP125" s="2426"/>
      <c r="BQ125" s="2367" t="s">
        <v>251</v>
      </c>
      <c r="BR125" s="2368"/>
      <c r="BS125" s="2368"/>
      <c r="BT125" s="2368"/>
      <c r="BU125" s="2368"/>
      <c r="BV125" s="2369"/>
      <c r="BW125" s="2534"/>
      <c r="BX125" s="2535"/>
      <c r="BY125" s="2896" t="s">
        <v>742</v>
      </c>
      <c r="BZ125" s="2896"/>
      <c r="CA125" s="2896"/>
      <c r="CB125" s="2896"/>
      <c r="CC125" s="2896"/>
      <c r="CD125" s="2896"/>
      <c r="CE125" s="2896"/>
      <c r="CF125" s="2896"/>
      <c r="CG125" s="2896"/>
      <c r="CH125" s="2896"/>
      <c r="CI125" s="2896"/>
      <c r="CJ125" s="2896"/>
      <c r="CK125" s="2894"/>
      <c r="CL125" s="2894"/>
      <c r="CM125" s="2894"/>
      <c r="CN125" s="2538" t="s">
        <v>252</v>
      </c>
      <c r="CO125" s="2539"/>
      <c r="CP125" s="2539"/>
      <c r="CQ125" s="2540"/>
      <c r="CR125" s="2534"/>
      <c r="CS125" s="2535"/>
      <c r="CT125" s="2367" t="s">
        <v>743</v>
      </c>
      <c r="CU125" s="2368"/>
      <c r="CV125" s="2368"/>
      <c r="CW125" s="2368"/>
      <c r="CX125" s="2368"/>
      <c r="CY125" s="2368"/>
      <c r="CZ125" s="2368"/>
      <c r="DA125" s="2368"/>
      <c r="DB125" s="2368"/>
      <c r="DC125" s="2368"/>
      <c r="DD125" s="2368"/>
      <c r="DE125" s="2368"/>
      <c r="DF125" s="2369"/>
      <c r="DG125" s="2572"/>
      <c r="DH125" s="2572"/>
      <c r="DI125" s="2572"/>
      <c r="DJ125" s="2572"/>
      <c r="DK125" s="2572"/>
      <c r="DL125" s="2573"/>
    </row>
    <row r="126" spans="1:137" customFormat="1" ht="7.5" hidden="1" customHeight="1">
      <c r="A126" s="127"/>
      <c r="B126" s="2509"/>
      <c r="C126" s="2374"/>
      <c r="D126" s="2374"/>
      <c r="E126" s="2374"/>
      <c r="F126" s="2374"/>
      <c r="G126" s="2374"/>
      <c r="H126" s="2374"/>
      <c r="I126" s="2374"/>
      <c r="J126" s="2375"/>
      <c r="K126" s="2501"/>
      <c r="L126" s="2493"/>
      <c r="M126" s="2493"/>
      <c r="N126" s="2493"/>
      <c r="O126" s="2493"/>
      <c r="P126" s="2493"/>
      <c r="Q126" s="2493"/>
      <c r="R126" s="2493"/>
      <c r="S126" s="2493"/>
      <c r="T126" s="2493"/>
      <c r="U126" s="2493"/>
      <c r="V126" s="2493"/>
      <c r="W126" s="2493"/>
      <c r="X126" s="2493"/>
      <c r="Y126" s="2493"/>
      <c r="Z126" s="2493"/>
      <c r="AA126" s="2373"/>
      <c r="AB126" s="2374"/>
      <c r="AC126" s="2374"/>
      <c r="AD126" s="2374"/>
      <c r="AE126" s="2374"/>
      <c r="AF126" s="2374"/>
      <c r="AG126" s="2375"/>
      <c r="AH126" s="2561"/>
      <c r="AI126" s="2562"/>
      <c r="AJ126" s="2562"/>
      <c r="AK126" s="2562"/>
      <c r="AL126" s="2562"/>
      <c r="AM126" s="2562"/>
      <c r="AN126" s="2562"/>
      <c r="AO126" s="2562"/>
      <c r="AP126" s="2562"/>
      <c r="AQ126" s="2562"/>
      <c r="AR126" s="2562"/>
      <c r="AS126" s="2562"/>
      <c r="AT126" s="2545"/>
      <c r="AU126" s="2545"/>
      <c r="AV126" s="2545"/>
      <c r="AW126" s="2545"/>
      <c r="AX126" s="2545"/>
      <c r="AY126" s="2427"/>
      <c r="AZ126" s="2427"/>
      <c r="BA126" s="2427"/>
      <c r="BB126" s="2427"/>
      <c r="BC126" s="2427"/>
      <c r="BD126" s="2427"/>
      <c r="BE126" s="2427"/>
      <c r="BF126" s="2427"/>
      <c r="BG126" s="2427"/>
      <c r="BH126" s="2427"/>
      <c r="BI126" s="2427"/>
      <c r="BJ126" s="2427"/>
      <c r="BK126" s="2427"/>
      <c r="BL126" s="2427"/>
      <c r="BM126" s="2427"/>
      <c r="BN126" s="2427"/>
      <c r="BO126" s="2427"/>
      <c r="BP126" s="2427"/>
      <c r="BQ126" s="2370"/>
      <c r="BR126" s="2371"/>
      <c r="BS126" s="2371"/>
      <c r="BT126" s="2371"/>
      <c r="BU126" s="2371"/>
      <c r="BV126" s="2372"/>
      <c r="BW126" s="2536"/>
      <c r="BX126" s="2537"/>
      <c r="BY126" s="2897"/>
      <c r="BZ126" s="2897"/>
      <c r="CA126" s="2897"/>
      <c r="CB126" s="2897"/>
      <c r="CC126" s="2897"/>
      <c r="CD126" s="2897"/>
      <c r="CE126" s="2897"/>
      <c r="CF126" s="2897"/>
      <c r="CG126" s="2897"/>
      <c r="CH126" s="2897"/>
      <c r="CI126" s="2897"/>
      <c r="CJ126" s="2897"/>
      <c r="CK126" s="2895"/>
      <c r="CL126" s="2895"/>
      <c r="CM126" s="2895"/>
      <c r="CN126" s="2541"/>
      <c r="CO126" s="2542"/>
      <c r="CP126" s="2542"/>
      <c r="CQ126" s="2543"/>
      <c r="CR126" s="2536"/>
      <c r="CS126" s="2537"/>
      <c r="CT126" s="2370"/>
      <c r="CU126" s="2371"/>
      <c r="CV126" s="2371"/>
      <c r="CW126" s="2371"/>
      <c r="CX126" s="2371"/>
      <c r="CY126" s="2371"/>
      <c r="CZ126" s="2371"/>
      <c r="DA126" s="2371"/>
      <c r="DB126" s="2371"/>
      <c r="DC126" s="2371"/>
      <c r="DD126" s="2371"/>
      <c r="DE126" s="2371"/>
      <c r="DF126" s="2372"/>
      <c r="DG126" s="2574"/>
      <c r="DH126" s="2574"/>
      <c r="DI126" s="2574"/>
      <c r="DJ126" s="2574"/>
      <c r="DK126" s="2574"/>
      <c r="DL126" s="2575"/>
    </row>
    <row r="127" spans="1:137" customFormat="1" ht="7.5" hidden="1" customHeight="1" thickBot="1">
      <c r="A127" s="127"/>
      <c r="B127" s="2510"/>
      <c r="C127" s="2377"/>
      <c r="D127" s="2377"/>
      <c r="E127" s="2377"/>
      <c r="F127" s="2377"/>
      <c r="G127" s="2377"/>
      <c r="H127" s="2377"/>
      <c r="I127" s="2377"/>
      <c r="J127" s="2378"/>
      <c r="K127" s="2673"/>
      <c r="L127" s="2674"/>
      <c r="M127" s="2674"/>
      <c r="N127" s="2674"/>
      <c r="O127" s="2674"/>
      <c r="P127" s="2674"/>
      <c r="Q127" s="2674"/>
      <c r="R127" s="2674"/>
      <c r="S127" s="2674"/>
      <c r="T127" s="2674"/>
      <c r="U127" s="2674"/>
      <c r="V127" s="2674"/>
      <c r="W127" s="2674"/>
      <c r="X127" s="2674"/>
      <c r="Y127" s="2674"/>
      <c r="Z127" s="2674"/>
      <c r="AA127" s="2446"/>
      <c r="AB127" s="2447"/>
      <c r="AC127" s="2447"/>
      <c r="AD127" s="2447"/>
      <c r="AE127" s="2447"/>
      <c r="AF127" s="2447"/>
      <c r="AG127" s="2448"/>
      <c r="AH127" s="2733"/>
      <c r="AI127" s="2719"/>
      <c r="AJ127" s="2719"/>
      <c r="AK127" s="2719"/>
      <c r="AL127" s="2719"/>
      <c r="AM127" s="2719"/>
      <c r="AN127" s="2719"/>
      <c r="AO127" s="2719"/>
      <c r="AP127" s="2719"/>
      <c r="AQ127" s="2719"/>
      <c r="AR127" s="2719"/>
      <c r="AS127" s="2719"/>
      <c r="AT127" s="4330"/>
      <c r="AU127" s="4330"/>
      <c r="AV127" s="4330"/>
      <c r="AW127" s="4330"/>
      <c r="AX127" s="4330"/>
      <c r="AY127" s="4331"/>
      <c r="AZ127" s="4331"/>
      <c r="BA127" s="4331"/>
      <c r="BB127" s="4331"/>
      <c r="BC127" s="4331"/>
      <c r="BD127" s="4331"/>
      <c r="BE127" s="4331"/>
      <c r="BF127" s="4331"/>
      <c r="BG127" s="4331"/>
      <c r="BH127" s="4331"/>
      <c r="BI127" s="4331"/>
      <c r="BJ127" s="4331"/>
      <c r="BK127" s="4331"/>
      <c r="BL127" s="4331"/>
      <c r="BM127" s="4331"/>
      <c r="BN127" s="4331"/>
      <c r="BO127" s="4331"/>
      <c r="BP127" s="4331"/>
      <c r="BQ127" s="4332"/>
      <c r="BR127" s="4333"/>
      <c r="BS127" s="4333"/>
      <c r="BT127" s="4333"/>
      <c r="BU127" s="4333"/>
      <c r="BV127" s="4334"/>
      <c r="BW127" s="4335"/>
      <c r="BX127" s="4336"/>
      <c r="BY127" s="4337"/>
      <c r="BZ127" s="4337"/>
      <c r="CA127" s="4337"/>
      <c r="CB127" s="4337"/>
      <c r="CC127" s="4337"/>
      <c r="CD127" s="4337"/>
      <c r="CE127" s="4337"/>
      <c r="CF127" s="4337"/>
      <c r="CG127" s="4337"/>
      <c r="CH127" s="4337"/>
      <c r="CI127" s="4337"/>
      <c r="CJ127" s="4337"/>
      <c r="CK127" s="4343"/>
      <c r="CL127" s="4343"/>
      <c r="CM127" s="4343"/>
      <c r="CN127" s="4338"/>
      <c r="CO127" s="4339"/>
      <c r="CP127" s="4339"/>
      <c r="CQ127" s="4340"/>
      <c r="CR127" s="4335"/>
      <c r="CS127" s="4336"/>
      <c r="CT127" s="4332"/>
      <c r="CU127" s="4333"/>
      <c r="CV127" s="4333"/>
      <c r="CW127" s="4333"/>
      <c r="CX127" s="4333"/>
      <c r="CY127" s="4333"/>
      <c r="CZ127" s="4333"/>
      <c r="DA127" s="4333"/>
      <c r="DB127" s="4333"/>
      <c r="DC127" s="4333"/>
      <c r="DD127" s="4333"/>
      <c r="DE127" s="4333"/>
      <c r="DF127" s="4334"/>
      <c r="DG127" s="4341"/>
      <c r="DH127" s="4341"/>
      <c r="DI127" s="4341"/>
      <c r="DJ127" s="4341"/>
      <c r="DK127" s="4341"/>
      <c r="DL127" s="4342"/>
    </row>
    <row r="128" spans="1:137" s="130" customFormat="1" ht="9" hidden="1" customHeight="1" thickBot="1">
      <c r="B128" s="4389" t="s">
        <v>505</v>
      </c>
      <c r="C128" s="4390"/>
      <c r="D128" s="4390"/>
      <c r="E128" s="4390"/>
      <c r="F128" s="4390"/>
      <c r="G128" s="4390"/>
      <c r="H128" s="4390"/>
      <c r="I128" s="4390"/>
      <c r="J128" s="4390"/>
      <c r="K128" s="4390"/>
      <c r="L128" s="4390"/>
      <c r="M128" s="4390"/>
      <c r="N128" s="4390"/>
      <c r="O128" s="4390"/>
      <c r="P128" s="4390"/>
      <c r="Q128" s="4390"/>
      <c r="R128" s="4390"/>
      <c r="S128" s="4390"/>
      <c r="T128" s="4390"/>
      <c r="U128" s="4390"/>
      <c r="V128" s="4390"/>
      <c r="W128" s="4390"/>
      <c r="X128" s="4390"/>
      <c r="Y128" s="4390"/>
      <c r="Z128" s="4390"/>
      <c r="AA128" s="4390"/>
      <c r="AB128" s="4390"/>
      <c r="AC128" s="4390"/>
      <c r="AD128" s="4390"/>
      <c r="AE128" s="4390"/>
      <c r="AF128" s="4390"/>
      <c r="AG128" s="4390"/>
      <c r="AH128" s="4390"/>
      <c r="AI128" s="4390"/>
      <c r="AJ128" s="4390"/>
      <c r="AK128" s="4390"/>
      <c r="AL128" s="4390"/>
      <c r="AM128" s="4390"/>
      <c r="AN128" s="4390"/>
      <c r="AO128" s="4390"/>
      <c r="AP128" s="4390"/>
      <c r="AQ128" s="4390"/>
      <c r="AR128" s="4390"/>
      <c r="AS128" s="4390"/>
      <c r="AT128" s="4390"/>
      <c r="AU128" s="4390"/>
      <c r="AV128" s="4390"/>
      <c r="AW128" s="4390"/>
      <c r="AX128" s="4390"/>
      <c r="AY128" s="4390"/>
      <c r="AZ128" s="4390"/>
      <c r="BA128" s="4390"/>
      <c r="BB128" s="4390"/>
      <c r="BC128" s="4390"/>
      <c r="BD128" s="4390"/>
      <c r="BE128" s="4390"/>
      <c r="BF128" s="4390"/>
      <c r="BG128" s="4390"/>
      <c r="BH128" s="4390"/>
      <c r="BI128" s="4390"/>
      <c r="BJ128" s="4390"/>
      <c r="BK128" s="4390"/>
      <c r="BL128" s="4390"/>
      <c r="BM128" s="4390"/>
      <c r="BN128" s="4390"/>
      <c r="BO128" s="4390"/>
      <c r="BP128" s="4390"/>
      <c r="BQ128" s="4390"/>
      <c r="BR128" s="4390"/>
      <c r="BS128" s="4390"/>
      <c r="BT128" s="4390"/>
      <c r="BU128" s="4390"/>
      <c r="BV128" s="4390"/>
      <c r="BW128" s="4390"/>
      <c r="BX128" s="4390"/>
      <c r="BY128" s="4390"/>
      <c r="BZ128" s="4390"/>
      <c r="CA128" s="4390"/>
      <c r="CB128" s="4390"/>
      <c r="CC128" s="4390"/>
      <c r="CD128" s="4390"/>
      <c r="CE128" s="4390"/>
      <c r="CF128" s="4390"/>
      <c r="CG128" s="4390"/>
      <c r="CH128" s="4390"/>
      <c r="CI128" s="4390"/>
      <c r="CJ128" s="4390"/>
      <c r="CK128" s="4390"/>
      <c r="CL128" s="4390"/>
      <c r="CM128" s="4390"/>
      <c r="CN128" s="4390"/>
      <c r="CO128" s="4390"/>
      <c r="CP128" s="4390"/>
      <c r="CQ128" s="4390"/>
      <c r="CR128" s="4390"/>
      <c r="CS128" s="4390"/>
      <c r="CT128" s="4390"/>
      <c r="CU128" s="4390"/>
      <c r="CV128" s="4390"/>
      <c r="CW128" s="4390"/>
      <c r="CX128" s="4390"/>
      <c r="CY128" s="4390"/>
      <c r="CZ128" s="4390"/>
      <c r="DA128" s="4390"/>
      <c r="DB128" s="4390"/>
      <c r="DC128" s="4390"/>
      <c r="DD128" s="4390"/>
      <c r="DE128" s="4390"/>
      <c r="DF128" s="4390"/>
      <c r="DG128" s="4390"/>
      <c r="DH128" s="4390"/>
      <c r="DI128" s="4390"/>
      <c r="DJ128" s="4390"/>
      <c r="DK128" s="4390"/>
      <c r="DL128" s="4391"/>
      <c r="DM128" s="131"/>
      <c r="DN128" s="131"/>
      <c r="DO128" s="131"/>
      <c r="DQ128" s="132"/>
    </row>
    <row r="129" spans="1:126" s="133" customFormat="1" ht="6" hidden="1" customHeight="1" thickBot="1">
      <c r="B129" s="134"/>
      <c r="C129" s="134"/>
      <c r="D129" s="134"/>
      <c r="E129" s="134"/>
      <c r="F129" s="134"/>
      <c r="G129" s="134"/>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135"/>
      <c r="BJ129" s="135"/>
      <c r="BK129" s="135"/>
      <c r="BL129" s="135"/>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5"/>
      <c r="CY129" s="135"/>
      <c r="CZ129" s="135"/>
      <c r="DA129" s="135"/>
      <c r="DB129" s="135"/>
      <c r="DC129" s="135"/>
      <c r="DD129" s="135"/>
      <c r="DE129" s="135"/>
      <c r="DF129" s="135"/>
      <c r="DG129" s="135"/>
      <c r="DH129" s="135"/>
      <c r="DI129" s="135"/>
      <c r="DJ129" s="135"/>
      <c r="DK129" s="135"/>
      <c r="DL129" s="135"/>
      <c r="DM129" s="135"/>
      <c r="DN129" s="135"/>
      <c r="DO129" s="135"/>
      <c r="DQ129" s="134"/>
    </row>
    <row r="130" spans="1:126" s="129" customFormat="1" ht="7.5" hidden="1" customHeight="1">
      <c r="B130" s="2398" t="str">
        <f>IF(AF132="いいえ","(新規購入時) 以下の内容を確認いただき「はい」を選択下さい",IF(AF135="いいえ","以下の内容を確認いただき、「はい」を選択下さい","使用上の注意、動作環境の確認"))</f>
        <v>使用上の注意、動作環境の確認</v>
      </c>
      <c r="C130" s="2399"/>
      <c r="D130" s="2399"/>
      <c r="E130" s="2399"/>
      <c r="F130" s="2399"/>
      <c r="G130" s="2399"/>
      <c r="H130" s="2399"/>
      <c r="I130" s="2399"/>
      <c r="J130" s="2399"/>
      <c r="K130" s="2399"/>
      <c r="L130" s="2399"/>
      <c r="M130" s="2399"/>
      <c r="N130" s="2399"/>
      <c r="O130" s="2399"/>
      <c r="P130" s="2399"/>
      <c r="Q130" s="2399"/>
      <c r="R130" s="2399"/>
      <c r="S130" s="2399"/>
      <c r="T130" s="2399"/>
      <c r="U130" s="2399"/>
      <c r="V130" s="2399"/>
      <c r="W130" s="2399"/>
      <c r="X130" s="2399"/>
      <c r="Y130" s="2399"/>
      <c r="Z130" s="2399"/>
      <c r="AA130" s="2399"/>
      <c r="AB130" s="2399"/>
      <c r="AC130" s="2399"/>
      <c r="AD130" s="2399"/>
      <c r="AE130" s="2399"/>
      <c r="AF130" s="2399"/>
      <c r="AG130" s="2399"/>
      <c r="AH130" s="2399"/>
      <c r="AI130" s="2400"/>
      <c r="AJ130" s="2888" t="s">
        <v>244</v>
      </c>
      <c r="AK130" s="2889"/>
      <c r="AL130" s="2889"/>
      <c r="AM130" s="2889"/>
      <c r="AN130" s="2889"/>
      <c r="AO130" s="2889"/>
      <c r="AP130" s="2889"/>
      <c r="AQ130" s="2889"/>
      <c r="AR130" s="2889"/>
      <c r="AS130" s="2889"/>
      <c r="AT130" s="2889"/>
      <c r="AU130" s="2889"/>
      <c r="AV130" s="2889"/>
      <c r="AW130" s="2889"/>
      <c r="AX130" s="2889"/>
      <c r="AY130" s="2889"/>
      <c r="AZ130" s="2889"/>
      <c r="BA130" s="2889"/>
      <c r="BB130" s="2889"/>
      <c r="BC130" s="2889"/>
      <c r="BD130" s="2889"/>
      <c r="BE130" s="2889"/>
      <c r="BF130" s="2889"/>
      <c r="BG130" s="2889"/>
      <c r="BH130" s="2889"/>
      <c r="BI130" s="2889"/>
      <c r="BJ130" s="2889"/>
      <c r="BK130" s="2889"/>
      <c r="BL130" s="2889"/>
      <c r="BM130" s="2889"/>
      <c r="BN130" s="2889"/>
      <c r="BO130" s="2889"/>
      <c r="BP130" s="2889"/>
      <c r="BQ130" s="2889"/>
      <c r="BR130" s="2889"/>
      <c r="BS130" s="2889"/>
      <c r="BT130" s="2889"/>
      <c r="BU130" s="2889"/>
      <c r="BV130" s="2889"/>
      <c r="BW130" s="2889"/>
      <c r="BX130" s="2889"/>
      <c r="BY130" s="2889"/>
      <c r="BZ130" s="2889"/>
      <c r="CA130" s="2889"/>
      <c r="CB130" s="2889"/>
      <c r="CC130" s="2889"/>
      <c r="CD130" s="2889"/>
      <c r="CE130" s="2889"/>
      <c r="CF130" s="2889"/>
      <c r="CG130" s="2889"/>
      <c r="CH130" s="2889"/>
      <c r="CI130" s="2889"/>
      <c r="CJ130" s="2889"/>
      <c r="CK130" s="2889"/>
      <c r="CL130" s="2889"/>
      <c r="CM130" s="2889"/>
      <c r="CN130" s="2889"/>
      <c r="CO130" s="2889"/>
      <c r="CP130" s="2889"/>
      <c r="CQ130" s="2889"/>
      <c r="CR130" s="2889"/>
      <c r="CS130" s="2889"/>
      <c r="CT130" s="2889"/>
      <c r="CU130" s="2889"/>
      <c r="CV130" s="2889"/>
      <c r="CW130" s="2889"/>
      <c r="CX130" s="2889"/>
      <c r="CY130" s="2889"/>
      <c r="CZ130" s="2889"/>
      <c r="DA130" s="2889"/>
      <c r="DB130" s="2889"/>
      <c r="DC130" s="2889"/>
      <c r="DD130" s="2889"/>
      <c r="DE130" s="2889"/>
      <c r="DF130" s="2889"/>
      <c r="DG130" s="2889"/>
      <c r="DH130" s="2889"/>
      <c r="DI130" s="2889"/>
      <c r="DJ130" s="2889"/>
      <c r="DK130" s="2889"/>
      <c r="DL130" s="2890"/>
    </row>
    <row r="131" spans="1:126" s="129" customFormat="1" ht="7.5" hidden="1" customHeight="1">
      <c r="A131" s="128"/>
      <c r="B131" s="2401"/>
      <c r="C131" s="2402"/>
      <c r="D131" s="2402"/>
      <c r="E131" s="2402"/>
      <c r="F131" s="2402"/>
      <c r="G131" s="2402"/>
      <c r="H131" s="2402"/>
      <c r="I131" s="2402"/>
      <c r="J131" s="2402"/>
      <c r="K131" s="2402"/>
      <c r="L131" s="2402"/>
      <c r="M131" s="2402"/>
      <c r="N131" s="2402"/>
      <c r="O131" s="2402"/>
      <c r="P131" s="2402"/>
      <c r="Q131" s="2402"/>
      <c r="R131" s="2402"/>
      <c r="S131" s="2402"/>
      <c r="T131" s="2402"/>
      <c r="U131" s="2402"/>
      <c r="V131" s="2402"/>
      <c r="W131" s="2402"/>
      <c r="X131" s="2402"/>
      <c r="Y131" s="2402"/>
      <c r="Z131" s="2402"/>
      <c r="AA131" s="2402"/>
      <c r="AB131" s="2402"/>
      <c r="AC131" s="2402"/>
      <c r="AD131" s="2402"/>
      <c r="AE131" s="2402"/>
      <c r="AF131" s="2402"/>
      <c r="AG131" s="2402"/>
      <c r="AH131" s="2402"/>
      <c r="AI131" s="2403"/>
      <c r="AJ131" s="2891"/>
      <c r="AK131" s="2892"/>
      <c r="AL131" s="2892"/>
      <c r="AM131" s="2892"/>
      <c r="AN131" s="2892"/>
      <c r="AO131" s="2892"/>
      <c r="AP131" s="2892"/>
      <c r="AQ131" s="2892"/>
      <c r="AR131" s="2892"/>
      <c r="AS131" s="2892"/>
      <c r="AT131" s="2892"/>
      <c r="AU131" s="2892"/>
      <c r="AV131" s="2892"/>
      <c r="AW131" s="2892"/>
      <c r="AX131" s="2892"/>
      <c r="AY131" s="2892"/>
      <c r="AZ131" s="2892"/>
      <c r="BA131" s="2892"/>
      <c r="BB131" s="2892"/>
      <c r="BC131" s="2892"/>
      <c r="BD131" s="2892"/>
      <c r="BE131" s="2892"/>
      <c r="BF131" s="2892"/>
      <c r="BG131" s="2892"/>
      <c r="BH131" s="2892"/>
      <c r="BI131" s="2892"/>
      <c r="BJ131" s="2892"/>
      <c r="BK131" s="2892"/>
      <c r="BL131" s="2892"/>
      <c r="BM131" s="2892"/>
      <c r="BN131" s="2892"/>
      <c r="BO131" s="2892"/>
      <c r="BP131" s="2892"/>
      <c r="BQ131" s="2892"/>
      <c r="BR131" s="2892"/>
      <c r="BS131" s="2892"/>
      <c r="BT131" s="2892"/>
      <c r="BU131" s="2892"/>
      <c r="BV131" s="2892"/>
      <c r="BW131" s="2892"/>
      <c r="BX131" s="2892"/>
      <c r="BY131" s="2892"/>
      <c r="BZ131" s="2892"/>
      <c r="CA131" s="2892"/>
      <c r="CB131" s="2892"/>
      <c r="CC131" s="2892"/>
      <c r="CD131" s="2892"/>
      <c r="CE131" s="2892"/>
      <c r="CF131" s="2892"/>
      <c r="CG131" s="2892"/>
      <c r="CH131" s="2892"/>
      <c r="CI131" s="2892"/>
      <c r="CJ131" s="2892"/>
      <c r="CK131" s="2892"/>
      <c r="CL131" s="2892"/>
      <c r="CM131" s="2892"/>
      <c r="CN131" s="2892"/>
      <c r="CO131" s="2892"/>
      <c r="CP131" s="2892"/>
      <c r="CQ131" s="2892"/>
      <c r="CR131" s="2892"/>
      <c r="CS131" s="2892"/>
      <c r="CT131" s="2892"/>
      <c r="CU131" s="2892"/>
      <c r="CV131" s="2892"/>
      <c r="CW131" s="2892"/>
      <c r="CX131" s="2892"/>
      <c r="CY131" s="2892"/>
      <c r="CZ131" s="2892"/>
      <c r="DA131" s="2892"/>
      <c r="DB131" s="2892"/>
      <c r="DC131" s="2892"/>
      <c r="DD131" s="2892"/>
      <c r="DE131" s="2892"/>
      <c r="DF131" s="2892"/>
      <c r="DG131" s="2892"/>
      <c r="DH131" s="2892"/>
      <c r="DI131" s="2892"/>
      <c r="DJ131" s="2892"/>
      <c r="DK131" s="2892"/>
      <c r="DL131" s="2893"/>
    </row>
    <row r="132" spans="1:126" customFormat="1" ht="7.5" hidden="1" customHeight="1">
      <c r="A132" s="127"/>
      <c r="B132" s="4346" t="s">
        <v>260</v>
      </c>
      <c r="C132" s="4347"/>
      <c r="D132" s="4347"/>
      <c r="E132" s="4347"/>
      <c r="F132" s="4347"/>
      <c r="G132" s="4347"/>
      <c r="H132" s="4347"/>
      <c r="I132" s="4347"/>
      <c r="J132" s="4347"/>
      <c r="K132" s="4347"/>
      <c r="L132" s="4347"/>
      <c r="M132" s="4347"/>
      <c r="N132" s="4347"/>
      <c r="O132" s="4347"/>
      <c r="P132" s="4347"/>
      <c r="Q132" s="4347"/>
      <c r="R132" s="4347"/>
      <c r="S132" s="4347"/>
      <c r="T132" s="4347"/>
      <c r="U132" s="4347"/>
      <c r="V132" s="4347"/>
      <c r="W132" s="4347"/>
      <c r="X132" s="4347"/>
      <c r="Y132" s="4347"/>
      <c r="Z132" s="4347"/>
      <c r="AA132" s="4347"/>
      <c r="AB132" s="4347"/>
      <c r="AC132" s="4347"/>
      <c r="AD132" s="4347"/>
      <c r="AE132" s="4348"/>
      <c r="AF132" s="4356"/>
      <c r="AG132" s="4356"/>
      <c r="AH132" s="4356"/>
      <c r="AI132" s="4357"/>
      <c r="AJ132" s="2404" t="s">
        <v>563</v>
      </c>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5"/>
      <c r="BE132" s="2405"/>
      <c r="BF132" s="2405"/>
      <c r="BG132" s="2405"/>
      <c r="BH132" s="2405"/>
      <c r="BI132" s="2405"/>
      <c r="BJ132" s="2405"/>
      <c r="BK132" s="2405"/>
      <c r="BL132" s="2405"/>
      <c r="BM132" s="2405"/>
      <c r="BN132" s="2405"/>
      <c r="BO132" s="2405"/>
      <c r="BP132" s="2405"/>
      <c r="BQ132" s="2405"/>
      <c r="BR132" s="2405"/>
      <c r="BS132" s="2405"/>
      <c r="BT132" s="2405"/>
      <c r="BU132" s="2405"/>
      <c r="BV132" s="2405"/>
      <c r="BW132" s="2405"/>
      <c r="BX132" s="2405"/>
      <c r="BY132" s="2405"/>
      <c r="BZ132" s="2405"/>
      <c r="CA132" s="2405"/>
      <c r="CB132" s="2405"/>
      <c r="CC132" s="2405"/>
      <c r="CD132" s="2405"/>
      <c r="CE132" s="2405"/>
      <c r="CF132" s="2405"/>
      <c r="CG132" s="2405"/>
      <c r="CH132" s="2405"/>
      <c r="CI132" s="2405"/>
      <c r="CJ132" s="2405"/>
      <c r="CK132" s="2405"/>
      <c r="CL132" s="2405"/>
      <c r="CM132" s="2405"/>
      <c r="CN132" s="2405"/>
      <c r="CO132" s="2405"/>
      <c r="CP132" s="2405"/>
      <c r="CQ132" s="2405"/>
      <c r="CR132" s="2405"/>
      <c r="CS132" s="2405"/>
      <c r="CT132" s="2405"/>
      <c r="CU132" s="2405"/>
      <c r="CV132" s="2405"/>
      <c r="CW132" s="2405"/>
      <c r="CX132" s="2405"/>
      <c r="CY132" s="2405"/>
      <c r="CZ132" s="2405"/>
      <c r="DA132" s="2405"/>
      <c r="DB132" s="2405"/>
      <c r="DC132" s="2405"/>
      <c r="DD132" s="2405"/>
      <c r="DE132" s="2405"/>
      <c r="DF132" s="2405"/>
      <c r="DG132" s="2405"/>
      <c r="DH132" s="2405"/>
      <c r="DI132" s="2405"/>
      <c r="DJ132" s="2405"/>
      <c r="DK132" s="2405"/>
      <c r="DL132" s="2406"/>
    </row>
    <row r="133" spans="1:126" customFormat="1" ht="7.5" hidden="1" customHeight="1">
      <c r="A133" s="127"/>
      <c r="B133" s="4349"/>
      <c r="C133" s="4350"/>
      <c r="D133" s="4350"/>
      <c r="E133" s="4350"/>
      <c r="F133" s="4350"/>
      <c r="G133" s="4350"/>
      <c r="H133" s="4350"/>
      <c r="I133" s="4350"/>
      <c r="J133" s="4350"/>
      <c r="K133" s="4350"/>
      <c r="L133" s="4350"/>
      <c r="M133" s="4350"/>
      <c r="N133" s="4350"/>
      <c r="O133" s="4350"/>
      <c r="P133" s="4350"/>
      <c r="Q133" s="4350"/>
      <c r="R133" s="4350"/>
      <c r="S133" s="4350"/>
      <c r="T133" s="4350"/>
      <c r="U133" s="4350"/>
      <c r="V133" s="4350"/>
      <c r="W133" s="4350"/>
      <c r="X133" s="4350"/>
      <c r="Y133" s="4350"/>
      <c r="Z133" s="4350"/>
      <c r="AA133" s="4350"/>
      <c r="AB133" s="4350"/>
      <c r="AC133" s="4350"/>
      <c r="AD133" s="4350"/>
      <c r="AE133" s="4351"/>
      <c r="AF133" s="4358"/>
      <c r="AG133" s="4358"/>
      <c r="AH133" s="4358"/>
      <c r="AI133" s="4359"/>
      <c r="AJ133" s="2404"/>
      <c r="AK133" s="2405"/>
      <c r="AL133" s="2405"/>
      <c r="AM133" s="2405"/>
      <c r="AN133" s="2405"/>
      <c r="AO133" s="2405"/>
      <c r="AP133" s="2405"/>
      <c r="AQ133" s="2405"/>
      <c r="AR133" s="2405"/>
      <c r="AS133" s="2405"/>
      <c r="AT133" s="2405"/>
      <c r="AU133" s="2405"/>
      <c r="AV133" s="2405"/>
      <c r="AW133" s="2405"/>
      <c r="AX133" s="2405"/>
      <c r="AY133" s="2405"/>
      <c r="AZ133" s="2405"/>
      <c r="BA133" s="2405"/>
      <c r="BB133" s="2405"/>
      <c r="BC133" s="2405"/>
      <c r="BD133" s="2405"/>
      <c r="BE133" s="2405"/>
      <c r="BF133" s="2405"/>
      <c r="BG133" s="2405"/>
      <c r="BH133" s="2405"/>
      <c r="BI133" s="2405"/>
      <c r="BJ133" s="2405"/>
      <c r="BK133" s="2405"/>
      <c r="BL133" s="2405"/>
      <c r="BM133" s="2405"/>
      <c r="BN133" s="2405"/>
      <c r="BO133" s="2405"/>
      <c r="BP133" s="2405"/>
      <c r="BQ133" s="2405"/>
      <c r="BR133" s="2405"/>
      <c r="BS133" s="2405"/>
      <c r="BT133" s="2405"/>
      <c r="BU133" s="2405"/>
      <c r="BV133" s="2405"/>
      <c r="BW133" s="2405"/>
      <c r="BX133" s="2405"/>
      <c r="BY133" s="2405"/>
      <c r="BZ133" s="2405"/>
      <c r="CA133" s="2405"/>
      <c r="CB133" s="2405"/>
      <c r="CC133" s="2405"/>
      <c r="CD133" s="2405"/>
      <c r="CE133" s="2405"/>
      <c r="CF133" s="2405"/>
      <c r="CG133" s="2405"/>
      <c r="CH133" s="2405"/>
      <c r="CI133" s="2405"/>
      <c r="CJ133" s="2405"/>
      <c r="CK133" s="2405"/>
      <c r="CL133" s="2405"/>
      <c r="CM133" s="2405"/>
      <c r="CN133" s="2405"/>
      <c r="CO133" s="2405"/>
      <c r="CP133" s="2405"/>
      <c r="CQ133" s="2405"/>
      <c r="CR133" s="2405"/>
      <c r="CS133" s="2405"/>
      <c r="CT133" s="2405"/>
      <c r="CU133" s="2405"/>
      <c r="CV133" s="2405"/>
      <c r="CW133" s="2405"/>
      <c r="CX133" s="2405"/>
      <c r="CY133" s="2405"/>
      <c r="CZ133" s="2405"/>
      <c r="DA133" s="2405"/>
      <c r="DB133" s="2405"/>
      <c r="DC133" s="2405"/>
      <c r="DD133" s="2405"/>
      <c r="DE133" s="2405"/>
      <c r="DF133" s="2405"/>
      <c r="DG133" s="2405"/>
      <c r="DH133" s="2405"/>
      <c r="DI133" s="2405"/>
      <c r="DJ133" s="2405"/>
      <c r="DK133" s="2405"/>
      <c r="DL133" s="2406"/>
    </row>
    <row r="134" spans="1:126" customFormat="1" ht="7.5" hidden="1" customHeight="1">
      <c r="A134" s="127"/>
      <c r="B134" s="4352"/>
      <c r="C134" s="4353"/>
      <c r="D134" s="4353"/>
      <c r="E134" s="4353"/>
      <c r="F134" s="4353"/>
      <c r="G134" s="4353"/>
      <c r="H134" s="4353"/>
      <c r="I134" s="4353"/>
      <c r="J134" s="4353"/>
      <c r="K134" s="4353"/>
      <c r="L134" s="4353"/>
      <c r="M134" s="4353"/>
      <c r="N134" s="4353"/>
      <c r="O134" s="4353"/>
      <c r="P134" s="4353"/>
      <c r="Q134" s="4353"/>
      <c r="R134" s="4353"/>
      <c r="S134" s="4353"/>
      <c r="T134" s="4353"/>
      <c r="U134" s="4353"/>
      <c r="V134" s="4353"/>
      <c r="W134" s="4353"/>
      <c r="X134" s="4353"/>
      <c r="Y134" s="4353"/>
      <c r="Z134" s="4353"/>
      <c r="AA134" s="4353"/>
      <c r="AB134" s="4353"/>
      <c r="AC134" s="4353"/>
      <c r="AD134" s="4353"/>
      <c r="AE134" s="4354"/>
      <c r="AF134" s="4358"/>
      <c r="AG134" s="4358"/>
      <c r="AH134" s="4358"/>
      <c r="AI134" s="4359"/>
      <c r="AJ134" s="2404"/>
      <c r="AK134" s="2405"/>
      <c r="AL134" s="2405"/>
      <c r="AM134" s="2405"/>
      <c r="AN134" s="2405"/>
      <c r="AO134" s="2405"/>
      <c r="AP134" s="2405"/>
      <c r="AQ134" s="2405"/>
      <c r="AR134" s="2405"/>
      <c r="AS134" s="2405"/>
      <c r="AT134" s="2405"/>
      <c r="AU134" s="2405"/>
      <c r="AV134" s="2405"/>
      <c r="AW134" s="2405"/>
      <c r="AX134" s="2405"/>
      <c r="AY134" s="2405"/>
      <c r="AZ134" s="2405"/>
      <c r="BA134" s="2405"/>
      <c r="BB134" s="2405"/>
      <c r="BC134" s="2405"/>
      <c r="BD134" s="2405"/>
      <c r="BE134" s="2405"/>
      <c r="BF134" s="2405"/>
      <c r="BG134" s="2405"/>
      <c r="BH134" s="2405"/>
      <c r="BI134" s="2405"/>
      <c r="BJ134" s="2405"/>
      <c r="BK134" s="2405"/>
      <c r="BL134" s="2405"/>
      <c r="BM134" s="2405"/>
      <c r="BN134" s="2405"/>
      <c r="BO134" s="2405"/>
      <c r="BP134" s="2405"/>
      <c r="BQ134" s="2405"/>
      <c r="BR134" s="2405"/>
      <c r="BS134" s="2405"/>
      <c r="BT134" s="2405"/>
      <c r="BU134" s="2405"/>
      <c r="BV134" s="2405"/>
      <c r="BW134" s="2405"/>
      <c r="BX134" s="2405"/>
      <c r="BY134" s="2405"/>
      <c r="BZ134" s="2405"/>
      <c r="CA134" s="2405"/>
      <c r="CB134" s="2405"/>
      <c r="CC134" s="2405"/>
      <c r="CD134" s="2405"/>
      <c r="CE134" s="2405"/>
      <c r="CF134" s="2405"/>
      <c r="CG134" s="2405"/>
      <c r="CH134" s="2405"/>
      <c r="CI134" s="2405"/>
      <c r="CJ134" s="2405"/>
      <c r="CK134" s="2405"/>
      <c r="CL134" s="2405"/>
      <c r="CM134" s="2405"/>
      <c r="CN134" s="2405"/>
      <c r="CO134" s="2405"/>
      <c r="CP134" s="2405"/>
      <c r="CQ134" s="2405"/>
      <c r="CR134" s="2405"/>
      <c r="CS134" s="2405"/>
      <c r="CT134" s="2405"/>
      <c r="CU134" s="2405"/>
      <c r="CV134" s="2405"/>
      <c r="CW134" s="2405"/>
      <c r="CX134" s="2405"/>
      <c r="CY134" s="2405"/>
      <c r="CZ134" s="2405"/>
      <c r="DA134" s="2405"/>
      <c r="DB134" s="2405"/>
      <c r="DC134" s="2405"/>
      <c r="DD134" s="2405"/>
      <c r="DE134" s="2405"/>
      <c r="DF134" s="2405"/>
      <c r="DG134" s="2405"/>
      <c r="DH134" s="2405"/>
      <c r="DI134" s="2405"/>
      <c r="DJ134" s="2405"/>
      <c r="DK134" s="2405"/>
      <c r="DL134" s="2406"/>
    </row>
    <row r="135" spans="1:126" customFormat="1" ht="7.5" hidden="1" customHeight="1">
      <c r="A135" s="127"/>
      <c r="B135" s="4346" t="s">
        <v>261</v>
      </c>
      <c r="C135" s="4347"/>
      <c r="D135" s="4347"/>
      <c r="E135" s="4347"/>
      <c r="F135" s="4347"/>
      <c r="G135" s="4347"/>
      <c r="H135" s="4347"/>
      <c r="I135" s="4347"/>
      <c r="J135" s="4347"/>
      <c r="K135" s="4347"/>
      <c r="L135" s="4347"/>
      <c r="M135" s="4347"/>
      <c r="N135" s="4347"/>
      <c r="O135" s="4347"/>
      <c r="P135" s="4347"/>
      <c r="Q135" s="4347"/>
      <c r="R135" s="4347"/>
      <c r="S135" s="4347"/>
      <c r="T135" s="4347"/>
      <c r="U135" s="4347"/>
      <c r="V135" s="4347"/>
      <c r="W135" s="4347"/>
      <c r="X135" s="4347"/>
      <c r="Y135" s="4347"/>
      <c r="Z135" s="4347"/>
      <c r="AA135" s="4347"/>
      <c r="AB135" s="4347"/>
      <c r="AC135" s="4347"/>
      <c r="AD135" s="4347"/>
      <c r="AE135" s="4347"/>
      <c r="AF135" s="4356"/>
      <c r="AG135" s="4356"/>
      <c r="AH135" s="4356"/>
      <c r="AI135" s="4357"/>
      <c r="AJ135" s="2404"/>
      <c r="AK135" s="2405"/>
      <c r="AL135" s="2405"/>
      <c r="AM135" s="2405"/>
      <c r="AN135" s="2405"/>
      <c r="AO135" s="2405"/>
      <c r="AP135" s="2405"/>
      <c r="AQ135" s="2405"/>
      <c r="AR135" s="2405"/>
      <c r="AS135" s="2405"/>
      <c r="AT135" s="2405"/>
      <c r="AU135" s="2405"/>
      <c r="AV135" s="2405"/>
      <c r="AW135" s="2405"/>
      <c r="AX135" s="2405"/>
      <c r="AY135" s="2405"/>
      <c r="AZ135" s="2405"/>
      <c r="BA135" s="2405"/>
      <c r="BB135" s="2405"/>
      <c r="BC135" s="2405"/>
      <c r="BD135" s="2405"/>
      <c r="BE135" s="2405"/>
      <c r="BF135" s="2405"/>
      <c r="BG135" s="2405"/>
      <c r="BH135" s="2405"/>
      <c r="BI135" s="2405"/>
      <c r="BJ135" s="2405"/>
      <c r="BK135" s="2405"/>
      <c r="BL135" s="2405"/>
      <c r="BM135" s="2405"/>
      <c r="BN135" s="2405"/>
      <c r="BO135" s="2405"/>
      <c r="BP135" s="2405"/>
      <c r="BQ135" s="2405"/>
      <c r="BR135" s="2405"/>
      <c r="BS135" s="2405"/>
      <c r="BT135" s="2405"/>
      <c r="BU135" s="2405"/>
      <c r="BV135" s="2405"/>
      <c r="BW135" s="2405"/>
      <c r="BX135" s="2405"/>
      <c r="BY135" s="2405"/>
      <c r="BZ135" s="2405"/>
      <c r="CA135" s="2405"/>
      <c r="CB135" s="2405"/>
      <c r="CC135" s="2405"/>
      <c r="CD135" s="2405"/>
      <c r="CE135" s="2405"/>
      <c r="CF135" s="2405"/>
      <c r="CG135" s="2405"/>
      <c r="CH135" s="2405"/>
      <c r="CI135" s="2405"/>
      <c r="CJ135" s="2405"/>
      <c r="CK135" s="2405"/>
      <c r="CL135" s="2405"/>
      <c r="CM135" s="2405"/>
      <c r="CN135" s="2405"/>
      <c r="CO135" s="2405"/>
      <c r="CP135" s="2405"/>
      <c r="CQ135" s="2405"/>
      <c r="CR135" s="2405"/>
      <c r="CS135" s="2405"/>
      <c r="CT135" s="2405"/>
      <c r="CU135" s="2405"/>
      <c r="CV135" s="2405"/>
      <c r="CW135" s="2405"/>
      <c r="CX135" s="2405"/>
      <c r="CY135" s="2405"/>
      <c r="CZ135" s="2405"/>
      <c r="DA135" s="2405"/>
      <c r="DB135" s="2405"/>
      <c r="DC135" s="2405"/>
      <c r="DD135" s="2405"/>
      <c r="DE135" s="2405"/>
      <c r="DF135" s="2405"/>
      <c r="DG135" s="2405"/>
      <c r="DH135" s="2405"/>
      <c r="DI135" s="2405"/>
      <c r="DJ135" s="2405"/>
      <c r="DK135" s="2405"/>
      <c r="DL135" s="2406"/>
    </row>
    <row r="136" spans="1:126" customFormat="1" ht="7.5" hidden="1" customHeight="1">
      <c r="A136" s="127"/>
      <c r="B136" s="4349"/>
      <c r="C136" s="4350"/>
      <c r="D136" s="4350"/>
      <c r="E136" s="4350"/>
      <c r="F136" s="4350"/>
      <c r="G136" s="4350"/>
      <c r="H136" s="4350"/>
      <c r="I136" s="4350"/>
      <c r="J136" s="4350"/>
      <c r="K136" s="4350"/>
      <c r="L136" s="4350"/>
      <c r="M136" s="4350"/>
      <c r="N136" s="4350"/>
      <c r="O136" s="4350"/>
      <c r="P136" s="4350"/>
      <c r="Q136" s="4350"/>
      <c r="R136" s="4350"/>
      <c r="S136" s="4350"/>
      <c r="T136" s="4350"/>
      <c r="U136" s="4350"/>
      <c r="V136" s="4350"/>
      <c r="W136" s="4350"/>
      <c r="X136" s="4350"/>
      <c r="Y136" s="4350"/>
      <c r="Z136" s="4350"/>
      <c r="AA136" s="4350"/>
      <c r="AB136" s="4350"/>
      <c r="AC136" s="4350"/>
      <c r="AD136" s="4350"/>
      <c r="AE136" s="4350"/>
      <c r="AF136" s="4358"/>
      <c r="AG136" s="4358"/>
      <c r="AH136" s="4358"/>
      <c r="AI136" s="4359"/>
      <c r="AJ136" s="2404" t="s">
        <v>259</v>
      </c>
      <c r="AK136" s="2405"/>
      <c r="AL136" s="2405"/>
      <c r="AM136" s="2405"/>
      <c r="AN136" s="2405"/>
      <c r="AO136" s="2405"/>
      <c r="AP136" s="2405"/>
      <c r="AQ136" s="2405"/>
      <c r="AR136" s="2405"/>
      <c r="AS136" s="2405"/>
      <c r="AT136" s="2405"/>
      <c r="AU136" s="2405"/>
      <c r="AV136" s="2405"/>
      <c r="AW136" s="2405"/>
      <c r="AX136" s="2405"/>
      <c r="AY136" s="2405"/>
      <c r="AZ136" s="2405"/>
      <c r="BA136" s="2405"/>
      <c r="BB136" s="2405"/>
      <c r="BC136" s="2405"/>
      <c r="BD136" s="2405"/>
      <c r="BE136" s="2405"/>
      <c r="BF136" s="2405"/>
      <c r="BG136" s="2405"/>
      <c r="BH136" s="2405"/>
      <c r="BI136" s="2405"/>
      <c r="BJ136" s="2405"/>
      <c r="BK136" s="2405"/>
      <c r="BL136" s="2405"/>
      <c r="BM136" s="2405"/>
      <c r="BN136" s="2405"/>
      <c r="BO136" s="2405"/>
      <c r="BP136" s="2405"/>
      <c r="BQ136" s="2405"/>
      <c r="BR136" s="2405"/>
      <c r="BS136" s="2405"/>
      <c r="BT136" s="2405"/>
      <c r="BU136" s="2405"/>
      <c r="BV136" s="2405"/>
      <c r="BW136" s="2405"/>
      <c r="BX136" s="2405"/>
      <c r="BY136" s="2405"/>
      <c r="BZ136" s="2405"/>
      <c r="CA136" s="2405"/>
      <c r="CB136" s="2405"/>
      <c r="CC136" s="2405"/>
      <c r="CD136" s="2405"/>
      <c r="CE136" s="2405"/>
      <c r="CF136" s="2405"/>
      <c r="CG136" s="2405"/>
      <c r="CH136" s="2405"/>
      <c r="CI136" s="2405"/>
      <c r="CJ136" s="2405"/>
      <c r="CK136" s="2405"/>
      <c r="CL136" s="2405"/>
      <c r="CM136" s="2405"/>
      <c r="CN136" s="2405"/>
      <c r="CO136" s="2405"/>
      <c r="CP136" s="2405"/>
      <c r="CQ136" s="2405"/>
      <c r="CR136" s="2405"/>
      <c r="CS136" s="2405"/>
      <c r="CT136" s="2405"/>
      <c r="CU136" s="2405"/>
      <c r="CV136" s="2405"/>
      <c r="CW136" s="2405"/>
      <c r="CX136" s="2405"/>
      <c r="CY136" s="2405"/>
      <c r="CZ136" s="2405"/>
      <c r="DA136" s="2405"/>
      <c r="DB136" s="2405"/>
      <c r="DC136" s="2405"/>
      <c r="DD136" s="2405"/>
      <c r="DE136" s="2469"/>
      <c r="DF136" s="2407"/>
      <c r="DG136" s="2408"/>
      <c r="DH136" s="2408"/>
      <c r="DI136" s="2408"/>
      <c r="DJ136" s="2408"/>
      <c r="DK136" s="2408"/>
      <c r="DL136" s="2409"/>
    </row>
    <row r="137" spans="1:126" customFormat="1" ht="7.5" hidden="1" customHeight="1">
      <c r="A137" s="127"/>
      <c r="B137" s="4349"/>
      <c r="C137" s="4350"/>
      <c r="D137" s="4350"/>
      <c r="E137" s="4350"/>
      <c r="F137" s="4350"/>
      <c r="G137" s="4350"/>
      <c r="H137" s="4350"/>
      <c r="I137" s="4350"/>
      <c r="J137" s="4350"/>
      <c r="K137" s="4350"/>
      <c r="L137" s="4350"/>
      <c r="M137" s="4350"/>
      <c r="N137" s="4350"/>
      <c r="O137" s="4350"/>
      <c r="P137" s="4350"/>
      <c r="Q137" s="4350"/>
      <c r="R137" s="4350"/>
      <c r="S137" s="4350"/>
      <c r="T137" s="4350"/>
      <c r="U137" s="4350"/>
      <c r="V137" s="4350"/>
      <c r="W137" s="4350"/>
      <c r="X137" s="4350"/>
      <c r="Y137" s="4350"/>
      <c r="Z137" s="4350"/>
      <c r="AA137" s="4350"/>
      <c r="AB137" s="4350"/>
      <c r="AC137" s="4350"/>
      <c r="AD137" s="4350"/>
      <c r="AE137" s="4350"/>
      <c r="AF137" s="4358"/>
      <c r="AG137" s="4358"/>
      <c r="AH137" s="4358"/>
      <c r="AI137" s="4359"/>
      <c r="AJ137" s="2404"/>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5"/>
      <c r="BE137" s="2405"/>
      <c r="BF137" s="2405"/>
      <c r="BG137" s="2405"/>
      <c r="BH137" s="2405"/>
      <c r="BI137" s="2405"/>
      <c r="BJ137" s="2405"/>
      <c r="BK137" s="2405"/>
      <c r="BL137" s="2405"/>
      <c r="BM137" s="2405"/>
      <c r="BN137" s="2405"/>
      <c r="BO137" s="2405"/>
      <c r="BP137" s="2405"/>
      <c r="BQ137" s="2405"/>
      <c r="BR137" s="2405"/>
      <c r="BS137" s="2405"/>
      <c r="BT137" s="2405"/>
      <c r="BU137" s="2405"/>
      <c r="BV137" s="2405"/>
      <c r="BW137" s="2405"/>
      <c r="BX137" s="2405"/>
      <c r="BY137" s="2405"/>
      <c r="BZ137" s="2405"/>
      <c r="CA137" s="2405"/>
      <c r="CB137" s="2405"/>
      <c r="CC137" s="2405"/>
      <c r="CD137" s="2405"/>
      <c r="CE137" s="2405"/>
      <c r="CF137" s="2405"/>
      <c r="CG137" s="2405"/>
      <c r="CH137" s="2405"/>
      <c r="CI137" s="2405"/>
      <c r="CJ137" s="2405"/>
      <c r="CK137" s="2405"/>
      <c r="CL137" s="2405"/>
      <c r="CM137" s="2405"/>
      <c r="CN137" s="2405"/>
      <c r="CO137" s="2405"/>
      <c r="CP137" s="2405"/>
      <c r="CQ137" s="2405"/>
      <c r="CR137" s="2405"/>
      <c r="CS137" s="2405"/>
      <c r="CT137" s="2405"/>
      <c r="CU137" s="2405"/>
      <c r="CV137" s="2405"/>
      <c r="CW137" s="2405"/>
      <c r="CX137" s="2405"/>
      <c r="CY137" s="2405"/>
      <c r="CZ137" s="2405"/>
      <c r="DA137" s="2405"/>
      <c r="DB137" s="2405"/>
      <c r="DC137" s="2405"/>
      <c r="DD137" s="2405"/>
      <c r="DE137" s="2469"/>
      <c r="DF137" s="2410"/>
      <c r="DG137" s="2411"/>
      <c r="DH137" s="2411"/>
      <c r="DI137" s="2411"/>
      <c r="DJ137" s="2411"/>
      <c r="DK137" s="2411"/>
      <c r="DL137" s="2412"/>
    </row>
    <row r="138" spans="1:126" customFormat="1" ht="7.5" hidden="1" customHeight="1">
      <c r="A138" s="127"/>
      <c r="B138" s="4349"/>
      <c r="C138" s="4350"/>
      <c r="D138" s="4350"/>
      <c r="E138" s="4350"/>
      <c r="F138" s="4350"/>
      <c r="G138" s="4350"/>
      <c r="H138" s="4350"/>
      <c r="I138" s="4350"/>
      <c r="J138" s="4350"/>
      <c r="K138" s="4350"/>
      <c r="L138" s="4350"/>
      <c r="M138" s="4350"/>
      <c r="N138" s="4350"/>
      <c r="O138" s="4350"/>
      <c r="P138" s="4350"/>
      <c r="Q138" s="4350"/>
      <c r="R138" s="4350"/>
      <c r="S138" s="4350"/>
      <c r="T138" s="4350"/>
      <c r="U138" s="4350"/>
      <c r="V138" s="4350"/>
      <c r="W138" s="4350"/>
      <c r="X138" s="4350"/>
      <c r="Y138" s="4350"/>
      <c r="Z138" s="4350"/>
      <c r="AA138" s="4350"/>
      <c r="AB138" s="4350"/>
      <c r="AC138" s="4350"/>
      <c r="AD138" s="4350"/>
      <c r="AE138" s="4350"/>
      <c r="AF138" s="4358"/>
      <c r="AG138" s="4358"/>
      <c r="AH138" s="4358"/>
      <c r="AI138" s="4359"/>
      <c r="AJ138" s="2404"/>
      <c r="AK138" s="2405"/>
      <c r="AL138" s="2405"/>
      <c r="AM138" s="2405"/>
      <c r="AN138" s="2405"/>
      <c r="AO138" s="2405"/>
      <c r="AP138" s="2405"/>
      <c r="AQ138" s="2405"/>
      <c r="AR138" s="2405"/>
      <c r="AS138" s="2405"/>
      <c r="AT138" s="2405"/>
      <c r="AU138" s="2405"/>
      <c r="AV138" s="2405"/>
      <c r="AW138" s="2405"/>
      <c r="AX138" s="2405"/>
      <c r="AY138" s="2405"/>
      <c r="AZ138" s="2405"/>
      <c r="BA138" s="2405"/>
      <c r="BB138" s="2405"/>
      <c r="BC138" s="2405"/>
      <c r="BD138" s="2405"/>
      <c r="BE138" s="2405"/>
      <c r="BF138" s="2405"/>
      <c r="BG138" s="2405"/>
      <c r="BH138" s="2405"/>
      <c r="BI138" s="2405"/>
      <c r="BJ138" s="2405"/>
      <c r="BK138" s="2405"/>
      <c r="BL138" s="2405"/>
      <c r="BM138" s="2405"/>
      <c r="BN138" s="2405"/>
      <c r="BO138" s="2405"/>
      <c r="BP138" s="2405"/>
      <c r="BQ138" s="2405"/>
      <c r="BR138" s="2405"/>
      <c r="BS138" s="2405"/>
      <c r="BT138" s="2405"/>
      <c r="BU138" s="2405"/>
      <c r="BV138" s="2405"/>
      <c r="BW138" s="2405"/>
      <c r="BX138" s="2405"/>
      <c r="BY138" s="2405"/>
      <c r="BZ138" s="2405"/>
      <c r="CA138" s="2405"/>
      <c r="CB138" s="2405"/>
      <c r="CC138" s="2405"/>
      <c r="CD138" s="2405"/>
      <c r="CE138" s="2405"/>
      <c r="CF138" s="2405"/>
      <c r="CG138" s="2405"/>
      <c r="CH138" s="2405"/>
      <c r="CI138" s="2405"/>
      <c r="CJ138" s="2405"/>
      <c r="CK138" s="2405"/>
      <c r="CL138" s="2405"/>
      <c r="CM138" s="2405"/>
      <c r="CN138" s="2405"/>
      <c r="CO138" s="2405"/>
      <c r="CP138" s="2405"/>
      <c r="CQ138" s="2405"/>
      <c r="CR138" s="2405"/>
      <c r="CS138" s="2405"/>
      <c r="CT138" s="2405"/>
      <c r="CU138" s="2405"/>
      <c r="CV138" s="2405"/>
      <c r="CW138" s="2405"/>
      <c r="CX138" s="2405"/>
      <c r="CY138" s="2405"/>
      <c r="CZ138" s="2405"/>
      <c r="DA138" s="2405"/>
      <c r="DB138" s="2405"/>
      <c r="DC138" s="2405"/>
      <c r="DD138" s="2405"/>
      <c r="DE138" s="2469"/>
      <c r="DF138" s="2410"/>
      <c r="DG138" s="2411"/>
      <c r="DH138" s="2411"/>
      <c r="DI138" s="2411"/>
      <c r="DJ138" s="2411"/>
      <c r="DK138" s="2411"/>
      <c r="DL138" s="2412"/>
    </row>
    <row r="139" spans="1:126" customFormat="1" ht="7.5" hidden="1" customHeight="1">
      <c r="A139" s="127"/>
      <c r="B139" s="4349"/>
      <c r="C139" s="4350"/>
      <c r="D139" s="4350"/>
      <c r="E139" s="4350"/>
      <c r="F139" s="4350"/>
      <c r="G139" s="4350"/>
      <c r="H139" s="4350"/>
      <c r="I139" s="4350"/>
      <c r="J139" s="4350"/>
      <c r="K139" s="4350"/>
      <c r="L139" s="4350"/>
      <c r="M139" s="4350"/>
      <c r="N139" s="4350"/>
      <c r="O139" s="4350"/>
      <c r="P139" s="4350"/>
      <c r="Q139" s="4350"/>
      <c r="R139" s="4350"/>
      <c r="S139" s="4350"/>
      <c r="T139" s="4350"/>
      <c r="U139" s="4350"/>
      <c r="V139" s="4350"/>
      <c r="W139" s="4350"/>
      <c r="X139" s="4350"/>
      <c r="Y139" s="4350"/>
      <c r="Z139" s="4350"/>
      <c r="AA139" s="4350"/>
      <c r="AB139" s="4350"/>
      <c r="AC139" s="4350"/>
      <c r="AD139" s="4350"/>
      <c r="AE139" s="4350"/>
      <c r="AF139" s="4358"/>
      <c r="AG139" s="4358"/>
      <c r="AH139" s="4358"/>
      <c r="AI139" s="4359"/>
      <c r="AJ139" s="2404"/>
      <c r="AK139" s="2405"/>
      <c r="AL139" s="2405"/>
      <c r="AM139" s="2405"/>
      <c r="AN139" s="2405"/>
      <c r="AO139" s="2405"/>
      <c r="AP139" s="2405"/>
      <c r="AQ139" s="2405"/>
      <c r="AR139" s="2405"/>
      <c r="AS139" s="2405"/>
      <c r="AT139" s="2405"/>
      <c r="AU139" s="2405"/>
      <c r="AV139" s="2405"/>
      <c r="AW139" s="2405"/>
      <c r="AX139" s="2405"/>
      <c r="AY139" s="2405"/>
      <c r="AZ139" s="2405"/>
      <c r="BA139" s="2405"/>
      <c r="BB139" s="2405"/>
      <c r="BC139" s="2405"/>
      <c r="BD139" s="2405"/>
      <c r="BE139" s="2405"/>
      <c r="BF139" s="2405"/>
      <c r="BG139" s="2405"/>
      <c r="BH139" s="2405"/>
      <c r="BI139" s="2405"/>
      <c r="BJ139" s="2405"/>
      <c r="BK139" s="2405"/>
      <c r="BL139" s="2405"/>
      <c r="BM139" s="2405"/>
      <c r="BN139" s="2405"/>
      <c r="BO139" s="2405"/>
      <c r="BP139" s="2405"/>
      <c r="BQ139" s="2405"/>
      <c r="BR139" s="2405"/>
      <c r="BS139" s="2405"/>
      <c r="BT139" s="2405"/>
      <c r="BU139" s="2405"/>
      <c r="BV139" s="2405"/>
      <c r="BW139" s="2405"/>
      <c r="BX139" s="2405"/>
      <c r="BY139" s="2405"/>
      <c r="BZ139" s="2405"/>
      <c r="CA139" s="2405"/>
      <c r="CB139" s="2405"/>
      <c r="CC139" s="2405"/>
      <c r="CD139" s="2405"/>
      <c r="CE139" s="2405"/>
      <c r="CF139" s="2405"/>
      <c r="CG139" s="2405"/>
      <c r="CH139" s="2405"/>
      <c r="CI139" s="2405"/>
      <c r="CJ139" s="2405"/>
      <c r="CK139" s="2405"/>
      <c r="CL139" s="2405"/>
      <c r="CM139" s="2405"/>
      <c r="CN139" s="2405"/>
      <c r="CO139" s="2405"/>
      <c r="CP139" s="2405"/>
      <c r="CQ139" s="2405"/>
      <c r="CR139" s="2405"/>
      <c r="CS139" s="2405"/>
      <c r="CT139" s="2405"/>
      <c r="CU139" s="2405"/>
      <c r="CV139" s="2405"/>
      <c r="CW139" s="2405"/>
      <c r="CX139" s="2405"/>
      <c r="CY139" s="2405"/>
      <c r="CZ139" s="2405"/>
      <c r="DA139" s="2405"/>
      <c r="DB139" s="2405"/>
      <c r="DC139" s="2405"/>
      <c r="DD139" s="2405"/>
      <c r="DE139" s="2469"/>
      <c r="DF139" s="2410"/>
      <c r="DG139" s="2411"/>
      <c r="DH139" s="2411"/>
      <c r="DI139" s="2411"/>
      <c r="DJ139" s="2411"/>
      <c r="DK139" s="2411"/>
      <c r="DL139" s="2412"/>
    </row>
    <row r="140" spans="1:126" customFormat="1" ht="9" hidden="1" customHeight="1" thickBot="1">
      <c r="A140" s="127"/>
      <c r="B140" s="4360"/>
      <c r="C140" s="4361"/>
      <c r="D140" s="4361"/>
      <c r="E140" s="4361"/>
      <c r="F140" s="4361"/>
      <c r="G140" s="4361"/>
      <c r="H140" s="4361"/>
      <c r="I140" s="4361"/>
      <c r="J140" s="4361"/>
      <c r="K140" s="4361"/>
      <c r="L140" s="4361"/>
      <c r="M140" s="4361"/>
      <c r="N140" s="4361"/>
      <c r="O140" s="4361"/>
      <c r="P140" s="4361"/>
      <c r="Q140" s="4361"/>
      <c r="R140" s="4361"/>
      <c r="S140" s="4361"/>
      <c r="T140" s="4361"/>
      <c r="U140" s="4361"/>
      <c r="V140" s="4361"/>
      <c r="W140" s="4361"/>
      <c r="X140" s="4361"/>
      <c r="Y140" s="4361"/>
      <c r="Z140" s="4361"/>
      <c r="AA140" s="4361"/>
      <c r="AB140" s="4361"/>
      <c r="AC140" s="4361"/>
      <c r="AD140" s="4361"/>
      <c r="AE140" s="4361"/>
      <c r="AF140" s="4362"/>
      <c r="AG140" s="4362"/>
      <c r="AH140" s="4362"/>
      <c r="AI140" s="4363"/>
      <c r="AJ140" s="2470"/>
      <c r="AK140" s="2471"/>
      <c r="AL140" s="2471"/>
      <c r="AM140" s="2471"/>
      <c r="AN140" s="2471"/>
      <c r="AO140" s="2471"/>
      <c r="AP140" s="2471"/>
      <c r="AQ140" s="2471"/>
      <c r="AR140" s="2471"/>
      <c r="AS140" s="2471"/>
      <c r="AT140" s="2471"/>
      <c r="AU140" s="2471"/>
      <c r="AV140" s="2471"/>
      <c r="AW140" s="2471"/>
      <c r="AX140" s="2471"/>
      <c r="AY140" s="2471"/>
      <c r="AZ140" s="2471"/>
      <c r="BA140" s="2471"/>
      <c r="BB140" s="2471"/>
      <c r="BC140" s="2471"/>
      <c r="BD140" s="2471"/>
      <c r="BE140" s="2471"/>
      <c r="BF140" s="2471"/>
      <c r="BG140" s="2471"/>
      <c r="BH140" s="2471"/>
      <c r="BI140" s="2471"/>
      <c r="BJ140" s="2471"/>
      <c r="BK140" s="2471"/>
      <c r="BL140" s="2471"/>
      <c r="BM140" s="2471"/>
      <c r="BN140" s="2471"/>
      <c r="BO140" s="2471"/>
      <c r="BP140" s="2471"/>
      <c r="BQ140" s="2471"/>
      <c r="BR140" s="2471"/>
      <c r="BS140" s="2471"/>
      <c r="BT140" s="2471"/>
      <c r="BU140" s="2471"/>
      <c r="BV140" s="2471"/>
      <c r="BW140" s="2471"/>
      <c r="BX140" s="2471"/>
      <c r="BY140" s="2471"/>
      <c r="BZ140" s="2471"/>
      <c r="CA140" s="2471"/>
      <c r="CB140" s="2471"/>
      <c r="CC140" s="2471"/>
      <c r="CD140" s="2471"/>
      <c r="CE140" s="2471"/>
      <c r="CF140" s="2471"/>
      <c r="CG140" s="2471"/>
      <c r="CH140" s="2471"/>
      <c r="CI140" s="2471"/>
      <c r="CJ140" s="2471"/>
      <c r="CK140" s="2471"/>
      <c r="CL140" s="2471"/>
      <c r="CM140" s="2471"/>
      <c r="CN140" s="2471"/>
      <c r="CO140" s="2471"/>
      <c r="CP140" s="2471"/>
      <c r="CQ140" s="2471"/>
      <c r="CR140" s="2471"/>
      <c r="CS140" s="2471"/>
      <c r="CT140" s="2471"/>
      <c r="CU140" s="2471"/>
      <c r="CV140" s="2471"/>
      <c r="CW140" s="2471"/>
      <c r="CX140" s="2471"/>
      <c r="CY140" s="2471"/>
      <c r="CZ140" s="2471"/>
      <c r="DA140" s="2471"/>
      <c r="DB140" s="2471"/>
      <c r="DC140" s="2471"/>
      <c r="DD140" s="2471"/>
      <c r="DE140" s="2472"/>
      <c r="DF140" s="2413"/>
      <c r="DG140" s="2414"/>
      <c r="DH140" s="2414"/>
      <c r="DI140" s="2414"/>
      <c r="DJ140" s="2414"/>
      <c r="DK140" s="2414"/>
      <c r="DL140" s="2415"/>
    </row>
    <row r="141" spans="1:126" ht="6" hidden="1" customHeight="1" thickBo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110"/>
      <c r="DN141" s="110"/>
      <c r="DO141" s="110"/>
      <c r="DP141" s="110"/>
      <c r="DQ141" s="110"/>
      <c r="DR141" s="110"/>
      <c r="DS141" s="110"/>
      <c r="DT141" s="110"/>
      <c r="DU141" s="110"/>
      <c r="DV141" s="110"/>
    </row>
    <row r="142" spans="1:126" ht="8.25" hidden="1" customHeight="1">
      <c r="A142" s="48"/>
      <c r="B142" s="2647" t="s">
        <v>189</v>
      </c>
      <c r="C142" s="2648"/>
      <c r="D142" s="2648"/>
      <c r="E142" s="2648"/>
      <c r="F142" s="2648"/>
      <c r="G142" s="2648"/>
      <c r="H142" s="2648"/>
      <c r="I142" s="2648"/>
      <c r="J142" s="2648"/>
      <c r="K142" s="2648"/>
      <c r="L142" s="2648"/>
      <c r="M142" s="2648"/>
      <c r="N142" s="2648"/>
      <c r="O142" s="2648"/>
      <c r="P142" s="2648"/>
      <c r="Q142" s="2648"/>
      <c r="R142" s="2648"/>
      <c r="S142" s="2648"/>
      <c r="T142" s="2648"/>
      <c r="U142" s="2648"/>
      <c r="V142" s="2648"/>
      <c r="W142" s="2648"/>
      <c r="X142" s="2648"/>
      <c r="Y142" s="2648"/>
      <c r="Z142" s="2648"/>
      <c r="AA142" s="2648"/>
      <c r="AB142" s="2648"/>
      <c r="AC142" s="2648"/>
      <c r="AD142" s="2648"/>
      <c r="AE142" s="2648"/>
      <c r="AF142" s="2648"/>
      <c r="AG142" s="2648"/>
      <c r="AH142" s="2648"/>
      <c r="AI142" s="2648"/>
      <c r="AJ142" s="2634" t="s">
        <v>258</v>
      </c>
      <c r="AK142" s="2634"/>
      <c r="AL142" s="2634"/>
      <c r="AM142" s="2634"/>
      <c r="AN142" s="2634"/>
      <c r="AO142" s="2634"/>
      <c r="AP142" s="2634"/>
      <c r="AQ142" s="2634"/>
      <c r="AR142" s="2634"/>
      <c r="AS142" s="2634"/>
      <c r="AT142" s="2634"/>
      <c r="AU142" s="2634"/>
      <c r="AV142" s="2634"/>
      <c r="AW142" s="2634"/>
      <c r="AX142" s="2634"/>
      <c r="AY142" s="2634"/>
      <c r="AZ142" s="2634"/>
      <c r="BA142" s="2634"/>
      <c r="BB142" s="2634"/>
      <c r="BC142" s="2634"/>
      <c r="BD142" s="2634"/>
      <c r="BE142" s="2634"/>
      <c r="BF142" s="2634"/>
      <c r="BG142" s="2634"/>
      <c r="BH142" s="2634"/>
      <c r="BI142" s="2634"/>
      <c r="BJ142" s="2634"/>
      <c r="BK142" s="2634"/>
      <c r="BL142" s="2634"/>
      <c r="BM142" s="2634"/>
      <c r="BN142" s="2634"/>
      <c r="BO142" s="2634"/>
      <c r="BP142" s="2634"/>
      <c r="BQ142" s="2634"/>
      <c r="BR142" s="2634"/>
      <c r="BS142" s="2634"/>
      <c r="BT142" s="2634"/>
      <c r="BU142" s="2634"/>
      <c r="BV142" s="2634"/>
      <c r="BW142" s="2634"/>
      <c r="BX142" s="2634"/>
      <c r="BY142" s="2634"/>
      <c r="BZ142" s="2634"/>
      <c r="CA142" s="2634"/>
      <c r="CB142" s="2634"/>
      <c r="CC142" s="2634"/>
      <c r="CD142" s="2634"/>
      <c r="CE142" s="2634"/>
      <c r="CF142" s="2634"/>
      <c r="CG142" s="2634"/>
      <c r="CH142" s="2634"/>
      <c r="CI142" s="2634"/>
      <c r="CJ142" s="2634"/>
      <c r="CK142" s="2634"/>
      <c r="CL142" s="2634"/>
      <c r="CM142" s="2634"/>
      <c r="CN142" s="2634"/>
      <c r="CO142" s="2634"/>
      <c r="CP142" s="2634"/>
      <c r="CQ142" s="2634"/>
      <c r="CR142" s="2634"/>
      <c r="CS142" s="2634"/>
      <c r="CT142" s="2634"/>
      <c r="CU142" s="2634"/>
      <c r="CV142" s="2634"/>
      <c r="CW142" s="2634"/>
      <c r="CX142" s="2634"/>
      <c r="CY142" s="2634"/>
      <c r="CZ142" s="2634"/>
      <c r="DA142" s="2634"/>
      <c r="DB142" s="2634"/>
      <c r="DC142" s="2634"/>
      <c r="DD142" s="2634"/>
      <c r="DE142" s="2634"/>
      <c r="DF142" s="2634"/>
      <c r="DG142" s="2634"/>
      <c r="DH142" s="2634"/>
      <c r="DI142" s="2634"/>
      <c r="DJ142" s="2634"/>
      <c r="DK142" s="2634"/>
      <c r="DL142" s="2635"/>
    </row>
    <row r="143" spans="1:126" ht="8.25" hidden="1" customHeight="1">
      <c r="A143" s="48"/>
      <c r="B143" s="2650"/>
      <c r="C143" s="2651"/>
      <c r="D143" s="2651"/>
      <c r="E143" s="2651"/>
      <c r="F143" s="2651"/>
      <c r="G143" s="2651"/>
      <c r="H143" s="2651"/>
      <c r="I143" s="2651"/>
      <c r="J143" s="2651"/>
      <c r="K143" s="2651"/>
      <c r="L143" s="2651"/>
      <c r="M143" s="2651"/>
      <c r="N143" s="2651"/>
      <c r="O143" s="2651"/>
      <c r="P143" s="2651"/>
      <c r="Q143" s="2651"/>
      <c r="R143" s="2651"/>
      <c r="S143" s="2651"/>
      <c r="T143" s="2651"/>
      <c r="U143" s="2651"/>
      <c r="V143" s="2651"/>
      <c r="W143" s="2651"/>
      <c r="X143" s="2651"/>
      <c r="Y143" s="2651"/>
      <c r="Z143" s="2651"/>
      <c r="AA143" s="2651"/>
      <c r="AB143" s="2651"/>
      <c r="AC143" s="2651"/>
      <c r="AD143" s="2651"/>
      <c r="AE143" s="2651"/>
      <c r="AF143" s="2651"/>
      <c r="AG143" s="2651"/>
      <c r="AH143" s="2651"/>
      <c r="AI143" s="2651"/>
      <c r="AJ143" s="2637"/>
      <c r="AK143" s="2637"/>
      <c r="AL143" s="2637"/>
      <c r="AM143" s="2637"/>
      <c r="AN143" s="2637"/>
      <c r="AO143" s="2637"/>
      <c r="AP143" s="2637"/>
      <c r="AQ143" s="2637"/>
      <c r="AR143" s="2637"/>
      <c r="AS143" s="2637"/>
      <c r="AT143" s="2637"/>
      <c r="AU143" s="2637"/>
      <c r="AV143" s="2637"/>
      <c r="AW143" s="2637"/>
      <c r="AX143" s="2637"/>
      <c r="AY143" s="2637"/>
      <c r="AZ143" s="2637"/>
      <c r="BA143" s="2637"/>
      <c r="BB143" s="2637"/>
      <c r="BC143" s="2637"/>
      <c r="BD143" s="2637"/>
      <c r="BE143" s="2637"/>
      <c r="BF143" s="2637"/>
      <c r="BG143" s="2637"/>
      <c r="BH143" s="2637"/>
      <c r="BI143" s="2637"/>
      <c r="BJ143" s="2637"/>
      <c r="BK143" s="2637"/>
      <c r="BL143" s="2637"/>
      <c r="BM143" s="2637"/>
      <c r="BN143" s="2637"/>
      <c r="BO143" s="2637"/>
      <c r="BP143" s="2637"/>
      <c r="BQ143" s="2637"/>
      <c r="BR143" s="2637"/>
      <c r="BS143" s="2637"/>
      <c r="BT143" s="2637"/>
      <c r="BU143" s="2637"/>
      <c r="BV143" s="2637"/>
      <c r="BW143" s="2637"/>
      <c r="BX143" s="2637"/>
      <c r="BY143" s="2637"/>
      <c r="BZ143" s="2637"/>
      <c r="CA143" s="2637"/>
      <c r="CB143" s="2637"/>
      <c r="CC143" s="2637"/>
      <c r="CD143" s="2637"/>
      <c r="CE143" s="2637"/>
      <c r="CF143" s="2637"/>
      <c r="CG143" s="2637"/>
      <c r="CH143" s="2637"/>
      <c r="CI143" s="2637"/>
      <c r="CJ143" s="2637"/>
      <c r="CK143" s="2637"/>
      <c r="CL143" s="2637"/>
      <c r="CM143" s="2637"/>
      <c r="CN143" s="2637"/>
      <c r="CO143" s="2637"/>
      <c r="CP143" s="2637"/>
      <c r="CQ143" s="2637"/>
      <c r="CR143" s="2637"/>
      <c r="CS143" s="2637"/>
      <c r="CT143" s="2637"/>
      <c r="CU143" s="2637"/>
      <c r="CV143" s="2637"/>
      <c r="CW143" s="2637"/>
      <c r="CX143" s="2637"/>
      <c r="CY143" s="2637"/>
      <c r="CZ143" s="2637"/>
      <c r="DA143" s="2637"/>
      <c r="DB143" s="2637"/>
      <c r="DC143" s="2637"/>
      <c r="DD143" s="2637"/>
      <c r="DE143" s="2637"/>
      <c r="DF143" s="2637"/>
      <c r="DG143" s="2637"/>
      <c r="DH143" s="2637"/>
      <c r="DI143" s="2637"/>
      <c r="DJ143" s="2637"/>
      <c r="DK143" s="2637"/>
      <c r="DL143" s="2638"/>
    </row>
    <row r="144" spans="1:126" ht="7.5" hidden="1" customHeight="1">
      <c r="A144" s="48"/>
      <c r="B144" s="2508" t="s">
        <v>120</v>
      </c>
      <c r="C144" s="2444"/>
      <c r="D144" s="2445"/>
      <c r="E144" s="4364"/>
      <c r="F144" s="4365"/>
      <c r="G144" s="4365"/>
      <c r="H144" s="4365"/>
      <c r="I144" s="4365"/>
      <c r="J144" s="4365"/>
      <c r="K144" s="4365"/>
      <c r="L144" s="4365"/>
      <c r="M144" s="4365"/>
      <c r="N144" s="4365"/>
      <c r="O144" s="4365"/>
      <c r="P144" s="4365"/>
      <c r="Q144" s="4365"/>
      <c r="R144" s="4365"/>
      <c r="S144" s="4365"/>
      <c r="T144" s="4366"/>
      <c r="U144" s="2443" t="s">
        <v>121</v>
      </c>
      <c r="V144" s="2444"/>
      <c r="W144" s="2445"/>
      <c r="X144" s="2437"/>
      <c r="Y144" s="2437"/>
      <c r="Z144" s="2437"/>
      <c r="AA144" s="2437"/>
      <c r="AB144" s="2437"/>
      <c r="AC144" s="2437"/>
      <c r="AD144" s="2437"/>
      <c r="AE144" s="2437"/>
      <c r="AF144" s="2437"/>
      <c r="AG144" s="2437"/>
      <c r="AH144" s="2437"/>
      <c r="AI144" s="2437"/>
      <c r="AJ144" s="2437"/>
      <c r="AK144" s="2437"/>
      <c r="AL144" s="2437"/>
      <c r="AM144" s="2438"/>
      <c r="AN144" s="2833" t="s">
        <v>236</v>
      </c>
      <c r="AO144" s="2639"/>
      <c r="AP144" s="2639"/>
      <c r="AQ144" s="2640"/>
      <c r="AR144" s="2644"/>
      <c r="AS144" s="2644"/>
      <c r="AT144" s="2644"/>
      <c r="AU144" s="2644"/>
      <c r="AV144" s="2660" t="s">
        <v>237</v>
      </c>
      <c r="AW144" s="2661"/>
      <c r="AX144" s="2661"/>
      <c r="AY144" s="2662"/>
      <c r="AZ144" s="2676"/>
      <c r="BA144" s="2676"/>
      <c r="BB144" s="2443" t="s">
        <v>139</v>
      </c>
      <c r="BC144" s="2444"/>
      <c r="BD144" s="2445"/>
      <c r="BE144" s="2437"/>
      <c r="BF144" s="2437"/>
      <c r="BG144" s="2438"/>
      <c r="BH144" s="2443" t="s">
        <v>141</v>
      </c>
      <c r="BI144" s="2444"/>
      <c r="BJ144" s="2444"/>
      <c r="BK144" s="2444"/>
      <c r="BL144" s="2445"/>
      <c r="BM144" s="2669">
        <v>20</v>
      </c>
      <c r="BN144" s="2669"/>
      <c r="BO144" s="2669"/>
      <c r="BP144" s="2434"/>
      <c r="BQ144" s="2434"/>
      <c r="BR144" s="2483" t="s">
        <v>0</v>
      </c>
      <c r="BS144" s="2483"/>
      <c r="BT144" s="2434"/>
      <c r="BU144" s="2434"/>
      <c r="BV144" s="2483" t="s">
        <v>218</v>
      </c>
      <c r="BW144" s="2483"/>
      <c r="BX144" s="2483"/>
      <c r="BY144" s="2483"/>
      <c r="BZ144" s="2443" t="s">
        <v>238</v>
      </c>
      <c r="CA144" s="2444"/>
      <c r="CB144" s="2444"/>
      <c r="CC144" s="2444"/>
      <c r="CD144" s="2444"/>
      <c r="CE144" s="2445"/>
      <c r="CF144" s="2678"/>
      <c r="CG144" s="2679"/>
      <c r="CH144" s="2428" t="s">
        <v>644</v>
      </c>
      <c r="CI144" s="2429"/>
      <c r="CJ144" s="2429"/>
      <c r="CK144" s="2429"/>
      <c r="CL144" s="2429"/>
      <c r="CM144" s="2429"/>
      <c r="CN144" s="2429"/>
      <c r="CO144" s="2430"/>
      <c r="CP144" s="2499"/>
      <c r="CQ144" s="2491"/>
      <c r="CR144" s="2491"/>
      <c r="CS144" s="2491"/>
      <c r="CT144" s="2491"/>
      <c r="CU144" s="2491"/>
      <c r="CV144" s="2491"/>
      <c r="CW144" s="2491"/>
      <c r="CX144" s="2491"/>
      <c r="CY144" s="2491"/>
      <c r="CZ144" s="2491"/>
      <c r="DA144" s="2491"/>
      <c r="DB144" s="2491"/>
      <c r="DC144" s="2491"/>
      <c r="DD144" s="2491"/>
      <c r="DE144" s="2491"/>
      <c r="DF144" s="2491"/>
      <c r="DG144" s="2491"/>
      <c r="DH144" s="2491"/>
      <c r="DI144" s="2491"/>
      <c r="DJ144" s="2491"/>
      <c r="DK144" s="2491"/>
      <c r="DL144" s="2500"/>
    </row>
    <row r="145" spans="1:122" ht="7.5" hidden="1" customHeight="1">
      <c r="A145" s="48"/>
      <c r="B145" s="2509"/>
      <c r="C145" s="2374"/>
      <c r="D145" s="2375"/>
      <c r="E145" s="4367"/>
      <c r="F145" s="2879"/>
      <c r="G145" s="2879"/>
      <c r="H145" s="2879"/>
      <c r="I145" s="2879"/>
      <c r="J145" s="2879"/>
      <c r="K145" s="2879"/>
      <c r="L145" s="2879"/>
      <c r="M145" s="2879"/>
      <c r="N145" s="2879"/>
      <c r="O145" s="2879"/>
      <c r="P145" s="2879"/>
      <c r="Q145" s="2879"/>
      <c r="R145" s="2879"/>
      <c r="S145" s="2879"/>
      <c r="T145" s="4368"/>
      <c r="U145" s="2373"/>
      <c r="V145" s="2374"/>
      <c r="W145" s="2375"/>
      <c r="X145" s="2439"/>
      <c r="Y145" s="2439"/>
      <c r="Z145" s="2439"/>
      <c r="AA145" s="2439"/>
      <c r="AB145" s="2439"/>
      <c r="AC145" s="2439"/>
      <c r="AD145" s="2439"/>
      <c r="AE145" s="2439"/>
      <c r="AF145" s="2439"/>
      <c r="AG145" s="2439"/>
      <c r="AH145" s="2439"/>
      <c r="AI145" s="2439"/>
      <c r="AJ145" s="2439"/>
      <c r="AK145" s="2439"/>
      <c r="AL145" s="2439"/>
      <c r="AM145" s="2440"/>
      <c r="AN145" s="2340"/>
      <c r="AO145" s="2341"/>
      <c r="AP145" s="2341"/>
      <c r="AQ145" s="2641"/>
      <c r="AR145" s="2645"/>
      <c r="AS145" s="2645"/>
      <c r="AT145" s="2645"/>
      <c r="AU145" s="2645"/>
      <c r="AV145" s="2663"/>
      <c r="AW145" s="2664"/>
      <c r="AX145" s="2664"/>
      <c r="AY145" s="2665"/>
      <c r="AZ145" s="2629"/>
      <c r="BA145" s="2629"/>
      <c r="BB145" s="2373"/>
      <c r="BC145" s="2374"/>
      <c r="BD145" s="2375"/>
      <c r="BE145" s="2439"/>
      <c r="BF145" s="2439"/>
      <c r="BG145" s="2440"/>
      <c r="BH145" s="2373"/>
      <c r="BI145" s="2374"/>
      <c r="BJ145" s="2374"/>
      <c r="BK145" s="2374"/>
      <c r="BL145" s="2375"/>
      <c r="BM145" s="2670"/>
      <c r="BN145" s="2670"/>
      <c r="BO145" s="2670"/>
      <c r="BP145" s="2435"/>
      <c r="BQ145" s="2435"/>
      <c r="BR145" s="2484"/>
      <c r="BS145" s="2484"/>
      <c r="BT145" s="2435"/>
      <c r="BU145" s="2435"/>
      <c r="BV145" s="2484"/>
      <c r="BW145" s="2484"/>
      <c r="BX145" s="2484"/>
      <c r="BY145" s="2484"/>
      <c r="BZ145" s="2373"/>
      <c r="CA145" s="2374"/>
      <c r="CB145" s="2374"/>
      <c r="CC145" s="2374"/>
      <c r="CD145" s="2374"/>
      <c r="CE145" s="2375"/>
      <c r="CF145" s="2680"/>
      <c r="CG145" s="2681"/>
      <c r="CH145" s="2418"/>
      <c r="CI145" s="2419"/>
      <c r="CJ145" s="2419"/>
      <c r="CK145" s="2419"/>
      <c r="CL145" s="2419"/>
      <c r="CM145" s="2419"/>
      <c r="CN145" s="2419"/>
      <c r="CO145" s="2420"/>
      <c r="CP145" s="2501"/>
      <c r="CQ145" s="2493"/>
      <c r="CR145" s="2493"/>
      <c r="CS145" s="2493"/>
      <c r="CT145" s="2493"/>
      <c r="CU145" s="2493"/>
      <c r="CV145" s="2493"/>
      <c r="CW145" s="2493"/>
      <c r="CX145" s="2493"/>
      <c r="CY145" s="2493"/>
      <c r="CZ145" s="2493"/>
      <c r="DA145" s="2493"/>
      <c r="DB145" s="2493"/>
      <c r="DC145" s="2493"/>
      <c r="DD145" s="2493"/>
      <c r="DE145" s="2493"/>
      <c r="DF145" s="2493"/>
      <c r="DG145" s="2493"/>
      <c r="DH145" s="2493"/>
      <c r="DI145" s="2493"/>
      <c r="DJ145" s="2493"/>
      <c r="DK145" s="2493"/>
      <c r="DL145" s="2502"/>
    </row>
    <row r="146" spans="1:122" ht="7.5" hidden="1" customHeight="1" thickBot="1">
      <c r="A146" s="48"/>
      <c r="B146" s="2717"/>
      <c r="C146" s="2447"/>
      <c r="D146" s="2448"/>
      <c r="E146" s="4369"/>
      <c r="F146" s="4370"/>
      <c r="G146" s="4370"/>
      <c r="H146" s="4370"/>
      <c r="I146" s="4370"/>
      <c r="J146" s="4370"/>
      <c r="K146" s="4370"/>
      <c r="L146" s="4370"/>
      <c r="M146" s="4370"/>
      <c r="N146" s="4370"/>
      <c r="O146" s="4370"/>
      <c r="P146" s="4370"/>
      <c r="Q146" s="4370"/>
      <c r="R146" s="4370"/>
      <c r="S146" s="4370"/>
      <c r="T146" s="4371"/>
      <c r="U146" s="2446"/>
      <c r="V146" s="2447"/>
      <c r="W146" s="2448"/>
      <c r="X146" s="2441"/>
      <c r="Y146" s="2441"/>
      <c r="Z146" s="2441"/>
      <c r="AA146" s="2441"/>
      <c r="AB146" s="2441"/>
      <c r="AC146" s="2441"/>
      <c r="AD146" s="2441"/>
      <c r="AE146" s="2441"/>
      <c r="AF146" s="2441"/>
      <c r="AG146" s="2441"/>
      <c r="AH146" s="2441"/>
      <c r="AI146" s="2441"/>
      <c r="AJ146" s="2441"/>
      <c r="AK146" s="2441"/>
      <c r="AL146" s="2441"/>
      <c r="AM146" s="2442"/>
      <c r="AN146" s="2869"/>
      <c r="AO146" s="2642"/>
      <c r="AP146" s="2642"/>
      <c r="AQ146" s="2643"/>
      <c r="AR146" s="2646"/>
      <c r="AS146" s="2646"/>
      <c r="AT146" s="2646"/>
      <c r="AU146" s="2646"/>
      <c r="AV146" s="2666"/>
      <c r="AW146" s="2667"/>
      <c r="AX146" s="2667"/>
      <c r="AY146" s="2668"/>
      <c r="AZ146" s="2677"/>
      <c r="BA146" s="2677"/>
      <c r="BB146" s="2446"/>
      <c r="BC146" s="2447"/>
      <c r="BD146" s="2448"/>
      <c r="BE146" s="2441"/>
      <c r="BF146" s="2441"/>
      <c r="BG146" s="2442"/>
      <c r="BH146" s="2446"/>
      <c r="BI146" s="2447"/>
      <c r="BJ146" s="2447"/>
      <c r="BK146" s="2447"/>
      <c r="BL146" s="2448"/>
      <c r="BM146" s="2671"/>
      <c r="BN146" s="2671"/>
      <c r="BO146" s="2671"/>
      <c r="BP146" s="2436"/>
      <c r="BQ146" s="2436"/>
      <c r="BR146" s="2672"/>
      <c r="BS146" s="2672"/>
      <c r="BT146" s="2436"/>
      <c r="BU146" s="2436"/>
      <c r="BV146" s="2672"/>
      <c r="BW146" s="2672"/>
      <c r="BX146" s="2672"/>
      <c r="BY146" s="2672"/>
      <c r="BZ146" s="2446"/>
      <c r="CA146" s="2447"/>
      <c r="CB146" s="2447"/>
      <c r="CC146" s="2447"/>
      <c r="CD146" s="2447"/>
      <c r="CE146" s="2448"/>
      <c r="CF146" s="2682"/>
      <c r="CG146" s="2683"/>
      <c r="CH146" s="2431"/>
      <c r="CI146" s="2432"/>
      <c r="CJ146" s="2432"/>
      <c r="CK146" s="2432"/>
      <c r="CL146" s="2432"/>
      <c r="CM146" s="2432"/>
      <c r="CN146" s="2432"/>
      <c r="CO146" s="2433"/>
      <c r="CP146" s="2673"/>
      <c r="CQ146" s="2674"/>
      <c r="CR146" s="2674"/>
      <c r="CS146" s="2674"/>
      <c r="CT146" s="2674"/>
      <c r="CU146" s="2674"/>
      <c r="CV146" s="2674"/>
      <c r="CW146" s="2674"/>
      <c r="CX146" s="2674"/>
      <c r="CY146" s="2674"/>
      <c r="CZ146" s="2674"/>
      <c r="DA146" s="2674"/>
      <c r="DB146" s="2674"/>
      <c r="DC146" s="2674"/>
      <c r="DD146" s="2674"/>
      <c r="DE146" s="2674"/>
      <c r="DF146" s="2674"/>
      <c r="DG146" s="2674"/>
      <c r="DH146" s="2674"/>
      <c r="DI146" s="2674"/>
      <c r="DJ146" s="2674"/>
      <c r="DK146" s="2674"/>
      <c r="DL146" s="2675"/>
    </row>
    <row r="147" spans="1:122" ht="1.5" hidden="1" customHeight="1">
      <c r="A147" s="48"/>
      <c r="B147" s="4355"/>
      <c r="C147" s="4355"/>
      <c r="D147" s="4355"/>
      <c r="E147" s="4355"/>
      <c r="F147" s="4355"/>
      <c r="G147" s="4355"/>
      <c r="H147" s="4355"/>
      <c r="I147" s="4355"/>
      <c r="J147" s="4355"/>
      <c r="K147" s="4355"/>
      <c r="L147" s="4355"/>
      <c r="M147" s="4355"/>
      <c r="N147" s="4355"/>
      <c r="O147" s="4355"/>
      <c r="P147" s="4355"/>
      <c r="Q147" s="4355"/>
      <c r="R147" s="4355"/>
      <c r="S147" s="4355"/>
      <c r="T147" s="4355"/>
      <c r="U147" s="4355"/>
      <c r="V147" s="4355"/>
      <c r="W147" s="4355"/>
      <c r="X147" s="4355"/>
      <c r="Y147" s="4355"/>
      <c r="Z147" s="4355"/>
      <c r="AA147" s="4355"/>
      <c r="AB147" s="4355"/>
      <c r="AC147" s="4355"/>
      <c r="AD147" s="4355"/>
      <c r="AE147" s="4355"/>
      <c r="AF147" s="4355"/>
      <c r="AG147" s="4355"/>
      <c r="AH147" s="4355"/>
      <c r="AI147" s="4355"/>
      <c r="AJ147" s="4355"/>
      <c r="AK147" s="4355"/>
      <c r="AL147" s="4355"/>
      <c r="AM147" s="4355"/>
      <c r="AN147" s="4355"/>
      <c r="AO147" s="4355"/>
      <c r="AP147" s="4355"/>
      <c r="AQ147" s="4355"/>
      <c r="AR147" s="4355"/>
      <c r="AS147" s="4355"/>
      <c r="AT147" s="4355"/>
      <c r="AU147" s="4355"/>
      <c r="AV147" s="4355"/>
      <c r="AW147" s="4355"/>
      <c r="AX147" s="4355"/>
      <c r="AY147" s="4355"/>
      <c r="AZ147" s="4355"/>
      <c r="BA147" s="4355"/>
      <c r="BB147" s="4355"/>
      <c r="BC147" s="4355"/>
      <c r="BD147" s="4355"/>
      <c r="BE147" s="4355"/>
      <c r="BF147" s="4355"/>
      <c r="BG147" s="4355"/>
      <c r="BH147" s="4355"/>
      <c r="BI147" s="4355"/>
      <c r="BJ147" s="4355"/>
      <c r="BK147" s="4355"/>
      <c r="BL147" s="4355"/>
      <c r="BM147" s="4355"/>
      <c r="BN147" s="4355"/>
      <c r="BO147" s="4355"/>
      <c r="BP147" s="4355"/>
      <c r="BQ147" s="4355"/>
      <c r="BR147" s="4355"/>
      <c r="BS147" s="4355"/>
      <c r="BT147" s="4355"/>
      <c r="BU147" s="4355"/>
      <c r="BV147" s="4355"/>
      <c r="BW147" s="4355"/>
      <c r="BX147" s="4355"/>
      <c r="BY147" s="4355"/>
      <c r="BZ147" s="4355"/>
      <c r="CA147" s="4355"/>
      <c r="CB147" s="4355"/>
      <c r="CC147" s="4355"/>
      <c r="CD147" s="4355"/>
      <c r="CE147" s="4355"/>
      <c r="CF147" s="4355"/>
      <c r="CG147" s="4355"/>
      <c r="CH147" s="4355"/>
      <c r="CI147" s="4355"/>
      <c r="CJ147" s="4355"/>
      <c r="CK147" s="4355"/>
      <c r="CL147" s="4355"/>
      <c r="CM147" s="4355"/>
      <c r="CN147" s="4355"/>
      <c r="CO147" s="4355"/>
      <c r="CP147" s="4355"/>
      <c r="CQ147" s="4355"/>
      <c r="CR147" s="4355"/>
      <c r="CS147" s="4355"/>
      <c r="CT147" s="4355"/>
      <c r="CU147" s="4355"/>
      <c r="CV147" s="4355"/>
      <c r="CW147" s="4355"/>
      <c r="CX147" s="4355"/>
      <c r="CY147" s="4355"/>
      <c r="CZ147" s="4355"/>
      <c r="DA147" s="4355"/>
      <c r="DB147" s="4355"/>
      <c r="DC147" s="4355"/>
      <c r="DD147" s="4355"/>
      <c r="DE147" s="4355"/>
      <c r="DF147" s="4355"/>
      <c r="DG147" s="4355"/>
      <c r="DH147" s="4355"/>
      <c r="DI147" s="4355"/>
      <c r="DJ147" s="4355"/>
      <c r="DK147" s="4355"/>
      <c r="DL147" s="4355"/>
    </row>
    <row r="148" spans="1:122" ht="6" customHeight="1" thickBot="1">
      <c r="A148" s="58"/>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2887"/>
      <c r="BE148" s="2887"/>
      <c r="BF148" s="2887"/>
      <c r="BG148" s="2887"/>
      <c r="BH148" s="2887"/>
      <c r="BI148" s="2887"/>
      <c r="BJ148" s="2887"/>
      <c r="BK148" s="2887"/>
      <c r="BL148" s="2887"/>
      <c r="BM148" s="2887"/>
      <c r="BN148" s="2887"/>
      <c r="BO148" s="2887"/>
      <c r="BP148" s="2887"/>
      <c r="BQ148" s="2887"/>
      <c r="BR148" s="2887"/>
      <c r="BS148" s="2887"/>
      <c r="BT148" s="2887"/>
      <c r="BU148" s="2887"/>
      <c r="BV148" s="2887"/>
      <c r="BW148" s="2887"/>
      <c r="BX148" s="2887"/>
      <c r="BY148" s="2887"/>
      <c r="BZ148" s="2887"/>
      <c r="CA148" s="2887"/>
      <c r="CB148" s="2887"/>
      <c r="CC148" s="2887"/>
      <c r="CD148" s="2887"/>
      <c r="CE148" s="2887"/>
      <c r="CF148" s="2887"/>
      <c r="CG148" s="2887"/>
      <c r="CH148" s="2887"/>
      <c r="CI148" s="2887"/>
      <c r="CJ148" s="2887"/>
      <c r="CK148" s="2887"/>
      <c r="CL148" s="2887"/>
      <c r="CM148" s="2887"/>
      <c r="CN148" s="2887"/>
      <c r="CO148" s="2887"/>
      <c r="CP148" s="2887"/>
      <c r="CQ148" s="2887"/>
      <c r="CR148" s="2887"/>
      <c r="CS148" s="2887"/>
      <c r="CT148" s="2887"/>
      <c r="CU148" s="2887"/>
      <c r="CV148" s="2887"/>
      <c r="CW148" s="2887"/>
      <c r="CX148" s="2887"/>
      <c r="CY148" s="2887"/>
      <c r="CZ148" s="2887"/>
      <c r="DA148" s="2887"/>
      <c r="DB148" s="2887"/>
      <c r="DC148" s="2887"/>
      <c r="DD148" s="2887"/>
      <c r="DE148" s="2887"/>
      <c r="DF148" s="2887"/>
      <c r="DG148" s="2887"/>
      <c r="DH148" s="2887"/>
      <c r="DI148" s="2887"/>
      <c r="DJ148" s="2887"/>
      <c r="DK148" s="2887"/>
      <c r="DL148" s="2887"/>
    </row>
    <row r="149" spans="1:122" s="62" customFormat="1" ht="8.25" customHeight="1">
      <c r="A149" s="61"/>
      <c r="B149" s="2647" t="s">
        <v>1466</v>
      </c>
      <c r="C149" s="2648"/>
      <c r="D149" s="2648"/>
      <c r="E149" s="2648"/>
      <c r="F149" s="2648"/>
      <c r="G149" s="2648"/>
      <c r="H149" s="2648"/>
      <c r="I149" s="2648"/>
      <c r="J149" s="2648"/>
      <c r="K149" s="2648"/>
      <c r="L149" s="2648"/>
      <c r="M149" s="2648"/>
      <c r="N149" s="2648"/>
      <c r="O149" s="2648"/>
      <c r="P149" s="2648"/>
      <c r="Q149" s="2648"/>
      <c r="R149" s="2648"/>
      <c r="S149" s="2648"/>
      <c r="T149" s="2648"/>
      <c r="U149" s="2648"/>
      <c r="V149" s="2648"/>
      <c r="W149" s="2648"/>
      <c r="X149" s="2648"/>
      <c r="Y149" s="2648"/>
      <c r="Z149" s="2648"/>
      <c r="AA149" s="2648"/>
      <c r="AB149" s="2648"/>
      <c r="AC149" s="2648"/>
      <c r="AD149" s="2648"/>
      <c r="AE149" s="2648"/>
      <c r="AF149" s="2648"/>
      <c r="AG149" s="2648"/>
      <c r="AH149" s="2648"/>
      <c r="AI149" s="2648"/>
      <c r="AJ149" s="2648"/>
      <c r="AK149" s="2648"/>
      <c r="AL149" s="2648"/>
      <c r="AM149" s="2648"/>
      <c r="AN149" s="2648"/>
      <c r="AO149" s="2648"/>
      <c r="AP149" s="2648"/>
      <c r="AQ149" s="2648"/>
      <c r="AR149" s="2648"/>
      <c r="AS149" s="2648"/>
      <c r="AT149" s="2648"/>
      <c r="AU149" s="2648"/>
      <c r="AV149" s="2648"/>
      <c r="AW149" s="2648"/>
      <c r="AX149" s="2648"/>
      <c r="AY149" s="2648"/>
      <c r="AZ149" s="2648"/>
      <c r="BA149" s="2648"/>
      <c r="BB149" s="2648"/>
      <c r="BC149" s="2648"/>
      <c r="BD149" s="2648"/>
      <c r="BE149" s="2648"/>
      <c r="BF149" s="2648"/>
      <c r="BG149" s="2648"/>
      <c r="BH149" s="2648"/>
      <c r="BI149" s="2648"/>
      <c r="BJ149" s="2648"/>
      <c r="BK149" s="2648"/>
      <c r="BL149" s="2648"/>
      <c r="BM149" s="2648"/>
      <c r="BN149" s="2648"/>
      <c r="BO149" s="2648"/>
      <c r="BP149" s="2648"/>
      <c r="BQ149" s="2648"/>
      <c r="BR149" s="2648"/>
      <c r="BS149" s="2648"/>
      <c r="BT149" s="2648"/>
      <c r="BU149" s="2648"/>
      <c r="BV149" s="2648"/>
      <c r="BW149" s="2648"/>
      <c r="BX149" s="2648"/>
      <c r="BY149" s="2648"/>
      <c r="BZ149" s="2648"/>
      <c r="CA149" s="2648"/>
      <c r="CB149" s="2648"/>
      <c r="CC149" s="2648"/>
      <c r="CD149" s="2648"/>
      <c r="CE149" s="2648"/>
      <c r="CF149" s="2648"/>
      <c r="CG149" s="2648"/>
      <c r="CH149" s="2648"/>
      <c r="CI149" s="2648"/>
      <c r="CJ149" s="2648"/>
      <c r="CK149" s="2648"/>
      <c r="CL149" s="2648"/>
      <c r="CM149" s="2648"/>
      <c r="CN149" s="2648"/>
      <c r="CO149" s="2648"/>
      <c r="CP149" s="2648"/>
      <c r="CQ149" s="2648"/>
      <c r="CR149" s="2648"/>
      <c r="CS149" s="2648"/>
      <c r="CT149" s="2648"/>
      <c r="CU149" s="2648"/>
      <c r="CV149" s="2648"/>
      <c r="CW149" s="2648"/>
      <c r="CX149" s="2648"/>
      <c r="CY149" s="2648"/>
      <c r="CZ149" s="2648"/>
      <c r="DA149" s="2648"/>
      <c r="DB149" s="2648"/>
      <c r="DC149" s="2648"/>
      <c r="DD149" s="2648"/>
      <c r="DE149" s="2648"/>
      <c r="DF149" s="2648"/>
      <c r="DG149" s="2648"/>
      <c r="DH149" s="2648"/>
      <c r="DI149" s="2648"/>
      <c r="DJ149" s="2648"/>
      <c r="DK149" s="2648"/>
      <c r="DL149" s="2649"/>
    </row>
    <row r="150" spans="1:122" s="62" customFormat="1" ht="8.25" customHeight="1" thickBot="1">
      <c r="A150" s="61"/>
      <c r="B150" s="2650"/>
      <c r="C150" s="2651"/>
      <c r="D150" s="2651"/>
      <c r="E150" s="2652"/>
      <c r="F150" s="2652"/>
      <c r="G150" s="2652"/>
      <c r="H150" s="2652"/>
      <c r="I150" s="2652"/>
      <c r="J150" s="2652"/>
      <c r="K150" s="2652"/>
      <c r="L150" s="2652"/>
      <c r="M150" s="2652"/>
      <c r="N150" s="2652"/>
      <c r="O150" s="2652"/>
      <c r="P150" s="2652"/>
      <c r="Q150" s="2652"/>
      <c r="R150" s="2652"/>
      <c r="S150" s="2652"/>
      <c r="T150" s="2652"/>
      <c r="U150" s="2651"/>
      <c r="V150" s="2651"/>
      <c r="W150" s="2651"/>
      <c r="X150" s="2652"/>
      <c r="Y150" s="2652"/>
      <c r="Z150" s="2652"/>
      <c r="AA150" s="2652"/>
      <c r="AB150" s="2652"/>
      <c r="AC150" s="2652"/>
      <c r="AD150" s="2652"/>
      <c r="AE150" s="2652"/>
      <c r="AF150" s="2652"/>
      <c r="AG150" s="2652"/>
      <c r="AH150" s="2652"/>
      <c r="AI150" s="2652"/>
      <c r="AJ150" s="2652"/>
      <c r="AK150" s="2652"/>
      <c r="AL150" s="2652"/>
      <c r="AM150" s="2652"/>
      <c r="AN150" s="2651"/>
      <c r="AO150" s="2651"/>
      <c r="AP150" s="2651"/>
      <c r="AQ150" s="2651"/>
      <c r="AR150" s="2651"/>
      <c r="AS150" s="2651"/>
      <c r="AT150" s="2651"/>
      <c r="AU150" s="2651"/>
      <c r="AV150" s="2651"/>
      <c r="AW150" s="2651"/>
      <c r="AX150" s="2651"/>
      <c r="AY150" s="2651"/>
      <c r="AZ150" s="2651"/>
      <c r="BA150" s="2651"/>
      <c r="BB150" s="2651"/>
      <c r="BC150" s="2651"/>
      <c r="BD150" s="2651"/>
      <c r="BE150" s="2651"/>
      <c r="BF150" s="2651"/>
      <c r="BG150" s="2651"/>
      <c r="BH150" s="2651"/>
      <c r="BI150" s="2651"/>
      <c r="BJ150" s="2651"/>
      <c r="BK150" s="2651"/>
      <c r="BL150" s="2651"/>
      <c r="BM150" s="2651"/>
      <c r="BN150" s="2651"/>
      <c r="BO150" s="2651"/>
      <c r="BP150" s="2651"/>
      <c r="BQ150" s="2651"/>
      <c r="BR150" s="2651"/>
      <c r="BS150" s="2651"/>
      <c r="BT150" s="2651"/>
      <c r="BU150" s="2651"/>
      <c r="BV150" s="2651"/>
      <c r="BW150" s="2651"/>
      <c r="BX150" s="2651"/>
      <c r="BY150" s="2651"/>
      <c r="BZ150" s="2651"/>
      <c r="CA150" s="2651"/>
      <c r="CB150" s="2651"/>
      <c r="CC150" s="2651"/>
      <c r="CD150" s="2651"/>
      <c r="CE150" s="2651"/>
      <c r="CF150" s="2651"/>
      <c r="CG150" s="2651"/>
      <c r="CH150" s="2651"/>
      <c r="CI150" s="2651"/>
      <c r="CJ150" s="2651"/>
      <c r="CK150" s="2651"/>
      <c r="CL150" s="2651"/>
      <c r="CM150" s="2651"/>
      <c r="CN150" s="2651"/>
      <c r="CO150" s="2651"/>
      <c r="CP150" s="2651"/>
      <c r="CQ150" s="2651"/>
      <c r="CR150" s="2651"/>
      <c r="CS150" s="2651"/>
      <c r="CT150" s="2651"/>
      <c r="CU150" s="2651"/>
      <c r="CV150" s="2651"/>
      <c r="CW150" s="2651"/>
      <c r="CX150" s="2651"/>
      <c r="CY150" s="2651"/>
      <c r="CZ150" s="2651"/>
      <c r="DA150" s="2651"/>
      <c r="DB150" s="2651"/>
      <c r="DC150" s="2651"/>
      <c r="DD150" s="2651"/>
      <c r="DE150" s="2651"/>
      <c r="DF150" s="2651"/>
      <c r="DG150" s="2651"/>
      <c r="DH150" s="2651"/>
      <c r="DI150" s="2651"/>
      <c r="DJ150" s="2651"/>
      <c r="DK150" s="2651"/>
      <c r="DL150" s="2653"/>
    </row>
    <row r="151" spans="1:122" s="62" customFormat="1" ht="7.5" customHeight="1" thickTop="1">
      <c r="A151" s="61"/>
      <c r="B151" s="2509" t="s">
        <v>120</v>
      </c>
      <c r="C151" s="2374"/>
      <c r="D151" s="2374"/>
      <c r="E151" s="2449"/>
      <c r="F151" s="2450"/>
      <c r="G151" s="2450"/>
      <c r="H151" s="2450"/>
      <c r="I151" s="2450"/>
      <c r="J151" s="2450"/>
      <c r="K151" s="2450"/>
      <c r="L151" s="2450"/>
      <c r="M151" s="2450"/>
      <c r="N151" s="2450"/>
      <c r="O151" s="2450"/>
      <c r="P151" s="2450"/>
      <c r="Q151" s="2450"/>
      <c r="R151" s="2450"/>
      <c r="S151" s="2450"/>
      <c r="T151" s="2451"/>
      <c r="U151" s="2374" t="s">
        <v>121</v>
      </c>
      <c r="V151" s="2374"/>
      <c r="W151" s="2374"/>
      <c r="X151" s="2449"/>
      <c r="Y151" s="2450"/>
      <c r="Z151" s="2450"/>
      <c r="AA151" s="2450"/>
      <c r="AB151" s="2450"/>
      <c r="AC151" s="2450"/>
      <c r="AD151" s="2450"/>
      <c r="AE151" s="2450"/>
      <c r="AF151" s="2450"/>
      <c r="AG151" s="2450"/>
      <c r="AH151" s="2450"/>
      <c r="AI151" s="2450"/>
      <c r="AJ151" s="2450"/>
      <c r="AK151" s="2450"/>
      <c r="AL151" s="2450"/>
      <c r="AM151" s="2451"/>
      <c r="AN151" s="2374" t="s">
        <v>228</v>
      </c>
      <c r="AO151" s="2374"/>
      <c r="AP151" s="2374"/>
      <c r="AQ151" s="2375"/>
      <c r="AR151" s="2629"/>
      <c r="AS151" s="2629"/>
      <c r="AT151" s="2629"/>
      <c r="AU151" s="2630"/>
      <c r="AV151" s="2373" t="s">
        <v>138</v>
      </c>
      <c r="AW151" s="2374"/>
      <c r="AX151" s="2375"/>
      <c r="AY151" s="2439"/>
      <c r="AZ151" s="2439"/>
      <c r="BA151" s="2440"/>
      <c r="BB151" s="4281" t="s">
        <v>140</v>
      </c>
      <c r="BC151" s="2820"/>
      <c r="BD151" s="2820"/>
      <c r="BE151" s="2820"/>
      <c r="BF151" s="2821"/>
      <c r="BG151" s="2884">
        <v>20</v>
      </c>
      <c r="BH151" s="2669"/>
      <c r="BI151" s="2669"/>
      <c r="BJ151" s="2434"/>
      <c r="BK151" s="2434"/>
      <c r="BL151" s="2484" t="s">
        <v>125</v>
      </c>
      <c r="BM151" s="2484"/>
      <c r="BN151" s="2435"/>
      <c r="BO151" s="2435"/>
      <c r="BP151" s="2484" t="s">
        <v>239</v>
      </c>
      <c r="BQ151" s="2484"/>
      <c r="BR151" s="2484"/>
      <c r="BS151" s="2484"/>
      <c r="BT151" s="2833" t="s">
        <v>240</v>
      </c>
      <c r="BU151" s="2639"/>
      <c r="BV151" s="2639"/>
      <c r="BW151" s="2640"/>
      <c r="BX151" s="3046"/>
      <c r="BY151" s="4313"/>
      <c r="BZ151" s="4313"/>
      <c r="CA151" s="4313"/>
      <c r="CB151" s="4313"/>
      <c r="CC151" s="4313"/>
      <c r="CD151" s="4313"/>
      <c r="CE151" s="4313"/>
      <c r="CF151" s="4313"/>
      <c r="CG151" s="4313"/>
      <c r="CH151" s="4313"/>
      <c r="CI151" s="4313"/>
      <c r="CJ151" s="4313"/>
      <c r="CK151" s="4313"/>
      <c r="CL151" s="4313"/>
      <c r="CM151" s="4317"/>
      <c r="CN151" s="4317"/>
      <c r="CO151" s="4317"/>
      <c r="CP151" s="4317"/>
      <c r="CQ151" s="4317"/>
      <c r="CR151" s="4317"/>
      <c r="CS151" s="4317"/>
      <c r="CT151" s="4317"/>
      <c r="CU151" s="4317"/>
      <c r="CV151" s="4317"/>
      <c r="CW151" s="4317"/>
      <c r="CX151" s="4317"/>
      <c r="CY151" s="4317"/>
      <c r="CZ151" s="4317"/>
      <c r="DA151" s="4317"/>
      <c r="DB151" s="4317"/>
      <c r="DC151" s="4317"/>
      <c r="DD151" s="4317"/>
      <c r="DE151" s="4317"/>
      <c r="DF151" s="4317"/>
      <c r="DG151" s="4317"/>
      <c r="DH151" s="4317"/>
      <c r="DI151" s="4317"/>
      <c r="DJ151" s="4317"/>
      <c r="DK151" s="4317"/>
      <c r="DL151" s="4318"/>
    </row>
    <row r="152" spans="1:122" s="62" customFormat="1" ht="7.5" customHeight="1">
      <c r="A152" s="61"/>
      <c r="B152" s="2509"/>
      <c r="C152" s="2374"/>
      <c r="D152" s="2374"/>
      <c r="E152" s="2452"/>
      <c r="F152" s="2439"/>
      <c r="G152" s="2439"/>
      <c r="H152" s="2439"/>
      <c r="I152" s="2439"/>
      <c r="J152" s="2439"/>
      <c r="K152" s="2439"/>
      <c r="L152" s="2439"/>
      <c r="M152" s="2439"/>
      <c r="N152" s="2439"/>
      <c r="O152" s="2439"/>
      <c r="P152" s="2439"/>
      <c r="Q152" s="2439"/>
      <c r="R152" s="2439"/>
      <c r="S152" s="2439"/>
      <c r="T152" s="2453"/>
      <c r="U152" s="2374"/>
      <c r="V152" s="2374"/>
      <c r="W152" s="2374"/>
      <c r="X152" s="2452"/>
      <c r="Y152" s="2439"/>
      <c r="Z152" s="2439"/>
      <c r="AA152" s="2439"/>
      <c r="AB152" s="2439"/>
      <c r="AC152" s="2439"/>
      <c r="AD152" s="2439"/>
      <c r="AE152" s="2439"/>
      <c r="AF152" s="2439"/>
      <c r="AG152" s="2439"/>
      <c r="AH152" s="2439"/>
      <c r="AI152" s="2439"/>
      <c r="AJ152" s="2439"/>
      <c r="AK152" s="2439"/>
      <c r="AL152" s="2439"/>
      <c r="AM152" s="2453"/>
      <c r="AN152" s="2374"/>
      <c r="AO152" s="2374"/>
      <c r="AP152" s="2374"/>
      <c r="AQ152" s="2375"/>
      <c r="AR152" s="2629"/>
      <c r="AS152" s="2629"/>
      <c r="AT152" s="2629"/>
      <c r="AU152" s="2630"/>
      <c r="AV152" s="2373"/>
      <c r="AW152" s="2374"/>
      <c r="AX152" s="2375"/>
      <c r="AY152" s="2439"/>
      <c r="AZ152" s="2439"/>
      <c r="BA152" s="2440"/>
      <c r="BB152" s="4282"/>
      <c r="BC152" s="2823"/>
      <c r="BD152" s="2823"/>
      <c r="BE152" s="2823"/>
      <c r="BF152" s="2824"/>
      <c r="BG152" s="2885"/>
      <c r="BH152" s="2670"/>
      <c r="BI152" s="2670"/>
      <c r="BJ152" s="2435"/>
      <c r="BK152" s="2435"/>
      <c r="BL152" s="2484"/>
      <c r="BM152" s="2484"/>
      <c r="BN152" s="2435"/>
      <c r="BO152" s="2435"/>
      <c r="BP152" s="2484"/>
      <c r="BQ152" s="2484"/>
      <c r="BR152" s="2484"/>
      <c r="BS152" s="2484"/>
      <c r="BT152" s="2340"/>
      <c r="BU152" s="2341"/>
      <c r="BV152" s="2341"/>
      <c r="BW152" s="2641"/>
      <c r="BX152" s="3048"/>
      <c r="BY152" s="4314"/>
      <c r="BZ152" s="4314"/>
      <c r="CA152" s="4314"/>
      <c r="CB152" s="4314"/>
      <c r="CC152" s="4314"/>
      <c r="CD152" s="4314"/>
      <c r="CE152" s="4314"/>
      <c r="CF152" s="4314"/>
      <c r="CG152" s="4314"/>
      <c r="CH152" s="4314"/>
      <c r="CI152" s="4314"/>
      <c r="CJ152" s="4314"/>
      <c r="CK152" s="4314"/>
      <c r="CL152" s="4314"/>
      <c r="CM152" s="4319"/>
      <c r="CN152" s="4319"/>
      <c r="CO152" s="4319"/>
      <c r="CP152" s="4319"/>
      <c r="CQ152" s="4319"/>
      <c r="CR152" s="4319"/>
      <c r="CS152" s="4319"/>
      <c r="CT152" s="4319"/>
      <c r="CU152" s="4319"/>
      <c r="CV152" s="4319"/>
      <c r="CW152" s="4319"/>
      <c r="CX152" s="4319"/>
      <c r="CY152" s="4319"/>
      <c r="CZ152" s="4319"/>
      <c r="DA152" s="4319"/>
      <c r="DB152" s="4319"/>
      <c r="DC152" s="4319"/>
      <c r="DD152" s="4319"/>
      <c r="DE152" s="4319"/>
      <c r="DF152" s="4319"/>
      <c r="DG152" s="4319"/>
      <c r="DH152" s="4319"/>
      <c r="DI152" s="4319"/>
      <c r="DJ152" s="4319"/>
      <c r="DK152" s="4319"/>
      <c r="DL152" s="4320"/>
    </row>
    <row r="153" spans="1:122" s="62" customFormat="1" ht="7.5" customHeight="1" thickBot="1">
      <c r="A153" s="61"/>
      <c r="B153" s="2510"/>
      <c r="C153" s="2377"/>
      <c r="D153" s="2377"/>
      <c r="E153" s="2454"/>
      <c r="F153" s="2455"/>
      <c r="G153" s="2455"/>
      <c r="H153" s="2455"/>
      <c r="I153" s="2455"/>
      <c r="J153" s="2455"/>
      <c r="K153" s="2455"/>
      <c r="L153" s="2455"/>
      <c r="M153" s="2455"/>
      <c r="N153" s="2455"/>
      <c r="O153" s="2455"/>
      <c r="P153" s="2455"/>
      <c r="Q153" s="2455"/>
      <c r="R153" s="2455"/>
      <c r="S153" s="2455"/>
      <c r="T153" s="2456"/>
      <c r="U153" s="2377"/>
      <c r="V153" s="2377"/>
      <c r="W153" s="2377"/>
      <c r="X153" s="2454"/>
      <c r="Y153" s="2455"/>
      <c r="Z153" s="2455"/>
      <c r="AA153" s="2455"/>
      <c r="AB153" s="2455"/>
      <c r="AC153" s="2455"/>
      <c r="AD153" s="2455"/>
      <c r="AE153" s="2455"/>
      <c r="AF153" s="2455"/>
      <c r="AG153" s="2455"/>
      <c r="AH153" s="2455"/>
      <c r="AI153" s="2455"/>
      <c r="AJ153" s="2455"/>
      <c r="AK153" s="2455"/>
      <c r="AL153" s="2455"/>
      <c r="AM153" s="2456"/>
      <c r="AN153" s="2377"/>
      <c r="AO153" s="2377"/>
      <c r="AP153" s="2377"/>
      <c r="AQ153" s="2378"/>
      <c r="AR153" s="2632"/>
      <c r="AS153" s="2632"/>
      <c r="AT153" s="2632"/>
      <c r="AU153" s="2633"/>
      <c r="AV153" s="2376"/>
      <c r="AW153" s="2377"/>
      <c r="AX153" s="2378"/>
      <c r="AY153" s="2522"/>
      <c r="AZ153" s="2522"/>
      <c r="BA153" s="2523"/>
      <c r="BB153" s="4282"/>
      <c r="BC153" s="2823"/>
      <c r="BD153" s="2823"/>
      <c r="BE153" s="2823"/>
      <c r="BF153" s="2824"/>
      <c r="BG153" s="2886"/>
      <c r="BH153" s="2699"/>
      <c r="BI153" s="2699"/>
      <c r="BJ153" s="2482"/>
      <c r="BK153" s="2482"/>
      <c r="BL153" s="2485"/>
      <c r="BM153" s="2485"/>
      <c r="BN153" s="2482"/>
      <c r="BO153" s="2482"/>
      <c r="BP153" s="2485"/>
      <c r="BQ153" s="2485"/>
      <c r="BR153" s="2485"/>
      <c r="BS153" s="2485"/>
      <c r="BT153" s="4310"/>
      <c r="BU153" s="4311"/>
      <c r="BV153" s="4311"/>
      <c r="BW153" s="4312"/>
      <c r="BX153" s="4315"/>
      <c r="BY153" s="4316"/>
      <c r="BZ153" s="4316"/>
      <c r="CA153" s="4316"/>
      <c r="CB153" s="4316"/>
      <c r="CC153" s="4316"/>
      <c r="CD153" s="4316"/>
      <c r="CE153" s="4316"/>
      <c r="CF153" s="4316"/>
      <c r="CG153" s="4316"/>
      <c r="CH153" s="4316"/>
      <c r="CI153" s="4316"/>
      <c r="CJ153" s="4316"/>
      <c r="CK153" s="4316"/>
      <c r="CL153" s="4316"/>
      <c r="CM153" s="4321"/>
      <c r="CN153" s="4321"/>
      <c r="CO153" s="4321"/>
      <c r="CP153" s="4321"/>
      <c r="CQ153" s="4321"/>
      <c r="CR153" s="4321"/>
      <c r="CS153" s="4321"/>
      <c r="CT153" s="4321"/>
      <c r="CU153" s="4321"/>
      <c r="CV153" s="4321"/>
      <c r="CW153" s="4321"/>
      <c r="CX153" s="4321"/>
      <c r="CY153" s="4321"/>
      <c r="CZ153" s="4321"/>
      <c r="DA153" s="4321"/>
      <c r="DB153" s="4321"/>
      <c r="DC153" s="4321"/>
      <c r="DD153" s="4321"/>
      <c r="DE153" s="4321"/>
      <c r="DF153" s="4321"/>
      <c r="DG153" s="4321"/>
      <c r="DH153" s="4321"/>
      <c r="DI153" s="4321"/>
      <c r="DJ153" s="4321"/>
      <c r="DK153" s="4321"/>
      <c r="DL153" s="4322"/>
    </row>
    <row r="154" spans="1:122" ht="11.25" customHeight="1" thickTop="1">
      <c r="A154" s="44"/>
      <c r="B154" s="4288" t="s">
        <v>235</v>
      </c>
      <c r="C154" s="4289"/>
      <c r="D154" s="4289"/>
      <c r="E154" s="2716"/>
      <c r="F154" s="2716"/>
      <c r="G154" s="2716"/>
      <c r="H154" s="2716"/>
      <c r="I154" s="2716"/>
      <c r="J154" s="2716"/>
      <c r="K154" s="2716"/>
      <c r="L154" s="2716"/>
      <c r="M154" s="2716"/>
      <c r="N154" s="2716"/>
      <c r="O154" s="2716"/>
      <c r="P154" s="2716"/>
      <c r="Q154" s="2716"/>
      <c r="R154" s="2716"/>
      <c r="S154" s="2716"/>
      <c r="T154" s="2716"/>
      <c r="U154" s="4289"/>
      <c r="V154" s="4289"/>
      <c r="W154" s="4289"/>
      <c r="X154" s="2716"/>
      <c r="Y154" s="2716"/>
      <c r="Z154" s="2716"/>
      <c r="AA154" s="2716"/>
      <c r="AB154" s="2716"/>
      <c r="AC154" s="2716"/>
      <c r="AD154" s="2716"/>
      <c r="AE154" s="2716"/>
      <c r="AF154" s="2716"/>
      <c r="AG154" s="2716"/>
      <c r="AH154" s="2716"/>
      <c r="AI154" s="2716"/>
      <c r="AJ154" s="2716"/>
      <c r="AK154" s="2716"/>
      <c r="AL154" s="2716"/>
      <c r="AM154" s="2716"/>
      <c r="AN154" s="4289"/>
      <c r="AO154" s="4289"/>
      <c r="AP154" s="4289"/>
      <c r="AQ154" s="4289"/>
      <c r="AR154" s="4289"/>
      <c r="AS154" s="4289"/>
      <c r="AT154" s="4289"/>
      <c r="AU154" s="4289"/>
      <c r="AV154" s="4289"/>
      <c r="AW154" s="4289"/>
      <c r="AX154" s="4289"/>
      <c r="AY154" s="4289"/>
      <c r="AZ154" s="4289"/>
      <c r="BA154" s="4289"/>
      <c r="BB154" s="4289"/>
      <c r="BC154" s="4289"/>
      <c r="BD154" s="4289"/>
      <c r="BE154" s="4289"/>
      <c r="BF154" s="4289"/>
      <c r="BG154" s="4289"/>
      <c r="BH154" s="4289"/>
      <c r="BI154" s="4289"/>
      <c r="BJ154" s="4289"/>
      <c r="BK154" s="4289"/>
      <c r="BL154" s="4289"/>
      <c r="BM154" s="4289"/>
      <c r="BN154" s="4289"/>
      <c r="BO154" s="4289"/>
      <c r="BP154" s="4289"/>
      <c r="BQ154" s="4289"/>
      <c r="BR154" s="4289"/>
      <c r="BS154" s="4289"/>
      <c r="BT154" s="4289"/>
      <c r="BU154" s="4289"/>
      <c r="BV154" s="4289"/>
      <c r="BW154" s="4289"/>
      <c r="BX154" s="4289"/>
      <c r="BY154" s="4289"/>
      <c r="BZ154" s="4289"/>
      <c r="CA154" s="4289"/>
      <c r="CB154" s="4289"/>
      <c r="CC154" s="4289"/>
      <c r="CD154" s="4289"/>
      <c r="CE154" s="4289"/>
      <c r="CF154" s="4289"/>
      <c r="CG154" s="4289"/>
      <c r="CH154" s="4289"/>
      <c r="CI154" s="4289"/>
      <c r="CJ154" s="4289"/>
      <c r="CK154" s="4289"/>
      <c r="CL154" s="4289"/>
      <c r="CM154" s="4289"/>
      <c r="CN154" s="4289"/>
      <c r="CO154" s="4289"/>
      <c r="CP154" s="4289"/>
      <c r="CQ154" s="4289"/>
      <c r="CR154" s="4289"/>
      <c r="CS154" s="4289"/>
      <c r="CT154" s="4289"/>
      <c r="CU154" s="4289"/>
      <c r="CV154" s="4289"/>
      <c r="CW154" s="4289"/>
      <c r="CX154" s="4289"/>
      <c r="CY154" s="4289"/>
      <c r="CZ154" s="4289"/>
      <c r="DA154" s="4289"/>
      <c r="DB154" s="4289"/>
      <c r="DC154" s="4289"/>
      <c r="DD154" s="4289"/>
      <c r="DE154" s="4289"/>
      <c r="DF154" s="4289"/>
      <c r="DG154" s="4289"/>
      <c r="DH154" s="4289"/>
      <c r="DI154" s="4289"/>
      <c r="DJ154" s="4289"/>
      <c r="DK154" s="4289"/>
      <c r="DL154" s="4290"/>
      <c r="DM154" s="125"/>
      <c r="DR154" s="109"/>
    </row>
    <row r="155" spans="1:122" ht="7.5" customHeight="1">
      <c r="A155" s="44"/>
      <c r="B155" s="4291" t="s">
        <v>1166</v>
      </c>
      <c r="C155" s="4291"/>
      <c r="D155" s="4291"/>
      <c r="E155" s="4291"/>
      <c r="F155" s="4291"/>
      <c r="G155" s="4291"/>
      <c r="H155" s="4292"/>
      <c r="I155" s="4295"/>
      <c r="J155" s="4296"/>
      <c r="K155" s="4296"/>
      <c r="L155" s="4296"/>
      <c r="M155" s="4296"/>
      <c r="N155" s="4296"/>
      <c r="O155" s="4296"/>
      <c r="P155" s="4296"/>
      <c r="Q155" s="4296"/>
      <c r="R155" s="4296"/>
      <c r="S155" s="4296"/>
      <c r="T155" s="4296"/>
      <c r="U155" s="4296"/>
      <c r="V155" s="4296"/>
      <c r="W155" s="4296"/>
      <c r="X155" s="2340" t="s">
        <v>166</v>
      </c>
      <c r="Y155" s="2341"/>
      <c r="Z155" s="2341"/>
      <c r="AA155" s="2341"/>
      <c r="AB155" s="2341"/>
      <c r="AC155" s="2341"/>
      <c r="AD155" s="2641"/>
      <c r="AE155" s="2488"/>
      <c r="AF155" s="2439"/>
      <c r="AG155" s="2439"/>
      <c r="AH155" s="2439"/>
      <c r="AI155" s="2439"/>
      <c r="AJ155" s="2439"/>
      <c r="AK155" s="2439"/>
      <c r="AL155" s="2439"/>
      <c r="AM155" s="2439"/>
      <c r="AN155" s="2439"/>
      <c r="AO155" s="2439"/>
      <c r="AP155" s="2439"/>
      <c r="AQ155" s="2439"/>
      <c r="AR155" s="2439"/>
      <c r="AS155" s="2439"/>
      <c r="AT155" s="2439"/>
      <c r="AU155" s="2439"/>
      <c r="AV155" s="2439"/>
      <c r="AW155" s="4301" t="s">
        <v>1198</v>
      </c>
      <c r="AX155" s="4302"/>
      <c r="AY155" s="4302"/>
      <c r="AZ155" s="4302"/>
      <c r="BA155" s="4302"/>
      <c r="BB155" s="4302"/>
      <c r="BC155" s="4302"/>
      <c r="BD155" s="4302"/>
      <c r="BE155" s="4303"/>
      <c r="BF155" s="3115"/>
      <c r="BG155" s="4299"/>
      <c r="BH155" s="4308" t="s">
        <v>1174</v>
      </c>
      <c r="BI155" s="2799"/>
      <c r="BJ155" s="2799"/>
      <c r="BK155" s="2799"/>
      <c r="BL155" s="2799"/>
      <c r="BM155" s="2799"/>
      <c r="BN155" s="2799"/>
      <c r="BO155" s="2799"/>
      <c r="BP155" s="2793"/>
      <c r="BQ155" s="2794"/>
      <c r="BR155" s="2794"/>
      <c r="BS155" s="2794"/>
      <c r="BT155" s="2794"/>
      <c r="BU155" s="2794"/>
      <c r="BV155" s="2794"/>
      <c r="BW155" s="2794"/>
      <c r="BX155" s="2794"/>
      <c r="BY155" s="2794"/>
      <c r="BZ155" s="2794"/>
      <c r="CA155" s="2794"/>
      <c r="CB155" s="2794"/>
      <c r="CC155" s="2794"/>
      <c r="CD155" s="2794"/>
      <c r="CE155" s="2794"/>
      <c r="CF155" s="2794"/>
      <c r="CG155" s="2794"/>
      <c r="CH155" s="2794"/>
      <c r="CI155" s="4286"/>
      <c r="CJ155" s="4283"/>
      <c r="CK155" s="2728"/>
      <c r="CL155" s="2728"/>
      <c r="CM155" s="2728"/>
      <c r="CN155" s="2728"/>
      <c r="CO155" s="2728"/>
      <c r="CP155" s="2728"/>
      <c r="CQ155" s="2728"/>
      <c r="CR155" s="2728"/>
      <c r="CS155" s="2728"/>
      <c r="CT155" s="2728"/>
      <c r="CU155" s="2728"/>
      <c r="CV155" s="2728"/>
      <c r="CW155" s="2728"/>
      <c r="CX155" s="2728"/>
      <c r="CY155" s="2728"/>
      <c r="CZ155" s="2728"/>
      <c r="DA155" s="2728"/>
      <c r="DB155" s="2728"/>
      <c r="DC155" s="2728"/>
      <c r="DD155" s="2728"/>
      <c r="DE155" s="2728"/>
      <c r="DF155" s="2728"/>
      <c r="DG155" s="2728"/>
      <c r="DH155" s="2728"/>
      <c r="DI155" s="2728"/>
      <c r="DJ155" s="2728"/>
      <c r="DK155" s="2728"/>
      <c r="DL155" s="2729"/>
    </row>
    <row r="156" spans="1:122" s="49" customFormat="1" ht="7.5" customHeight="1">
      <c r="A156" s="63"/>
      <c r="B156" s="4291"/>
      <c r="C156" s="4291"/>
      <c r="D156" s="4291"/>
      <c r="E156" s="4291"/>
      <c r="F156" s="4291"/>
      <c r="G156" s="4291"/>
      <c r="H156" s="4292"/>
      <c r="I156" s="4295"/>
      <c r="J156" s="4296"/>
      <c r="K156" s="4296"/>
      <c r="L156" s="4296"/>
      <c r="M156" s="4296"/>
      <c r="N156" s="4296"/>
      <c r="O156" s="4296"/>
      <c r="P156" s="4296"/>
      <c r="Q156" s="4296"/>
      <c r="R156" s="4296"/>
      <c r="S156" s="4296"/>
      <c r="T156" s="4296"/>
      <c r="U156" s="4296"/>
      <c r="V156" s="4296"/>
      <c r="W156" s="4296"/>
      <c r="X156" s="2340"/>
      <c r="Y156" s="2341"/>
      <c r="Z156" s="2341"/>
      <c r="AA156" s="2341"/>
      <c r="AB156" s="2341"/>
      <c r="AC156" s="2341"/>
      <c r="AD156" s="2641"/>
      <c r="AE156" s="2488"/>
      <c r="AF156" s="2439"/>
      <c r="AG156" s="2439"/>
      <c r="AH156" s="2439"/>
      <c r="AI156" s="2439"/>
      <c r="AJ156" s="2439"/>
      <c r="AK156" s="2439"/>
      <c r="AL156" s="2439"/>
      <c r="AM156" s="2439"/>
      <c r="AN156" s="2439"/>
      <c r="AO156" s="2439"/>
      <c r="AP156" s="2439"/>
      <c r="AQ156" s="2439"/>
      <c r="AR156" s="2439"/>
      <c r="AS156" s="2439"/>
      <c r="AT156" s="2439"/>
      <c r="AU156" s="2439"/>
      <c r="AV156" s="2439"/>
      <c r="AW156" s="4304"/>
      <c r="AX156" s="4302"/>
      <c r="AY156" s="4302"/>
      <c r="AZ156" s="4302"/>
      <c r="BA156" s="4302"/>
      <c r="BB156" s="4302"/>
      <c r="BC156" s="4302"/>
      <c r="BD156" s="4302"/>
      <c r="BE156" s="4303"/>
      <c r="BF156" s="3115"/>
      <c r="BG156" s="4299"/>
      <c r="BH156" s="4308"/>
      <c r="BI156" s="2799"/>
      <c r="BJ156" s="2799"/>
      <c r="BK156" s="2799"/>
      <c r="BL156" s="2799"/>
      <c r="BM156" s="2799"/>
      <c r="BN156" s="2799"/>
      <c r="BO156" s="2799"/>
      <c r="BP156" s="2793"/>
      <c r="BQ156" s="2794"/>
      <c r="BR156" s="2794"/>
      <c r="BS156" s="2794"/>
      <c r="BT156" s="2794"/>
      <c r="BU156" s="2794"/>
      <c r="BV156" s="2794"/>
      <c r="BW156" s="2794"/>
      <c r="BX156" s="2794"/>
      <c r="BY156" s="2794"/>
      <c r="BZ156" s="2794"/>
      <c r="CA156" s="2794"/>
      <c r="CB156" s="2794"/>
      <c r="CC156" s="2794"/>
      <c r="CD156" s="2794"/>
      <c r="CE156" s="2794"/>
      <c r="CF156" s="2794"/>
      <c r="CG156" s="2794"/>
      <c r="CH156" s="2794"/>
      <c r="CI156" s="4286"/>
      <c r="CJ156" s="4283"/>
      <c r="CK156" s="2728"/>
      <c r="CL156" s="2728"/>
      <c r="CM156" s="2728"/>
      <c r="CN156" s="2728"/>
      <c r="CO156" s="2728"/>
      <c r="CP156" s="2728"/>
      <c r="CQ156" s="2728"/>
      <c r="CR156" s="2728"/>
      <c r="CS156" s="2728"/>
      <c r="CT156" s="2728"/>
      <c r="CU156" s="2728"/>
      <c r="CV156" s="2728"/>
      <c r="CW156" s="2728"/>
      <c r="CX156" s="2728"/>
      <c r="CY156" s="2728"/>
      <c r="CZ156" s="2728"/>
      <c r="DA156" s="2728"/>
      <c r="DB156" s="2728"/>
      <c r="DC156" s="2728"/>
      <c r="DD156" s="2728"/>
      <c r="DE156" s="2728"/>
      <c r="DF156" s="2728"/>
      <c r="DG156" s="2728"/>
      <c r="DH156" s="2728"/>
      <c r="DI156" s="2728"/>
      <c r="DJ156" s="2728"/>
      <c r="DK156" s="2728"/>
      <c r="DL156" s="2729"/>
    </row>
    <row r="157" spans="1:122" s="49" customFormat="1" ht="7.5" customHeight="1" thickBot="1">
      <c r="A157" s="63"/>
      <c r="B157" s="4293"/>
      <c r="C157" s="4293"/>
      <c r="D157" s="4293"/>
      <c r="E157" s="4293"/>
      <c r="F157" s="4293"/>
      <c r="G157" s="4293"/>
      <c r="H157" s="4294"/>
      <c r="I157" s="4297"/>
      <c r="J157" s="4298"/>
      <c r="K157" s="4298"/>
      <c r="L157" s="4298"/>
      <c r="M157" s="4298"/>
      <c r="N157" s="4298"/>
      <c r="O157" s="4298"/>
      <c r="P157" s="4298"/>
      <c r="Q157" s="4298"/>
      <c r="R157" s="4298"/>
      <c r="S157" s="4298"/>
      <c r="T157" s="4298"/>
      <c r="U157" s="4298"/>
      <c r="V157" s="4298"/>
      <c r="W157" s="4298"/>
      <c r="X157" s="2869"/>
      <c r="Y157" s="2642"/>
      <c r="Z157" s="2642"/>
      <c r="AA157" s="2642"/>
      <c r="AB157" s="2642"/>
      <c r="AC157" s="2642"/>
      <c r="AD157" s="2643"/>
      <c r="AE157" s="4285"/>
      <c r="AF157" s="2441"/>
      <c r="AG157" s="2441"/>
      <c r="AH157" s="2441"/>
      <c r="AI157" s="2441"/>
      <c r="AJ157" s="2441"/>
      <c r="AK157" s="2441"/>
      <c r="AL157" s="2441"/>
      <c r="AM157" s="2441"/>
      <c r="AN157" s="2441"/>
      <c r="AO157" s="2441"/>
      <c r="AP157" s="2441"/>
      <c r="AQ157" s="2441"/>
      <c r="AR157" s="2441"/>
      <c r="AS157" s="2441"/>
      <c r="AT157" s="2441"/>
      <c r="AU157" s="2441"/>
      <c r="AV157" s="2441"/>
      <c r="AW157" s="4305"/>
      <c r="AX157" s="4306"/>
      <c r="AY157" s="4306"/>
      <c r="AZ157" s="4306"/>
      <c r="BA157" s="4306"/>
      <c r="BB157" s="4306"/>
      <c r="BC157" s="4306"/>
      <c r="BD157" s="4306"/>
      <c r="BE157" s="4307"/>
      <c r="BF157" s="3116"/>
      <c r="BG157" s="4300"/>
      <c r="BH157" s="4309"/>
      <c r="BI157" s="2801"/>
      <c r="BJ157" s="2801"/>
      <c r="BK157" s="2801"/>
      <c r="BL157" s="2801"/>
      <c r="BM157" s="2801"/>
      <c r="BN157" s="2801"/>
      <c r="BO157" s="2801"/>
      <c r="BP157" s="2795"/>
      <c r="BQ157" s="2796"/>
      <c r="BR157" s="2796"/>
      <c r="BS157" s="2796"/>
      <c r="BT157" s="2796"/>
      <c r="BU157" s="2796"/>
      <c r="BV157" s="2796"/>
      <c r="BW157" s="2796"/>
      <c r="BX157" s="2796"/>
      <c r="BY157" s="2796"/>
      <c r="BZ157" s="2796"/>
      <c r="CA157" s="2796"/>
      <c r="CB157" s="2796"/>
      <c r="CC157" s="2796"/>
      <c r="CD157" s="2796"/>
      <c r="CE157" s="2796"/>
      <c r="CF157" s="2796"/>
      <c r="CG157" s="2796"/>
      <c r="CH157" s="2796"/>
      <c r="CI157" s="4287"/>
      <c r="CJ157" s="4284"/>
      <c r="CK157" s="2731"/>
      <c r="CL157" s="2731"/>
      <c r="CM157" s="2731"/>
      <c r="CN157" s="2731"/>
      <c r="CO157" s="2731"/>
      <c r="CP157" s="2731"/>
      <c r="CQ157" s="2731"/>
      <c r="CR157" s="2731"/>
      <c r="CS157" s="2731"/>
      <c r="CT157" s="2731"/>
      <c r="CU157" s="2731"/>
      <c r="CV157" s="2731"/>
      <c r="CW157" s="2731"/>
      <c r="CX157" s="2731"/>
      <c r="CY157" s="2731"/>
      <c r="CZ157" s="2731"/>
      <c r="DA157" s="2731"/>
      <c r="DB157" s="2731"/>
      <c r="DC157" s="2731"/>
      <c r="DD157" s="2731"/>
      <c r="DE157" s="2731"/>
      <c r="DF157" s="2731"/>
      <c r="DG157" s="2731"/>
      <c r="DH157" s="2731"/>
      <c r="DI157" s="2731"/>
      <c r="DJ157" s="2731"/>
      <c r="DK157" s="2731"/>
      <c r="DL157" s="2732"/>
    </row>
    <row r="158" spans="1:122" customFormat="1" ht="6" customHeight="1">
      <c r="A158" s="127"/>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row>
    <row r="159" spans="1:122" ht="8.25" customHeight="1">
      <c r="A159" s="2874" t="s">
        <v>1514</v>
      </c>
      <c r="B159" s="2874"/>
      <c r="C159" s="2874"/>
      <c r="D159" s="2874"/>
      <c r="E159" s="2874"/>
      <c r="F159" s="2874"/>
      <c r="G159" s="2874"/>
      <c r="H159" s="2874"/>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74"/>
      <c r="AD159" s="2874"/>
      <c r="AE159" s="2874"/>
      <c r="AF159" s="2874"/>
      <c r="AG159" s="2874"/>
      <c r="AH159" s="2874"/>
      <c r="AI159" s="2874"/>
      <c r="AJ159" s="2874"/>
      <c r="AK159" s="2874"/>
      <c r="AL159" s="2874"/>
      <c r="AM159" s="2874"/>
      <c r="AN159" s="2874"/>
      <c r="AO159" s="2874"/>
      <c r="AP159" s="2874"/>
      <c r="AQ159" s="2874"/>
      <c r="AR159" s="2874"/>
      <c r="AS159" s="2874"/>
      <c r="AT159" s="2874"/>
      <c r="AU159" s="2874"/>
      <c r="AV159" s="2874"/>
      <c r="AW159" s="2874"/>
      <c r="AX159" s="2874"/>
      <c r="AY159" s="2874"/>
      <c r="AZ159" s="2874"/>
      <c r="BA159" s="2874"/>
      <c r="BB159" s="2874"/>
      <c r="BC159" s="2874"/>
      <c r="BD159" s="2874"/>
      <c r="BE159" s="2874"/>
      <c r="BF159" s="2874"/>
      <c r="BG159" s="2874"/>
      <c r="BH159" s="2874"/>
      <c r="BI159" s="2874"/>
      <c r="BJ159" s="2874"/>
      <c r="BK159" s="2874"/>
      <c r="BL159" s="2874"/>
      <c r="BM159" s="2874"/>
      <c r="BN159" s="2874"/>
      <c r="BO159" s="2874"/>
      <c r="BP159" s="2874"/>
      <c r="BQ159" s="2874"/>
      <c r="BR159" s="2874"/>
      <c r="BS159" s="2874"/>
      <c r="BT159" s="2874"/>
      <c r="BU159" s="2874"/>
      <c r="BV159" s="2874"/>
      <c r="BW159" s="2874"/>
      <c r="BX159" s="2874"/>
      <c r="BY159" s="2874"/>
      <c r="BZ159" s="2874"/>
      <c r="CA159" s="2874"/>
      <c r="CB159" s="2874"/>
      <c r="CC159" s="2874"/>
      <c r="CD159" s="2874"/>
      <c r="CE159" s="2874"/>
      <c r="CF159" s="2874"/>
      <c r="CG159" s="2874"/>
      <c r="CH159" s="2874"/>
      <c r="CI159" s="2874"/>
      <c r="CJ159" s="2874"/>
      <c r="CK159" s="2874"/>
      <c r="CL159" s="2874"/>
      <c r="CM159" s="2874"/>
      <c r="CN159" s="2874"/>
      <c r="CO159" s="2874"/>
      <c r="CP159" s="2874"/>
      <c r="CQ159" s="2874"/>
      <c r="CR159" s="2874"/>
      <c r="CS159" s="2874"/>
      <c r="CT159" s="2874"/>
      <c r="CU159" s="2874"/>
      <c r="CV159" s="2874"/>
      <c r="CW159" s="2874"/>
      <c r="CX159" s="2874"/>
      <c r="CY159" s="2874"/>
      <c r="CZ159" s="2874"/>
      <c r="DA159" s="2874"/>
      <c r="DB159" s="2874"/>
      <c r="DC159" s="2874"/>
      <c r="DD159" s="2874"/>
      <c r="DE159" s="2874"/>
      <c r="DF159" s="2874"/>
      <c r="DG159" s="2874"/>
      <c r="DH159" s="2874"/>
      <c r="DI159" s="2874"/>
      <c r="DJ159" s="2874"/>
      <c r="DK159" s="2874"/>
      <c r="DL159" s="2874"/>
    </row>
    <row r="160" spans="1:122" ht="7.5" customHeight="1">
      <c r="A160" s="1505" t="s">
        <v>1515</v>
      </c>
      <c r="B160" s="2874"/>
      <c r="C160" s="2874"/>
      <c r="D160" s="2874"/>
      <c r="E160" s="2874"/>
      <c r="F160" s="2874"/>
      <c r="G160" s="2874"/>
      <c r="H160" s="2874"/>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74"/>
      <c r="AD160" s="2874"/>
      <c r="AE160" s="2874"/>
      <c r="AF160" s="2874"/>
      <c r="AG160" s="2874"/>
      <c r="AH160" s="2874"/>
      <c r="AI160" s="2874"/>
      <c r="AJ160" s="2874"/>
      <c r="AK160" s="2874"/>
      <c r="AL160" s="2874"/>
      <c r="AM160" s="2874"/>
      <c r="AN160" s="2874"/>
      <c r="AO160" s="2874"/>
      <c r="AP160" s="2874"/>
      <c r="AQ160" s="2874"/>
      <c r="AR160" s="2874"/>
      <c r="AS160" s="2874"/>
      <c r="AT160" s="2874"/>
      <c r="AU160" s="2874"/>
      <c r="AV160" s="2874"/>
      <c r="AW160" s="2874"/>
      <c r="AX160" s="2874"/>
      <c r="AY160" s="2874"/>
      <c r="AZ160" s="2874"/>
      <c r="BA160" s="2874"/>
      <c r="BB160" s="2874"/>
      <c r="BC160" s="2874"/>
      <c r="BD160" s="2874"/>
      <c r="BE160" s="2874"/>
      <c r="BF160" s="2874"/>
      <c r="BG160" s="2874"/>
      <c r="BH160" s="2874"/>
      <c r="BI160" s="2874"/>
      <c r="BJ160" s="2874"/>
      <c r="BK160" s="2874"/>
      <c r="BL160" s="2874"/>
      <c r="BM160" s="2874"/>
      <c r="BN160" s="2874"/>
      <c r="BO160" s="2874"/>
      <c r="BP160" s="2874"/>
      <c r="BQ160" s="2874"/>
      <c r="BR160" s="2874"/>
      <c r="BS160" s="2874"/>
      <c r="BT160" s="2874"/>
      <c r="BU160" s="2874"/>
      <c r="BV160" s="2874"/>
      <c r="BW160" s="2874"/>
      <c r="BX160" s="2874"/>
      <c r="BY160" s="2874"/>
      <c r="BZ160" s="2874"/>
      <c r="CA160" s="2874"/>
      <c r="CB160" s="2874"/>
      <c r="CC160" s="2874"/>
      <c r="CD160" s="2874"/>
      <c r="CE160" s="2874"/>
      <c r="CF160" s="2874"/>
      <c r="CG160" s="2874"/>
      <c r="CH160" s="2874"/>
      <c r="CI160" s="2874"/>
      <c r="CJ160" s="2874"/>
      <c r="CK160" s="2874"/>
      <c r="CL160" s="2874"/>
      <c r="CM160" s="2874"/>
      <c r="CN160" s="2874"/>
      <c r="CO160" s="2874"/>
      <c r="CP160" s="2874"/>
      <c r="CQ160" s="2874"/>
      <c r="CR160" s="2874"/>
      <c r="CS160" s="2874"/>
      <c r="CT160" s="2874"/>
      <c r="CU160" s="2874"/>
      <c r="CV160" s="2874"/>
      <c r="CW160" s="2874"/>
      <c r="CX160" s="2874"/>
      <c r="CY160" s="2874"/>
      <c r="CZ160" s="2874"/>
      <c r="DA160" s="2874"/>
      <c r="DB160" s="2874"/>
      <c r="DC160" s="2874"/>
      <c r="DD160" s="2874"/>
      <c r="DE160" s="2874"/>
      <c r="DF160" s="2874"/>
      <c r="DG160" s="2874"/>
      <c r="DH160" s="2874"/>
      <c r="DI160" s="2874"/>
      <c r="DJ160" s="2874"/>
      <c r="DK160" s="2874"/>
      <c r="DL160" s="2874"/>
    </row>
  </sheetData>
  <sheetProtection algorithmName="SHA-512" hashValue="QdChKq0umJr/zxYBCy6Y5++krsaxh4U33KdZJRMIxWWc/v0YKSJb2Ue3gtrkvPNvBC0C6dvE9NNzV1eRi7YLcg==" saltValue="E3xsdGDTh0MUrgp/M/XGYQ==" spinCount="100000" sheet="1" selectLockedCells="1"/>
  <protectedRanges>
    <protectedRange sqref="AF132:AI137 AM138:AV138 BD139:BM140" name="範囲1"/>
  </protectedRanges>
  <dataConsolidate link="1"/>
  <mergeCells count="422">
    <mergeCell ref="A160:DL160"/>
    <mergeCell ref="B108:G110"/>
    <mergeCell ref="H108:I110"/>
    <mergeCell ref="BX121:CA123"/>
    <mergeCell ref="CB121:CG123"/>
    <mergeCell ref="CJ108:CP110"/>
    <mergeCell ref="BS105:CB107"/>
    <mergeCell ref="AP105:BL107"/>
    <mergeCell ref="AE105:AF107"/>
    <mergeCell ref="U105:AD107"/>
    <mergeCell ref="AS108:BL110"/>
    <mergeCell ref="AG105:AO107"/>
    <mergeCell ref="B117:DL117"/>
    <mergeCell ref="H105:T107"/>
    <mergeCell ref="B111:AM113"/>
    <mergeCell ref="AN111:DF113"/>
    <mergeCell ref="A159:DL159"/>
    <mergeCell ref="X144:AM146"/>
    <mergeCell ref="B105:G107"/>
    <mergeCell ref="J108:V110"/>
    <mergeCell ref="W108:AJ110"/>
    <mergeCell ref="CQ108:CT110"/>
    <mergeCell ref="CU108:DB110"/>
    <mergeCell ref="DC108:DD110"/>
    <mergeCell ref="B83:R83"/>
    <mergeCell ref="S83:DL83"/>
    <mergeCell ref="B84:G86"/>
    <mergeCell ref="H84:I86"/>
    <mergeCell ref="J84:M86"/>
    <mergeCell ref="DB84:DF86"/>
    <mergeCell ref="AJ84:AP86"/>
    <mergeCell ref="AQ84:AU86"/>
    <mergeCell ref="AV84:BA86"/>
    <mergeCell ref="BB84:BC86"/>
    <mergeCell ref="CD84:CM86"/>
    <mergeCell ref="CN84:CT86"/>
    <mergeCell ref="Y84:AA86"/>
    <mergeCell ref="AB84:AI86"/>
    <mergeCell ref="N84:Q86"/>
    <mergeCell ref="R84:V86"/>
    <mergeCell ref="DI84:DL86"/>
    <mergeCell ref="W84:X86"/>
    <mergeCell ref="CU84:CY86"/>
    <mergeCell ref="CZ84:DA86"/>
    <mergeCell ref="BD84:BG86"/>
    <mergeCell ref="BH84:BI86"/>
    <mergeCell ref="BJ84:BQ86"/>
    <mergeCell ref="CB84:CC86"/>
    <mergeCell ref="A73:AI75"/>
    <mergeCell ref="AJ73:DL76"/>
    <mergeCell ref="B78:Y79"/>
    <mergeCell ref="Z78:DL79"/>
    <mergeCell ref="B80:D82"/>
    <mergeCell ref="E80:Q82"/>
    <mergeCell ref="R80:T82"/>
    <mergeCell ref="U80:AH82"/>
    <mergeCell ref="AI80:AK82"/>
    <mergeCell ref="CT80:DL82"/>
    <mergeCell ref="CH80:CI82"/>
    <mergeCell ref="CJ80:CK82"/>
    <mergeCell ref="CL80:CO82"/>
    <mergeCell ref="BR80:BT82"/>
    <mergeCell ref="BD80:BG82"/>
    <mergeCell ref="BH80:BK82"/>
    <mergeCell ref="BL80:BO82"/>
    <mergeCell ref="BP80:BQ82"/>
    <mergeCell ref="AL80:BC82"/>
    <mergeCell ref="CP80:CS82"/>
    <mergeCell ref="BU80:BW82"/>
    <mergeCell ref="BX80:CB82"/>
    <mergeCell ref="B102:E104"/>
    <mergeCell ref="K94:O94"/>
    <mergeCell ref="E98:V100"/>
    <mergeCell ref="P94:AK94"/>
    <mergeCell ref="AL93:DL94"/>
    <mergeCell ref="BX98:CB100"/>
    <mergeCell ref="CC98:CE100"/>
    <mergeCell ref="CV102:DB104"/>
    <mergeCell ref="DC102:DD104"/>
    <mergeCell ref="DE102:DJ104"/>
    <mergeCell ref="DK102:DL104"/>
    <mergeCell ref="B101:DL101"/>
    <mergeCell ref="BF102:BI104"/>
    <mergeCell ref="M102:N104"/>
    <mergeCell ref="DL36:DM37"/>
    <mergeCell ref="CT38:DK39"/>
    <mergeCell ref="DL38:DM39"/>
    <mergeCell ref="CN51:CS52"/>
    <mergeCell ref="CT51:DK52"/>
    <mergeCell ref="CK42:CO43"/>
    <mergeCell ref="CP42:DK43"/>
    <mergeCell ref="CC45:DD46"/>
    <mergeCell ref="DE45:DK46"/>
    <mergeCell ref="CV49:DA50"/>
    <mergeCell ref="DB49:DK50"/>
    <mergeCell ref="BT51:CM52"/>
    <mergeCell ref="BI45:CB46"/>
    <mergeCell ref="BI47:BM48"/>
    <mergeCell ref="BN47:DK48"/>
    <mergeCell ref="BI49:BM52"/>
    <mergeCell ref="BT49:CD50"/>
    <mergeCell ref="CE49:CJ50"/>
    <mergeCell ref="CK49:CU50"/>
    <mergeCell ref="BI40:BM41"/>
    <mergeCell ref="BI42:BM43"/>
    <mergeCell ref="BN42:CJ43"/>
    <mergeCell ref="DB27:DK28"/>
    <mergeCell ref="CT29:DK30"/>
    <mergeCell ref="CZ24:DK26"/>
    <mergeCell ref="CV24:CY26"/>
    <mergeCell ref="BN24:CU24"/>
    <mergeCell ref="CN25:CU26"/>
    <mergeCell ref="BX25:CM26"/>
    <mergeCell ref="CK40:CO41"/>
    <mergeCell ref="CP40:CZ41"/>
    <mergeCell ref="DA40:DK41"/>
    <mergeCell ref="CV36:DA37"/>
    <mergeCell ref="BN38:BS39"/>
    <mergeCell ref="BT38:CM39"/>
    <mergeCell ref="CN38:CS39"/>
    <mergeCell ref="DB36:DK37"/>
    <mergeCell ref="BN40:CJ41"/>
    <mergeCell ref="BI27:BM30"/>
    <mergeCell ref="BN27:BS28"/>
    <mergeCell ref="BT27:CD28"/>
    <mergeCell ref="CE27:CJ28"/>
    <mergeCell ref="CK27:CU28"/>
    <mergeCell ref="CV27:DA28"/>
    <mergeCell ref="BN29:BS30"/>
    <mergeCell ref="BT29:CM30"/>
    <mergeCell ref="CN29:CS30"/>
    <mergeCell ref="X20:AB21"/>
    <mergeCell ref="AC20:AE21"/>
    <mergeCell ref="AF20:BF21"/>
    <mergeCell ref="A1:DL3"/>
    <mergeCell ref="BD4:BX6"/>
    <mergeCell ref="BY4:CS6"/>
    <mergeCell ref="B20:F21"/>
    <mergeCell ref="G20:I21"/>
    <mergeCell ref="J20:L21"/>
    <mergeCell ref="M20:O21"/>
    <mergeCell ref="P20:T21"/>
    <mergeCell ref="U20:W21"/>
    <mergeCell ref="A4:BC6"/>
    <mergeCell ref="B25:F26"/>
    <mergeCell ref="G25:AD26"/>
    <mergeCell ref="AE25:AI26"/>
    <mergeCell ref="AJ25:BF26"/>
    <mergeCell ref="BI25:BM26"/>
    <mergeCell ref="B22:X24"/>
    <mergeCell ref="Z22:BF24"/>
    <mergeCell ref="BI24:BM24"/>
    <mergeCell ref="BN25:BW26"/>
    <mergeCell ref="BI22:DK23"/>
    <mergeCell ref="B30:F30"/>
    <mergeCell ref="G30:BF30"/>
    <mergeCell ref="B31:F32"/>
    <mergeCell ref="BI32:CB33"/>
    <mergeCell ref="CC32:DD33"/>
    <mergeCell ref="DE32:DK33"/>
    <mergeCell ref="G31:BF32"/>
    <mergeCell ref="B33:F36"/>
    <mergeCell ref="G33:L34"/>
    <mergeCell ref="M33:W34"/>
    <mergeCell ref="X33:AC34"/>
    <mergeCell ref="AD33:AN34"/>
    <mergeCell ref="AO33:AT34"/>
    <mergeCell ref="AU33:BF34"/>
    <mergeCell ref="G35:L36"/>
    <mergeCell ref="M35:AF36"/>
    <mergeCell ref="AG35:AL36"/>
    <mergeCell ref="AM35:BF36"/>
    <mergeCell ref="BI34:BM35"/>
    <mergeCell ref="BN34:DK35"/>
    <mergeCell ref="BN36:BS37"/>
    <mergeCell ref="BT36:CD37"/>
    <mergeCell ref="CE36:CJ37"/>
    <mergeCell ref="CK36:CU37"/>
    <mergeCell ref="B37:F39"/>
    <mergeCell ref="G37:AA39"/>
    <mergeCell ref="AB37:AF37"/>
    <mergeCell ref="AG37:AS37"/>
    <mergeCell ref="AT37:BF37"/>
    <mergeCell ref="AB38:AF39"/>
    <mergeCell ref="AG38:AS39"/>
    <mergeCell ref="AT38:BF39"/>
    <mergeCell ref="BI36:BM39"/>
    <mergeCell ref="B52:F55"/>
    <mergeCell ref="G52:L53"/>
    <mergeCell ref="M52:W53"/>
    <mergeCell ref="X52:AC53"/>
    <mergeCell ref="B40:F41"/>
    <mergeCell ref="G40:AA41"/>
    <mergeCell ref="AB40:AF41"/>
    <mergeCell ref="AG40:BF41"/>
    <mergeCell ref="B42:F44"/>
    <mergeCell ref="G42:AY44"/>
    <mergeCell ref="AZ42:BF44"/>
    <mergeCell ref="G54:L55"/>
    <mergeCell ref="AL47:BF48"/>
    <mergeCell ref="B45:BD46"/>
    <mergeCell ref="B47:AK48"/>
    <mergeCell ref="B49:F49"/>
    <mergeCell ref="G49:BF49"/>
    <mergeCell ref="B50:F51"/>
    <mergeCell ref="G50:BF51"/>
    <mergeCell ref="M54:AF55"/>
    <mergeCell ref="AG54:AL55"/>
    <mergeCell ref="AM54:BF55"/>
    <mergeCell ref="AD52:AN53"/>
    <mergeCell ref="AO52:AT53"/>
    <mergeCell ref="CP53:CZ54"/>
    <mergeCell ref="DA53:DK54"/>
    <mergeCell ref="BI55:BM56"/>
    <mergeCell ref="BN51:BS52"/>
    <mergeCell ref="BI53:BM54"/>
    <mergeCell ref="BN55:CJ56"/>
    <mergeCell ref="BN53:CJ54"/>
    <mergeCell ref="CK53:CO54"/>
    <mergeCell ref="BN49:BS50"/>
    <mergeCell ref="AG59:BF60"/>
    <mergeCell ref="B56:F58"/>
    <mergeCell ref="G56:AA58"/>
    <mergeCell ref="AB56:AF56"/>
    <mergeCell ref="AG56:AS56"/>
    <mergeCell ref="AT56:BF56"/>
    <mergeCell ref="AB57:AF58"/>
    <mergeCell ref="AG57:AS58"/>
    <mergeCell ref="AT57:BF58"/>
    <mergeCell ref="B59:F60"/>
    <mergeCell ref="G59:AA60"/>
    <mergeCell ref="AB59:AF60"/>
    <mergeCell ref="AU52:BF53"/>
    <mergeCell ref="CF66:DB67"/>
    <mergeCell ref="BI68:CE69"/>
    <mergeCell ref="CF68:DB69"/>
    <mergeCell ref="BI70:CE71"/>
    <mergeCell ref="CF70:DB71"/>
    <mergeCell ref="BI62:DB63"/>
    <mergeCell ref="CJ121:CN121"/>
    <mergeCell ref="CJ122:CN123"/>
    <mergeCell ref="BG121:BI123"/>
    <mergeCell ref="BJ121:BN123"/>
    <mergeCell ref="BO121:BQ123"/>
    <mergeCell ref="BR121:BS123"/>
    <mergeCell ref="CU105:DB107"/>
    <mergeCell ref="CP91:DL91"/>
    <mergeCell ref="BT121:BU123"/>
    <mergeCell ref="AV87:BS89"/>
    <mergeCell ref="BM108:BR110"/>
    <mergeCell ref="BS108:CI110"/>
    <mergeCell ref="BQ102:CF104"/>
    <mergeCell ref="AZ61:BF63"/>
    <mergeCell ref="DC58:DK61"/>
    <mergeCell ref="BI60:CE61"/>
    <mergeCell ref="CF60:DB61"/>
    <mergeCell ref="G61:AY63"/>
    <mergeCell ref="CH144:CO146"/>
    <mergeCell ref="CP144:DL146"/>
    <mergeCell ref="BB144:BD146"/>
    <mergeCell ref="BE144:BG146"/>
    <mergeCell ref="BH144:BL146"/>
    <mergeCell ref="BM144:BO146"/>
    <mergeCell ref="B128:DL128"/>
    <mergeCell ref="BJ102:BP104"/>
    <mergeCell ref="CN102:CO104"/>
    <mergeCell ref="CG102:CM104"/>
    <mergeCell ref="CP102:CS104"/>
    <mergeCell ref="CO121:DL123"/>
    <mergeCell ref="AK108:AR110"/>
    <mergeCell ref="DK105:DL107"/>
    <mergeCell ref="CK105:CT107"/>
    <mergeCell ref="CC105:CJ107"/>
    <mergeCell ref="CH121:CI123"/>
    <mergeCell ref="BM105:BR107"/>
    <mergeCell ref="X121:Z123"/>
    <mergeCell ref="AA121:AU123"/>
    <mergeCell ref="F102:G104"/>
    <mergeCell ref="H102:L104"/>
    <mergeCell ref="B121:D123"/>
    <mergeCell ref="DC62:DK71"/>
    <mergeCell ref="BI64:CE65"/>
    <mergeCell ref="CF64:DB65"/>
    <mergeCell ref="BI66:CE67"/>
    <mergeCell ref="B142:AI143"/>
    <mergeCell ref="AJ142:DL143"/>
    <mergeCell ref="B144:D146"/>
    <mergeCell ref="E144:T146"/>
    <mergeCell ref="U144:W146"/>
    <mergeCell ref="BZ144:CE146"/>
    <mergeCell ref="CC80:CE82"/>
    <mergeCell ref="CF80:CG82"/>
    <mergeCell ref="DB87:DL89"/>
    <mergeCell ref="DE105:DJ107"/>
    <mergeCell ref="DC105:DD107"/>
    <mergeCell ref="AV121:AY123"/>
    <mergeCell ref="AZ121:BC123"/>
    <mergeCell ref="AJ87:AU89"/>
    <mergeCell ref="B87:I89"/>
    <mergeCell ref="J87:K89"/>
    <mergeCell ref="O102:R104"/>
    <mergeCell ref="S102:T104"/>
    <mergeCell ref="U102:X104"/>
    <mergeCell ref="B98:D100"/>
    <mergeCell ref="AR151:AU153"/>
    <mergeCell ref="AV151:AX153"/>
    <mergeCell ref="BD148:DL148"/>
    <mergeCell ref="B149:DL150"/>
    <mergeCell ref="BP144:BQ146"/>
    <mergeCell ref="BR144:BS146"/>
    <mergeCell ref="B130:AI131"/>
    <mergeCell ref="AJ130:DL131"/>
    <mergeCell ref="B132:AE134"/>
    <mergeCell ref="BT144:BU146"/>
    <mergeCell ref="BV144:BY146"/>
    <mergeCell ref="AJ132:DL135"/>
    <mergeCell ref="B147:DL147"/>
    <mergeCell ref="AJ136:DE140"/>
    <mergeCell ref="DF136:DL140"/>
    <mergeCell ref="AF132:AI134"/>
    <mergeCell ref="AV144:AY146"/>
    <mergeCell ref="AZ144:BA146"/>
    <mergeCell ref="AN144:AQ146"/>
    <mergeCell ref="AR144:AU146"/>
    <mergeCell ref="U151:W153"/>
    <mergeCell ref="CF144:CG146"/>
    <mergeCell ref="B135:AE140"/>
    <mergeCell ref="AF135:AI140"/>
    <mergeCell ref="BV121:BW123"/>
    <mergeCell ref="DG111:DL113"/>
    <mergeCell ref="B114:BT116"/>
    <mergeCell ref="B124:DL124"/>
    <mergeCell ref="B125:J127"/>
    <mergeCell ref="K125:Z127"/>
    <mergeCell ref="AA125:AG127"/>
    <mergeCell ref="AH125:AS127"/>
    <mergeCell ref="BU114:DF116"/>
    <mergeCell ref="DG114:DL116"/>
    <mergeCell ref="AT125:AX127"/>
    <mergeCell ref="AY125:BP127"/>
    <mergeCell ref="BQ125:BV127"/>
    <mergeCell ref="BW125:BX127"/>
    <mergeCell ref="BY125:CJ127"/>
    <mergeCell ref="CN125:CQ127"/>
    <mergeCell ref="CR125:CS127"/>
    <mergeCell ref="CT125:DF127"/>
    <mergeCell ref="DG125:DL127"/>
    <mergeCell ref="CK125:CM127"/>
    <mergeCell ref="E121:W123"/>
    <mergeCell ref="BD121:BF123"/>
    <mergeCell ref="B119:AH120"/>
    <mergeCell ref="AI119:DL120"/>
    <mergeCell ref="X155:AD157"/>
    <mergeCell ref="AY151:BA153"/>
    <mergeCell ref="BB151:BF153"/>
    <mergeCell ref="BG151:BI153"/>
    <mergeCell ref="BJ151:BK153"/>
    <mergeCell ref="BL151:BM153"/>
    <mergeCell ref="BN151:BO153"/>
    <mergeCell ref="CJ155:DL157"/>
    <mergeCell ref="AE155:AV157"/>
    <mergeCell ref="BP155:CI157"/>
    <mergeCell ref="B154:DL154"/>
    <mergeCell ref="B155:H157"/>
    <mergeCell ref="I155:W157"/>
    <mergeCell ref="BF155:BG157"/>
    <mergeCell ref="AW155:BE157"/>
    <mergeCell ref="BH155:BO157"/>
    <mergeCell ref="B151:D153"/>
    <mergeCell ref="E151:T153"/>
    <mergeCell ref="BP151:BS153"/>
    <mergeCell ref="BT151:BW153"/>
    <mergeCell ref="BX151:CL153"/>
    <mergeCell ref="CM151:DL153"/>
    <mergeCell ref="X151:AM153"/>
    <mergeCell ref="AN151:AQ153"/>
    <mergeCell ref="B28:BF29"/>
    <mergeCell ref="BU98:BW100"/>
    <mergeCell ref="B92:I92"/>
    <mergeCell ref="CP98:CS100"/>
    <mergeCell ref="K93:AK93"/>
    <mergeCell ref="W98:Y100"/>
    <mergeCell ref="B96:Y97"/>
    <mergeCell ref="B93:J94"/>
    <mergeCell ref="Y91:AW92"/>
    <mergeCell ref="AX91:BK92"/>
    <mergeCell ref="BL91:BO92"/>
    <mergeCell ref="BP91:CO92"/>
    <mergeCell ref="J92:X92"/>
    <mergeCell ref="B91:X91"/>
    <mergeCell ref="BR84:BS86"/>
    <mergeCell ref="L87:V89"/>
    <mergeCell ref="W87:AI89"/>
    <mergeCell ref="BT87:CC89"/>
    <mergeCell ref="CD87:DA89"/>
    <mergeCell ref="BI58:DB59"/>
    <mergeCell ref="CK55:CO56"/>
    <mergeCell ref="CP55:DK56"/>
    <mergeCell ref="BT84:CA86"/>
    <mergeCell ref="B61:F63"/>
    <mergeCell ref="DG84:DH86"/>
    <mergeCell ref="CT102:CU104"/>
    <mergeCell ref="Y102:Z104"/>
    <mergeCell ref="CP92:DL92"/>
    <mergeCell ref="Z98:AH100"/>
    <mergeCell ref="AI98:AK100"/>
    <mergeCell ref="AL98:BC100"/>
    <mergeCell ref="CT98:DL100"/>
    <mergeCell ref="Z96:DL97"/>
    <mergeCell ref="CF98:CG100"/>
    <mergeCell ref="CH98:CI100"/>
    <mergeCell ref="CJ98:CK100"/>
    <mergeCell ref="CL98:CO100"/>
    <mergeCell ref="BD98:BG100"/>
    <mergeCell ref="BH98:BK100"/>
    <mergeCell ref="BL98:BO100"/>
    <mergeCell ref="BP98:BQ100"/>
    <mergeCell ref="BR98:BT100"/>
    <mergeCell ref="AA102:AB104"/>
    <mergeCell ref="AC102:AJ104"/>
    <mergeCell ref="AK102:AY104"/>
    <mergeCell ref="AZ102:BE104"/>
  </mergeCells>
  <phoneticPr fontId="68"/>
  <conditionalFormatting sqref="B84 H84 AJ84 AQ84 AV84 BB84">
    <cfRule type="expression" dxfId="523" priority="200">
      <formula>$E$80="i‐FILTER_Ver.8.x以下"</formula>
    </cfRule>
  </conditionalFormatting>
  <conditionalFormatting sqref="B111 AN111 DG111">
    <cfRule type="expression" dxfId="522" priority="99">
      <formula>OR($CN$102="無",$CN$102="")</formula>
    </cfRule>
  </conditionalFormatting>
  <conditionalFormatting sqref="B111">
    <cfRule type="expression" dxfId="521" priority="96">
      <formula>$E$98=""</formula>
    </cfRule>
  </conditionalFormatting>
  <conditionalFormatting sqref="B114 BU114 DG114">
    <cfRule type="expression" dxfId="520" priority="317">
      <formula>OR(COUNTIF($E$98,"*Ver.4*"),COUNTIF($E$98,"*Ver.3*"),AND($E$98="m‐FILTER_Ver.5",$Y$102&lt;&gt;"無"))</formula>
    </cfRule>
  </conditionalFormatting>
  <conditionalFormatting sqref="B125 K125">
    <cfRule type="expression" dxfId="519" priority="334" stopIfTrue="1">
      <formula>$AA$121&lt;&gt;"新規"</formula>
    </cfRule>
    <cfRule type="expression" dxfId="518" priority="329">
      <formula>AND($AA$121="新規",$CH$121="有")</formula>
    </cfRule>
  </conditionalFormatting>
  <conditionalFormatting sqref="B130">
    <cfRule type="expression" dxfId="517" priority="423" stopIfTrue="1">
      <formula>$AF$135="いいえ"</formula>
    </cfRule>
    <cfRule type="expression" dxfId="516" priority="422" stopIfTrue="1">
      <formula>$AF$132="いいえ"</formula>
    </cfRule>
  </conditionalFormatting>
  <conditionalFormatting sqref="B105:H105 AP105 U105:AO107 B106:G107 B108">
    <cfRule type="expression" dxfId="515" priority="169">
      <formula>$E$98="m‐FILTER_Ver.4__Ver.4.81以下"</formula>
    </cfRule>
    <cfRule type="expression" dxfId="514" priority="157">
      <formula>$E$98="m‐FILTER_Ver.4__Ver.4.82以上"</formula>
    </cfRule>
  </conditionalFormatting>
  <conditionalFormatting sqref="B105:H105 AP105 BM105 BS105 CC105 CK105 U105:AO107 B106:G107 B108">
    <cfRule type="expression" dxfId="513" priority="74">
      <formula>$E$98="m‐FILTER_Ver.3.x以下"</formula>
    </cfRule>
  </conditionalFormatting>
  <conditionalFormatting sqref="B108:I110">
    <cfRule type="expression" dxfId="512" priority="86">
      <formula>NOT($E$98="m‐FILTER_Ver.5")</formula>
    </cfRule>
    <cfRule type="expression" dxfId="511" priority="80">
      <formula>NOT(AND($E$98="m‐FILTER_Ver.5",OR($AL$98="新規",$AL$98="バージョンアップ",$AL$98="追加",$AL$98="追加(バージョンアップ同時)",$AL$98="追加(更新同時)",$AL$98="追加(更新・バージョンアップ同時)")))</formula>
    </cfRule>
    <cfRule type="expression" dxfId="510" priority="87">
      <formula>OR($F$102="無",$F$102="")</formula>
    </cfRule>
  </conditionalFormatting>
  <conditionalFormatting sqref="B125:K125 AA125:AH125 AY125 BW125:BY125 CK125 CR125:CT125 DG125 BQ125:BV127 CN125:CQ127 B126:J127 AA126:AG127 BW126:BX127 CR126:CS127">
    <cfRule type="expression" dxfId="509" priority="297">
      <formula>$AA$121="更新(減数)"</formula>
    </cfRule>
  </conditionalFormatting>
  <conditionalFormatting sqref="B102:T104">
    <cfRule type="expression" dxfId="508" priority="320">
      <formula>$E$98=""</formula>
    </cfRule>
  </conditionalFormatting>
  <conditionalFormatting sqref="B105:AF107">
    <cfRule type="expression" dxfId="507" priority="174">
      <formula>COUNTIF($AK$102,"*有*")&gt;0</formula>
    </cfRule>
  </conditionalFormatting>
  <conditionalFormatting sqref="B130:AI140">
    <cfRule type="expression" dxfId="506" priority="341">
      <formula>$AA$121&lt;&gt;"新規"</formula>
    </cfRule>
  </conditionalFormatting>
  <conditionalFormatting sqref="B93:AK94">
    <cfRule type="expression" dxfId="505" priority="235">
      <formula>AND($G$80&lt;&gt;"i‐FILTER_Ver.10",$G$80&lt;&gt;"",$G$98&lt;&gt;"m‐FILTER_Ver.5")</formula>
    </cfRule>
    <cfRule type="expression" dxfId="504" priority="236">
      <formula>AND($G$80&lt;&gt;"i‐FILTER_Ver.10",$G$98&lt;&gt;"",$G$98&lt;&gt;"m‐FILTER_Ver.5")</formula>
    </cfRule>
  </conditionalFormatting>
  <conditionalFormatting sqref="B105:BL107">
    <cfRule type="expression" dxfId="503" priority="79">
      <formula>NOT(AND($E$98="m‐FILTER_Ver.5",OR($AL$98="新規",$AL$98="バージョンアップ",$AL$98="追加",$AL$98="追加(バージョンアップ同時)",$AL$98="追加(更新同時)",$AL$98="追加(更新・バージョンアップ同時)",COUNTIF($AL$98,"*更新*"))))</formula>
    </cfRule>
  </conditionalFormatting>
  <conditionalFormatting sqref="B111:DF113">
    <cfRule type="expression" dxfId="502" priority="98">
      <formula>OR($AL$98="更新",$AL$98="保守更新")</formula>
    </cfRule>
    <cfRule type="expression" dxfId="501" priority="97">
      <formula>OR($AL$98="保守更新(減数)",$AL$98="更新(減数)")</formula>
    </cfRule>
  </conditionalFormatting>
  <conditionalFormatting sqref="E80 E144">
    <cfRule type="notContainsBlanks" dxfId="500" priority="383">
      <formula>LEN(TRIM(E80))&gt;0</formula>
    </cfRule>
  </conditionalFormatting>
  <conditionalFormatting sqref="E98">
    <cfRule type="expression" dxfId="499" priority="118">
      <formula>COUNTIF($BI$48:$CE$63,"*m‐FILTER*")</formula>
    </cfRule>
    <cfRule type="notContainsBlanks" dxfId="498" priority="117">
      <formula>LEN(TRIM(E98))&gt;0</formula>
    </cfRule>
    <cfRule type="expression" dxfId="497" priority="116">
      <formula>AND($E$85="",OR($F$92="有",$M$92="有",$S$92="有"))</formula>
    </cfRule>
  </conditionalFormatting>
  <conditionalFormatting sqref="E121">
    <cfRule type="notContainsBlanks" dxfId="496" priority="429" stopIfTrue="1">
      <formula>LEN(TRIM(E121))&gt;0</formula>
    </cfRule>
    <cfRule type="expression" dxfId="495" priority="430">
      <formula>COUNTIF($BI$48:$CE$63,"*FinalCode*")</formula>
    </cfRule>
  </conditionalFormatting>
  <conditionalFormatting sqref="E151">
    <cfRule type="expression" dxfId="494" priority="432">
      <formula>COUNTIF($BI$64:$CE$71,"*MailAdviser*")</formula>
    </cfRule>
    <cfRule type="notContainsBlanks" dxfId="493" priority="431" stopIfTrue="1">
      <formula>LEN(TRIM(E151))&gt;0</formula>
    </cfRule>
  </conditionalFormatting>
  <conditionalFormatting sqref="E80:Q82">
    <cfRule type="expression" dxfId="492" priority="433">
      <formula>COUNTIF($BI$64:$CE$71,"*i‐FILTER*")&gt;0</formula>
    </cfRule>
  </conditionalFormatting>
  <conditionalFormatting sqref="E144:T146">
    <cfRule type="expression" dxfId="491" priority="434">
      <formula>COUNTIF($BI$48:$CE$63,"*ブラウザー*")&gt;0</formula>
    </cfRule>
  </conditionalFormatting>
  <conditionalFormatting sqref="G25">
    <cfRule type="notContainsBlanks" dxfId="490" priority="308" stopIfTrue="1">
      <formula>LEN(TRIM(G25))&gt;0</formula>
    </cfRule>
  </conditionalFormatting>
  <conditionalFormatting sqref="G30:G31">
    <cfRule type="notContainsBlanks" dxfId="489" priority="243" stopIfTrue="1">
      <formula>LEN(TRIM(G30))&gt;0</formula>
    </cfRule>
  </conditionalFormatting>
  <conditionalFormatting sqref="H84 AQ84 BB84 W84 BH84">
    <cfRule type="expression" dxfId="488" priority="482">
      <formula>$E$80="i‐FILTER_Ver.10"</formula>
    </cfRule>
  </conditionalFormatting>
  <conditionalFormatting sqref="H105 AE105 AP105 BQ102 AK102 BF102 BS105 BH98 BP98 F102 M102 S102 Y102 CN102 CK105 Z98 AL98 BU98">
    <cfRule type="notContainsBlanks" dxfId="487" priority="170">
      <formula>LEN(TRIM(F98))&gt;0</formula>
    </cfRule>
  </conditionalFormatting>
  <conditionalFormatting sqref="H105 DK105">
    <cfRule type="expression" dxfId="486" priority="391">
      <formula>$F$102="有"</formula>
    </cfRule>
  </conditionalFormatting>
  <conditionalFormatting sqref="H84:I86">
    <cfRule type="notContainsBlanks" dxfId="485" priority="480">
      <formula>LEN(TRIM(H84))&gt;0</formula>
    </cfRule>
  </conditionalFormatting>
  <conditionalFormatting sqref="H108:I110">
    <cfRule type="expression" dxfId="484" priority="19356">
      <formula>AND($E$98="m‐FILTER_Ver.5",OR($AL$98="新規",$AL$98="バージョンアップ",$AL$98="追加",$AL$98="追加(バージョンアップ同時)",$AL$98="追加(更新同時)",$AL$98="追加(更新・バージョンアップ同時)"))</formula>
    </cfRule>
    <cfRule type="notContainsBlanks" dxfId="483" priority="85" stopIfTrue="1">
      <formula>LEN(TRIM(H108))&gt;0</formula>
    </cfRule>
  </conditionalFormatting>
  <conditionalFormatting sqref="I155 AE155 BF155 BP155">
    <cfRule type="notContainsBlanks" dxfId="482" priority="419" stopIfTrue="1">
      <formula>LEN(TRIM(I155))&gt;0</formula>
    </cfRule>
  </conditionalFormatting>
  <conditionalFormatting sqref="I155">
    <cfRule type="expression" dxfId="481" priority="19349">
      <formula>AND(COUNTIF($CP$155,"*有*")&gt;0,COUNTIF($I$155,"*有*")&gt;0)</formula>
    </cfRule>
    <cfRule type="expression" dxfId="480" priority="19350">
      <formula>$E$151="Outlook/Becky!/Thunderbird版"</formula>
    </cfRule>
  </conditionalFormatting>
  <conditionalFormatting sqref="J20 P20 X20">
    <cfRule type="notContainsBlanks" dxfId="479" priority="296" stopIfTrue="1">
      <formula>LEN(TRIM(J20))&gt;0</formula>
    </cfRule>
  </conditionalFormatting>
  <conditionalFormatting sqref="J87:K89">
    <cfRule type="containsBlanks" dxfId="478" priority="201">
      <formula>LEN(TRIM(J87))=0</formula>
    </cfRule>
    <cfRule type="notContainsBlanks" dxfId="477" priority="371" stopIfTrue="1">
      <formula>LEN(TRIM(J87))&gt;0</formula>
    </cfRule>
  </conditionalFormatting>
  <conditionalFormatting sqref="J84:N84 J85:M86">
    <cfRule type="expression" dxfId="476" priority="198">
      <formula>$H$84="無"</formula>
    </cfRule>
  </conditionalFormatting>
  <conditionalFormatting sqref="J108:AJ110 CU108:DD110">
    <cfRule type="expression" dxfId="475" priority="33">
      <formula>NOT($F$102="有")</formula>
    </cfRule>
  </conditionalFormatting>
  <conditionalFormatting sqref="J108:BL110 CU108:DD110">
    <cfRule type="expression" dxfId="474" priority="18">
      <formula>OR($AL$98="更新",$AL$98="更新(減数)",$AL$98="更新(バージョンアップ同時)")</formula>
    </cfRule>
  </conditionalFormatting>
  <conditionalFormatting sqref="K93">
    <cfRule type="expression" dxfId="473" priority="239">
      <formula>OR($G$104="i‐FILTER_Ver.10",$G$127="m‐FILTER_Ver.5")</formula>
    </cfRule>
    <cfRule type="notContainsBlanks" dxfId="472" priority="238">
      <formula>LEN(TRIM(K93))&gt;0</formula>
    </cfRule>
  </conditionalFormatting>
  <conditionalFormatting sqref="K125">
    <cfRule type="expression" dxfId="471" priority="348">
      <formula>AND($AA$121="新規",$CH$121="無")</formula>
    </cfRule>
    <cfRule type="notContainsBlanks" dxfId="470" priority="335" stopIfTrue="1">
      <formula>LEN(TRIM(K125))&gt;0</formula>
    </cfRule>
  </conditionalFormatting>
  <conditionalFormatting sqref="K94:AK94">
    <cfRule type="expression" dxfId="469" priority="237">
      <formula>$K$93&lt;&gt;"その他"</formula>
    </cfRule>
  </conditionalFormatting>
  <conditionalFormatting sqref="L87">
    <cfRule type="expression" dxfId="468" priority="53">
      <formula>AND(COUNTIF($AL$72,"*更新*")&gt;0,COUNTIF($AL$72,"*減数*")=0,COUNTIF($AL$72,"*追加*")=0,COUNTIF($AL$72,"*移行*")=0)</formula>
    </cfRule>
    <cfRule type="expression" dxfId="467" priority="54">
      <formula>$AL$72="更新(減数)"</formula>
    </cfRule>
  </conditionalFormatting>
  <conditionalFormatting sqref="L87:AI89">
    <cfRule type="expression" dxfId="466" priority="49">
      <formula>OR($E$80="i‐FILTER_Ver.9",$E80="i‐FILTER_Ver.8.x以下")</formula>
    </cfRule>
    <cfRule type="expression" dxfId="465" priority="50">
      <formula>OR($AL$80="更新",$AL$80="更新(減数)",$AL$80="更新(バージョンアップ同時)")</formula>
    </cfRule>
  </conditionalFormatting>
  <conditionalFormatting sqref="L87:DA89">
    <cfRule type="expression" dxfId="464" priority="11">
      <formula>$E$80=""</formula>
    </cfRule>
  </conditionalFormatting>
  <conditionalFormatting sqref="M33 AD33 AU33 M35 AM35 G37 AG37:BF39 G40 AG40">
    <cfRule type="notContainsBlanks" dxfId="463" priority="314" stopIfTrue="1">
      <formula>LEN(TRIM(G33))&gt;0</formula>
    </cfRule>
  </conditionalFormatting>
  <conditionalFormatting sqref="N84">
    <cfRule type="expression" dxfId="462" priority="455">
      <formula>$H$84="有"</formula>
    </cfRule>
  </conditionalFormatting>
  <conditionalFormatting sqref="N84:Q86">
    <cfRule type="notContainsBlanks" dxfId="461" priority="412">
      <formula>LEN(TRIM(N84))&gt;0</formula>
    </cfRule>
    <cfRule type="expression" dxfId="460" priority="372">
      <formula>AND($BH$80&lt;&gt;"",$N$84&gt;$BH$80)</formula>
    </cfRule>
  </conditionalFormatting>
  <conditionalFormatting sqref="P94">
    <cfRule type="notContainsBlanks" dxfId="459" priority="240">
      <formula>LEN(TRIM(P94))&gt;0</formula>
    </cfRule>
    <cfRule type="expression" dxfId="458" priority="241">
      <formula>$K$93="その他"</formula>
    </cfRule>
  </conditionalFormatting>
  <conditionalFormatting sqref="R80:DL82 CU84 DB84 B84:CC86 CN84:CT86 DF86 DL86 B87 J87">
    <cfRule type="expression" dxfId="457" priority="77">
      <formula>$E$80=""</formula>
    </cfRule>
  </conditionalFormatting>
  <conditionalFormatting sqref="U80 AL80 BH80 BP80 BU80 CF80 CJ80 CT80 AX91 BP91">
    <cfRule type="notContainsBlanks" dxfId="456" priority="1" stopIfTrue="1">
      <formula>LEN(TRIM(U80))&gt;0</formula>
    </cfRule>
  </conditionalFormatting>
  <conditionalFormatting sqref="U102:Z104">
    <cfRule type="expression" dxfId="455" priority="186">
      <formula>AND(OR($E$98="m‐FILTER_Ver.4__Ver.4.82以上",$E$98="m‐FILTER_Ver.4__Ver.4.81以下",$E$98="m‐FILTER_Ver.3.x以下"),AND($F$102="無",$M$102="無"))</formula>
    </cfRule>
  </conditionalFormatting>
  <conditionalFormatting sqref="U105:BL107">
    <cfRule type="expression" dxfId="454" priority="180">
      <formula>$H$105="無"</formula>
    </cfRule>
  </conditionalFormatting>
  <conditionalFormatting sqref="U151:BX151 U152:BW153 CM151">
    <cfRule type="expression" dxfId="453" priority="309">
      <formula>$E$151=""</formula>
    </cfRule>
  </conditionalFormatting>
  <conditionalFormatting sqref="U144:DL146">
    <cfRule type="expression" dxfId="452" priority="312">
      <formula>$E$144=""</formula>
    </cfRule>
  </conditionalFormatting>
  <conditionalFormatting sqref="W87">
    <cfRule type="expression" dxfId="451" priority="52">
      <formula>NOT(OR($AL$80="更新",$AL$80="更新(減数)",$AL$80="更新(バージョンアップ同時)",$AL$80=""))</formula>
    </cfRule>
  </conditionalFormatting>
  <conditionalFormatting sqref="W108 DC108">
    <cfRule type="expression" dxfId="450" priority="36">
      <formula>NOT(AND($E$98="m‐FILTER_Ver.5",OR($AL98="新規",$AL$98="バージョンアップ",$AL$98="追加",$AL$98="追加(バージョンアップ同時)",$AL$98="追加",$AL$98="追加(更新同時)",$AL$98="追加(更新・バージョンアップ同時)",$AL$98="")))</formula>
    </cfRule>
    <cfRule type="expression" dxfId="449" priority="38">
      <formula>NOT(OR($AL$98="更新",$AL$98="更新(減数)",$AL$98="更新(バージョンアップ同時)"))</formula>
    </cfRule>
    <cfRule type="expression" dxfId="448" priority="35">
      <formula>OR($F$102="無",$F$102="")</formula>
    </cfRule>
  </conditionalFormatting>
  <conditionalFormatting sqref="W84:X86">
    <cfRule type="notContainsBlanks" dxfId="447" priority="280">
      <formula>LEN(TRIM(W84))&gt;0</formula>
    </cfRule>
  </conditionalFormatting>
  <conditionalFormatting sqref="W87:AI89">
    <cfRule type="notContainsBlanks" dxfId="446" priority="51" stopIfTrue="1">
      <formula>LEN(TRIM(W87))&gt;0</formula>
    </cfRule>
  </conditionalFormatting>
  <conditionalFormatting sqref="W98:BW100">
    <cfRule type="expression" dxfId="445" priority="55">
      <formula>$E$98=""</formula>
    </cfRule>
  </conditionalFormatting>
  <conditionalFormatting sqref="X144">
    <cfRule type="expression" dxfId="444" priority="408">
      <formula>$E$144="i-FILTER ブラウザー&amp;クラウド"</formula>
    </cfRule>
  </conditionalFormatting>
  <conditionalFormatting sqref="X151">
    <cfRule type="expression" dxfId="443" priority="414">
      <formula>$E$151&lt;&gt;""</formula>
    </cfRule>
  </conditionalFormatting>
  <conditionalFormatting sqref="X155:AE155 X156:AD157">
    <cfRule type="expression" dxfId="442" priority="20316">
      <formula>AND($CP$155&lt;&gt;"有/FinalCode保有",$I$155&lt;&gt;"有/暗号化強固OP保有あり")</formula>
    </cfRule>
  </conditionalFormatting>
  <conditionalFormatting sqref="X155:AE155 AW155:BG157 B155 I155 BH155 BP155 X156:AD157">
    <cfRule type="expression" dxfId="441" priority="93">
      <formula>$E$151&lt;&gt;"Outlook/Becky!/Thunderbird版"</formula>
    </cfRule>
  </conditionalFormatting>
  <conditionalFormatting sqref="X121:DL123 B125:AT125 AY125 BQ125:DL127 B126:AS127 B128:DL128 B130:DL140">
    <cfRule type="expression" dxfId="440" priority="299">
      <formula>$E$121=""</formula>
    </cfRule>
  </conditionalFormatting>
  <conditionalFormatting sqref="Y102">
    <cfRule type="expression" dxfId="439" priority="468">
      <formula>AND(OR($E$98="m‐FILTER_Ver.4__Ver.4.82以上",$E$98="m‐FILTER_Ver.4__Ver.4.81以下",$E$98="m‐FILTER_Ver.3.x以下"),OR($F$102="有",$M$102="有"))</formula>
    </cfRule>
    <cfRule type="expression" dxfId="438" priority="463">
      <formula>AND($E$98="m‐FILTER_Ver.5",COUNTIF($AL$98,"*追加*"),OR($F$102="有",$M$102="有"))</formula>
    </cfRule>
  </conditionalFormatting>
  <conditionalFormatting sqref="Y102:Z104">
    <cfRule type="expression" dxfId="437" priority="469">
      <formula>AND($E$98="m‐FILTER_Ver.5",$AL$98="新規")</formula>
    </cfRule>
  </conditionalFormatting>
  <conditionalFormatting sqref="Y84:AB84 Y85:AA86">
    <cfRule type="expression" dxfId="436" priority="277">
      <formula>$W$84="無"</formula>
    </cfRule>
  </conditionalFormatting>
  <conditionalFormatting sqref="Y91:DL92">
    <cfRule type="expression" dxfId="435" priority="76">
      <formula>AND($E$80&lt;&gt;"i‐FILTER_Ver.10",$E$98&lt;&gt;"m‐FILTER_Ver.5")</formula>
    </cfRule>
  </conditionalFormatting>
  <conditionalFormatting sqref="AA102">
    <cfRule type="expression" dxfId="434" priority="467">
      <formula>AND($E$98="m‐FILTER_Ver.5",$AL$98="新規",OR($F$102="有",$M$102="有"))</formula>
    </cfRule>
  </conditionalFormatting>
  <conditionalFormatting sqref="AA121">
    <cfRule type="notContainsBlanks" dxfId="433" priority="354">
      <formula>LEN(TRIM(AA121))&gt;0</formula>
    </cfRule>
  </conditionalFormatting>
  <conditionalFormatting sqref="AB84">
    <cfRule type="expression" dxfId="432" priority="413">
      <formula>$W$84="有"</formula>
    </cfRule>
  </conditionalFormatting>
  <conditionalFormatting sqref="AB84:AI86">
    <cfRule type="notContainsBlanks" dxfId="431" priority="394">
      <formula>LEN(TRIM(AB84))&gt;0</formula>
    </cfRule>
  </conditionalFormatting>
  <conditionalFormatting sqref="AC102">
    <cfRule type="expression" dxfId="430" priority="327">
      <formula>$E$98="m‐FILTER_Ver.3.x以下"</formula>
    </cfRule>
  </conditionalFormatting>
  <conditionalFormatting sqref="AC102:BI104">
    <cfRule type="expression" dxfId="429" priority="192">
      <formula>LEFT($H$105,1)="有"</formula>
    </cfRule>
  </conditionalFormatting>
  <conditionalFormatting sqref="AC102:BQ102 CG102 AC103:BP104">
    <cfRule type="expression" dxfId="428" priority="160">
      <formula>OR($AL$98="保守更新(減数)",$AK$102,$AL$98="保守更新")</formula>
    </cfRule>
  </conditionalFormatting>
  <conditionalFormatting sqref="AE105 AP105">
    <cfRule type="expression" dxfId="427" priority="389">
      <formula>$H$105="有/暗号化強固OP保有なし"</formula>
    </cfRule>
  </conditionalFormatting>
  <conditionalFormatting sqref="AE105 BQ102:CF104">
    <cfRule type="expression" dxfId="426" priority="441">
      <formula>$H$105="有/暗号化強固OP保有あり"</formula>
    </cfRule>
  </conditionalFormatting>
  <conditionalFormatting sqref="AE155 BF155">
    <cfRule type="expression" dxfId="425" priority="32">
      <formula>OR($CP$155="有/FinalCode保有",$I$155="有/暗号化強固OP保有あり")</formula>
    </cfRule>
  </conditionalFormatting>
  <conditionalFormatting sqref="AF132 AF135">
    <cfRule type="cellIs" dxfId="424" priority="353" stopIfTrue="1" operator="equal">
      <formula>"いいえ"</formula>
    </cfRule>
    <cfRule type="cellIs" dxfId="423" priority="356" stopIfTrue="1" operator="equal">
      <formula>0</formula>
    </cfRule>
  </conditionalFormatting>
  <conditionalFormatting sqref="AG105:BL107">
    <cfRule type="expression" dxfId="422" priority="171">
      <formula>$H$105="有/暗号化強固OP保有あり"</formula>
    </cfRule>
  </conditionalFormatting>
  <conditionalFormatting sqref="AH125">
    <cfRule type="expression" dxfId="421" priority="332">
      <formula>$AH$125&lt;&gt;""</formula>
    </cfRule>
    <cfRule type="expression" dxfId="420" priority="364">
      <formula>$AA$121="新規"</formula>
    </cfRule>
  </conditionalFormatting>
  <conditionalFormatting sqref="AJ25">
    <cfRule type="notContainsBlanks" dxfId="419" priority="315" stopIfTrue="1">
      <formula>LEN(TRIM(AJ25))&gt;0</formula>
    </cfRule>
  </conditionalFormatting>
  <conditionalFormatting sqref="AJ130 AJ132 AJ136 DF136">
    <cfRule type="expression" dxfId="418" priority="330">
      <formula>COUNTIF($AA$121,"&lt;&gt;*エディション移行*")</formula>
    </cfRule>
  </conditionalFormatting>
  <conditionalFormatting sqref="AJ87:BS89">
    <cfRule type="expression" dxfId="417" priority="22">
      <formula>OR($E$80="i‐FILTER_Ver.9",$E80="i‐FILTER_Ver.8.x以下")</formula>
    </cfRule>
    <cfRule type="expression" dxfId="416" priority="23">
      <formula>OR($W$87="有（f-FILTERシリアルなし）",$W$87="無",$W$87="")</formula>
    </cfRule>
  </conditionalFormatting>
  <conditionalFormatting sqref="AJ87:DA89">
    <cfRule type="expression" dxfId="415" priority="12">
      <formula>OR($E$80="i‐FILTER_Ver.9"+$E$80="i‐FILTER_Ver.8.x以下")</formula>
    </cfRule>
  </conditionalFormatting>
  <conditionalFormatting sqref="AK102 H105">
    <cfRule type="expression" dxfId="414" priority="375">
      <formula>AND(COUNTIF($AK$102,"*有*")&gt;0,COUNTIF($H$105,"*有*"))</formula>
    </cfRule>
  </conditionalFormatting>
  <conditionalFormatting sqref="AK102:AY104">
    <cfRule type="expression" dxfId="413" priority="426">
      <formula>AND($F$102="有",$E$98&lt;&gt;"m‐FILTER_Ver.3.x以下")</formula>
    </cfRule>
  </conditionalFormatting>
  <conditionalFormatting sqref="AK108:BL110">
    <cfRule type="expression" dxfId="412" priority="27">
      <formula>OR($W$108="有（f-FILTERシリアルなし）",$W$108="無",$W$108="")</formula>
    </cfRule>
  </conditionalFormatting>
  <conditionalFormatting sqref="AN151:AU153">
    <cfRule type="expression" dxfId="411" priority="158">
      <formula>OR($X$151="更新",$X$151="更新(同時バージョンアップ)")</formula>
    </cfRule>
  </conditionalFormatting>
  <conditionalFormatting sqref="AN144:BA146">
    <cfRule type="expression" dxfId="410" priority="322">
      <formula>$X$144="更新"</formula>
    </cfRule>
  </conditionalFormatting>
  <conditionalFormatting sqref="AN151:BA153">
    <cfRule type="expression" dxfId="409" priority="321">
      <formula>$X$151="バージョンアップ"</formula>
    </cfRule>
  </conditionalFormatting>
  <conditionalFormatting sqref="AQ84:AU86">
    <cfRule type="notContainsBlanks" dxfId="408" priority="395">
      <formula>LEN(TRIM(AQ84))&gt;0</formula>
    </cfRule>
  </conditionalFormatting>
  <conditionalFormatting sqref="AR144">
    <cfRule type="expression" dxfId="407" priority="386">
      <formula>$E$144="i-FILTER ブラウザー&amp;クラウド"</formula>
    </cfRule>
  </conditionalFormatting>
  <conditionalFormatting sqref="AS108:BL110">
    <cfRule type="expression" dxfId="406" priority="20321">
      <formula>NOT(OR($W$108="有（f-FILTERシリアルなし）",$W$108="無",$W$108=""))</formula>
    </cfRule>
    <cfRule type="notContainsBlanks" dxfId="405" priority="20318">
      <formula>LEN(TRIM(AS108))&gt;0</formula>
    </cfRule>
  </conditionalFormatting>
  <conditionalFormatting sqref="AT125 AY125">
    <cfRule type="expression" dxfId="404" priority="305">
      <formula>$AH$125&lt;&gt;"有/m-FILTER保有"</formula>
    </cfRule>
  </conditionalFormatting>
  <conditionalFormatting sqref="AV84 BB84 B84:Q86 B87 J87">
    <cfRule type="expression" dxfId="403" priority="197">
      <formula>OR($E$80="i‐FILTER_Ver.9",$E$80="i‐FILTER_Ver.8.x以下")</formula>
    </cfRule>
  </conditionalFormatting>
  <conditionalFormatting sqref="AV87">
    <cfRule type="expression" dxfId="402" priority="20320">
      <formula>OR($AL$80="更新",$AL$80="更新(減数)",$AL$80="更新(バージョンアップ同時)")</formula>
    </cfRule>
  </conditionalFormatting>
  <conditionalFormatting sqref="AV151">
    <cfRule type="expression" dxfId="401" priority="351">
      <formula>$E$151&lt;&gt;""</formula>
    </cfRule>
  </conditionalFormatting>
  <conditionalFormatting sqref="AV151:BA153">
    <cfRule type="expression" dxfId="400" priority="343">
      <formula>$X$151="追加"</formula>
    </cfRule>
  </conditionalFormatting>
  <conditionalFormatting sqref="AV121:BC123 B125:K125 AA125:AH125 AY125 BW125:BY125 CK125 CR125:CT125 DG125 BQ125:BV127 CN125:CQ127 B126:J127 AA126:AG127 BW126:BX127 CR126:CS127">
    <cfRule type="expression" dxfId="399" priority="298">
      <formula>$AA$121="更新"</formula>
    </cfRule>
  </conditionalFormatting>
  <conditionalFormatting sqref="AV87:BS89">
    <cfRule type="notContainsBlanks" dxfId="398" priority="25" stopIfTrue="1">
      <formula>LEN(TRIM(AV87))&gt;0</formula>
    </cfRule>
    <cfRule type="expression" dxfId="397" priority="20319">
      <formula>NOT(OR($W$87="有（f-FILTER保有・無）",$W$87="無",$W$87=""))</formula>
    </cfRule>
  </conditionalFormatting>
  <conditionalFormatting sqref="AW155:BG157">
    <cfRule type="expression" dxfId="396" priority="20305">
      <formula>$I$155="無"</formula>
    </cfRule>
  </conditionalFormatting>
  <conditionalFormatting sqref="AX91:BK92">
    <cfRule type="expression" dxfId="395" priority="458">
      <formula>OR($E$80="i‐FILTER_Ver.10",$E$98="m‐FILTER_Ver.5")</formula>
    </cfRule>
  </conditionalFormatting>
  <conditionalFormatting sqref="AY125">
    <cfRule type="notContainsBlanks" dxfId="394" priority="306">
      <formula>LEN(TRIM(AY125))&gt;0</formula>
    </cfRule>
    <cfRule type="expression" dxfId="393" priority="328">
      <formula>$AH$125="有/m-FILTER保有"</formula>
    </cfRule>
  </conditionalFormatting>
  <conditionalFormatting sqref="AY151 AR151">
    <cfRule type="expression" dxfId="392" priority="418">
      <formula>$E$151&lt;&gt;""</formula>
    </cfRule>
  </conditionalFormatting>
  <conditionalFormatting sqref="AY151 BG121 BR121 BV121 AR151 X151 AZ121">
    <cfRule type="notContainsBlanks" dxfId="391" priority="355" stopIfTrue="1">
      <formula>LEN(TRIM(X121))&gt;0</formula>
    </cfRule>
  </conditionalFormatting>
  <conditionalFormatting sqref="AZ102">
    <cfRule type="expression" dxfId="390" priority="380">
      <formula>$AK$102="無"</formula>
    </cfRule>
  </conditionalFormatting>
  <conditionalFormatting sqref="AZ121 AA121">
    <cfRule type="expression" dxfId="389" priority="401">
      <formula>$E$121&lt;&gt;""</formula>
    </cfRule>
  </conditionalFormatting>
  <conditionalFormatting sqref="AZ144">
    <cfRule type="expression" dxfId="388" priority="388">
      <formula>$E$144="i-FILTER ブラウザー&amp;クラウド"</formula>
    </cfRule>
  </conditionalFormatting>
  <conditionalFormatting sqref="AZ121:BC123">
    <cfRule type="expression" dxfId="387" priority="399">
      <formula>AND($AZ$121&lt;10,$AZ$121&lt;&gt;"")</formula>
    </cfRule>
  </conditionalFormatting>
  <conditionalFormatting sqref="AZ42:BF44">
    <cfRule type="expression" dxfId="386" priority="326">
      <formula>$AZ$42="いいえ"</formula>
    </cfRule>
    <cfRule type="expression" dxfId="385" priority="325">
      <formula>$AZ$42="はい"</formula>
    </cfRule>
  </conditionalFormatting>
  <conditionalFormatting sqref="AZ61:BF63">
    <cfRule type="expression" dxfId="384" priority="323">
      <formula>$AZ$61="いいえ"</formula>
    </cfRule>
    <cfRule type="expression" dxfId="383" priority="324">
      <formula>$AZ$61="はい"</formula>
    </cfRule>
  </conditionalFormatting>
  <conditionalFormatting sqref="BB84:BC86">
    <cfRule type="notContainsBlanks" dxfId="382" priority="281">
      <formula>LEN(TRIM(BB84))&gt;0</formula>
    </cfRule>
  </conditionalFormatting>
  <conditionalFormatting sqref="BB144:BG146">
    <cfRule type="expression" dxfId="381" priority="344">
      <formula>$X$144="追加"</formula>
    </cfRule>
  </conditionalFormatting>
  <conditionalFormatting sqref="BB151:BJ151 BL151 BN151 BP151 BB152:BI153">
    <cfRule type="expression" dxfId="380" priority="385">
      <formula>OR($X$151="更新",$X$151="更新(減数)",$X$151="更新(同時バージョンアップ)",$X$151="追加",$X$151="追加(更新同時)",$X$151="バージョンアップ")</formula>
    </cfRule>
  </conditionalFormatting>
  <conditionalFormatting sqref="BD4">
    <cfRule type="expression" dxfId="379" priority="436">
      <formula>OR($DE$32="",AND($DE$32="異なる",$DE$45=""))</formula>
    </cfRule>
  </conditionalFormatting>
  <conditionalFormatting sqref="BD121 BG121">
    <cfRule type="expression" dxfId="378" priority="342">
      <formula>OR($AA$121="追加",$AA$121="エディション移行",$AA$121="追加（エディション移行同時）")</formula>
    </cfRule>
  </conditionalFormatting>
  <conditionalFormatting sqref="BD80:BK82">
    <cfRule type="expression" dxfId="377" priority="407">
      <formula>$U$80="アカデミックサイトライセンス"</formula>
    </cfRule>
  </conditionalFormatting>
  <conditionalFormatting sqref="BD80:BQ82 CN84 DB84 B84:CC86 B87 J87 DI84">
    <cfRule type="expression" dxfId="376" priority="78">
      <formula>AND(COUNTIF($AL$80,"*更新*")&gt;0,COUNTIF($AL$80,"*減数*")=0,COUNTIF($AL$80,"*追加*")=0,COUNTIF($AL$80,"*移行*")=0)</formula>
    </cfRule>
  </conditionalFormatting>
  <conditionalFormatting sqref="BE144">
    <cfRule type="expression" dxfId="375" priority="365">
      <formula>$E$144="i-FILTER ブラウザー&amp;クラウド"</formula>
    </cfRule>
  </conditionalFormatting>
  <conditionalFormatting sqref="BF102">
    <cfRule type="expression" dxfId="374" priority="367">
      <formula>$AK$102="無"</formula>
    </cfRule>
  </conditionalFormatting>
  <conditionalFormatting sqref="BF155 BP155">
    <cfRule type="expression" dxfId="373" priority="20306">
      <formula>$I$155="有/暗号化強固OP保有なし"</formula>
    </cfRule>
  </conditionalFormatting>
  <conditionalFormatting sqref="BF102:BI104">
    <cfRule type="expression" dxfId="372" priority="416">
      <formula>OR($AK$102="有/FinalCode保有",$AK$102="有/FinalCodeを同時購入")</formula>
    </cfRule>
  </conditionalFormatting>
  <conditionalFormatting sqref="BF102:BQ102 CG102 B105:H105 U105:AF107">
    <cfRule type="expression" dxfId="371" priority="114">
      <formula>$F$102="無"</formula>
    </cfRule>
  </conditionalFormatting>
  <conditionalFormatting sqref="BG121">
    <cfRule type="expression" dxfId="370" priority="357">
      <formula>OR(COUNTIF($AA$121,"*更新*"),$AA$121="新規")</formula>
    </cfRule>
  </conditionalFormatting>
  <conditionalFormatting sqref="BH84:BI86">
    <cfRule type="notContainsBlanks" dxfId="369" priority="199">
      <formula>LEN(TRIM(BH84))&gt;0</formula>
    </cfRule>
  </conditionalFormatting>
  <conditionalFormatting sqref="BH144:BM144 BP144 BR144 BT144 BV144 BH145:BL146">
    <cfRule type="expression" dxfId="368" priority="361">
      <formula>OR($X$144="更新",$X$144="更新(減数)",$X$144="追加",$X$144="追加(更新同時)")</formula>
    </cfRule>
  </conditionalFormatting>
  <conditionalFormatting sqref="BI60">
    <cfRule type="containsBlanks" dxfId="367" priority="209">
      <formula>LEN(TRIM(BI60))=0</formula>
    </cfRule>
  </conditionalFormatting>
  <conditionalFormatting sqref="BI64:CE71">
    <cfRule type="notContainsBlanks" dxfId="366" priority="204">
      <formula>LEN(TRIM(BI64))&gt;0</formula>
    </cfRule>
  </conditionalFormatting>
  <conditionalFormatting sqref="BI34:DK43 BI45:DK57">
    <cfRule type="expression" dxfId="365" priority="211">
      <formula>$DE$32="同じ"</formula>
    </cfRule>
  </conditionalFormatting>
  <conditionalFormatting sqref="BI47:DK56">
    <cfRule type="expression" dxfId="364" priority="212">
      <formula>$DE$45="同じ"</formula>
    </cfRule>
  </conditionalFormatting>
  <conditionalFormatting sqref="BI57:DK57">
    <cfRule type="expression" dxfId="363" priority="224">
      <formula>$DE$41="同じ"</formula>
    </cfRule>
  </conditionalFormatting>
  <conditionalFormatting sqref="BJ121 BX121 CB121 CH121 BO121:BW123">
    <cfRule type="expression" dxfId="362" priority="339">
      <formula>AND($AA$121&lt;&gt;"新規",$AA$121&lt;&gt;"")</formula>
    </cfRule>
  </conditionalFormatting>
  <conditionalFormatting sqref="BJ151 BN151 AY151">
    <cfRule type="notContainsBlanks" dxfId="361" priority="400">
      <formula>LEN(TRIM(AY151))&gt;0</formula>
    </cfRule>
  </conditionalFormatting>
  <conditionalFormatting sqref="BJ151 BN151">
    <cfRule type="expression" dxfId="360" priority="405">
      <formula>OR($X$151="新規",$X$151="追加")</formula>
    </cfRule>
  </conditionalFormatting>
  <conditionalFormatting sqref="BJ102:CF104">
    <cfRule type="expression" dxfId="359" priority="168">
      <formula>AND($AK$102&lt;&gt;"有/FinalCode保有",$H$105&lt;&gt;"有/暗号化強固OP保有あり")</formula>
    </cfRule>
  </conditionalFormatting>
  <conditionalFormatting sqref="BL80:BQ82 CN84 DB84 B84:CC86 B87 J87 DI84">
    <cfRule type="expression" dxfId="358" priority="196">
      <formula>$AL$80="更新(減数)"</formula>
    </cfRule>
  </conditionalFormatting>
  <conditionalFormatting sqref="BM105 BS105 CC105 CK105 CG102 CP102 B102:BI104 CN102:CO104 CT102:CU104 B114:DF116 BD98:BQ100">
    <cfRule type="expression" dxfId="357" priority="94">
      <formula>OR($AL$98="更新",$AL$98="保守更新")</formula>
    </cfRule>
    <cfRule type="expression" dxfId="356" priority="95">
      <formula>$AL$98="更新(バージョンアップ同時)"</formula>
    </cfRule>
  </conditionalFormatting>
  <conditionalFormatting sqref="BM105 BS105 CC105 CK105 CG102 CP102 B102:BI104 CN102:CO104 CT102:CU104 B114:DF116 BL98:BQ100">
    <cfRule type="expression" dxfId="355" priority="75">
      <formula>OR($AL$98="保守更新(減数)",$AL$98="更新(減数)")</formula>
    </cfRule>
  </conditionalFormatting>
  <conditionalFormatting sqref="BM108 BS108">
    <cfRule type="expression" dxfId="354" priority="6">
      <formula>NOT($W$108="有（f-FILTERシリアルなし）")</formula>
    </cfRule>
    <cfRule type="expression" dxfId="353" priority="5">
      <formula>OR($AL$98="更新"+$AL$98="更新(減数)",$AL$98="更新(バージョンアップ同時)")</formula>
    </cfRule>
  </conditionalFormatting>
  <conditionalFormatting sqref="BM105:CB107">
    <cfRule type="expression" dxfId="352" priority="72">
      <formula>$AL$98=""</formula>
    </cfRule>
    <cfRule type="expression" dxfId="351" priority="374">
      <formula>$F$102="無"</formula>
    </cfRule>
  </conditionalFormatting>
  <conditionalFormatting sqref="BM108:CI110">
    <cfRule type="expression" dxfId="350" priority="7">
      <formula>NOT($W$108="有（f-FILTERシリアルなし）")</formula>
    </cfRule>
  </conditionalFormatting>
  <conditionalFormatting sqref="BM105:CT107">
    <cfRule type="expression" dxfId="349" priority="57">
      <formula>$E$98&lt;&gt;"m‐FILTER_Ver.5"</formula>
    </cfRule>
  </conditionalFormatting>
  <conditionalFormatting sqref="BN34 DE32">
    <cfRule type="notContainsBlanks" dxfId="348" priority="247" stopIfTrue="1">
      <formula>LEN(TRIM(BN32))&gt;0</formula>
    </cfRule>
  </conditionalFormatting>
  <conditionalFormatting sqref="BN47 DE45">
    <cfRule type="notContainsBlanks" dxfId="347" priority="246" stopIfTrue="1">
      <formula>LEN(TRIM(BN45))&gt;0</formula>
    </cfRule>
  </conditionalFormatting>
  <conditionalFormatting sqref="BN31:CJ31 CP31:DK31">
    <cfRule type="notContainsBlanks" dxfId="346" priority="435" stopIfTrue="1">
      <formula>LEN(TRIM(BN31))&gt;0</formula>
    </cfRule>
  </conditionalFormatting>
  <conditionalFormatting sqref="BN40:CJ43 CP40:DK43">
    <cfRule type="notContainsBlanks" dxfId="345" priority="222" stopIfTrue="1">
      <formula>LEN(TRIM(BN40))&gt;0</formula>
    </cfRule>
  </conditionalFormatting>
  <conditionalFormatting sqref="BN53:CJ56 CP53:DK56">
    <cfRule type="notContainsBlanks" dxfId="344" priority="214" stopIfTrue="1">
      <formula>LEN(TRIM(BN53))&gt;0</formula>
    </cfRule>
  </conditionalFormatting>
  <conditionalFormatting sqref="BP144 BT144 CF144">
    <cfRule type="expression" dxfId="343" priority="406">
      <formula>$X$144="新規"</formula>
    </cfRule>
  </conditionalFormatting>
  <conditionalFormatting sqref="BP155 AW155:BG157 I155 B155 BH155">
    <cfRule type="expression" dxfId="342" priority="20311">
      <formula>COUNTIF($CP$155,"*有*")&gt;0</formula>
    </cfRule>
  </conditionalFormatting>
  <conditionalFormatting sqref="BP155 BH155">
    <cfRule type="expression" dxfId="341" priority="20308">
      <formula>OR($I$155="有/暗号化強固OP保有あり",$I$155="無")</formula>
    </cfRule>
  </conditionalFormatting>
  <conditionalFormatting sqref="BP91:CO92">
    <cfRule type="expression" dxfId="340" priority="91">
      <formula>OR($AX$91="はい/お客様アドレス",$AX$91="いいえ")</formula>
    </cfRule>
    <cfRule type="expression" dxfId="339" priority="450">
      <formula>$AX$91="はい/通知先記入"</formula>
    </cfRule>
  </conditionalFormatting>
  <conditionalFormatting sqref="BQ102">
    <cfRule type="expression" dxfId="338" priority="319">
      <formula>$AK$102="有/FinalCode保有"</formula>
    </cfRule>
  </conditionalFormatting>
  <conditionalFormatting sqref="BR80 BU80">
    <cfRule type="expression" dxfId="337" priority="449">
      <formula>AND($AL$80&lt;&gt;"",$AL$80&lt;&gt;"新規",COUNTIF($AL$80,"*更新*")=0)</formula>
    </cfRule>
  </conditionalFormatting>
  <conditionalFormatting sqref="BR84:BS86">
    <cfRule type="expression" dxfId="336" priority="398">
      <formula>$U$80="GIGAスクール版"</formula>
    </cfRule>
    <cfRule type="notContainsBlanks" dxfId="335" priority="397">
      <formula>LEN(TRIM(BR84))&gt;0</formula>
    </cfRule>
  </conditionalFormatting>
  <conditionalFormatting sqref="BS105 CK105 DK105 CU105:DD107 BM105 CC105">
    <cfRule type="expression" dxfId="334" priority="181">
      <formula>$E$98="m‐FILTER_Ver.3.x以下"</formula>
    </cfRule>
  </conditionalFormatting>
  <conditionalFormatting sqref="BS105">
    <cfRule type="expression" dxfId="333" priority="159">
      <formula>AND($AL$98="新規",$BS$105="プラン変更なし")</formula>
    </cfRule>
    <cfRule type="expression" dxfId="332" priority="415">
      <formula>AND($F$102="有",OR($E$98="m‐FILTER_Ver.5",$E$98="m‐FILTER_Ver.4__Ver.4.82以上",$E$98="m‐FILTER_Ver.4__Ver.4.81以下"))</formula>
    </cfRule>
  </conditionalFormatting>
  <conditionalFormatting sqref="BS108">
    <cfRule type="expression" dxfId="331" priority="10">
      <formula>$W$108="有（f-FILTERシリアルなし）"</formula>
    </cfRule>
  </conditionalFormatting>
  <conditionalFormatting sqref="BS108:CI110">
    <cfRule type="notContainsBlanks" dxfId="330" priority="8">
      <formula>LEN(TRIM(BS108))&gt;0</formula>
    </cfRule>
  </conditionalFormatting>
  <conditionalFormatting sqref="BT36 CK36 DB36 BT38 CT38">
    <cfRule type="notContainsBlanks" dxfId="329" priority="220" stopIfTrue="1">
      <formula>LEN(TRIM(BT36))&gt;0</formula>
    </cfRule>
  </conditionalFormatting>
  <conditionalFormatting sqref="BT49 CK49 DB49 BT51 CT51">
    <cfRule type="notContainsBlanks" dxfId="328" priority="213" stopIfTrue="1">
      <formula>LEN(TRIM(BT49))&gt;0</formula>
    </cfRule>
  </conditionalFormatting>
  <conditionalFormatting sqref="BT84 CB84 BJ84:BS86">
    <cfRule type="expression" dxfId="327" priority="279">
      <formula>$U$80&lt;&gt;"GIGAスクール版"</formula>
    </cfRule>
  </conditionalFormatting>
  <conditionalFormatting sqref="BT84 CB84">
    <cfRule type="expression" dxfId="326" priority="263" stopIfTrue="1">
      <formula>$BR$84="無"</formula>
    </cfRule>
  </conditionalFormatting>
  <conditionalFormatting sqref="BT151 BX151">
    <cfRule type="expression" dxfId="325" priority="359">
      <formula>$X$151="新規"</formula>
    </cfRule>
  </conditionalFormatting>
  <conditionalFormatting sqref="BT87:DA89">
    <cfRule type="expression" dxfId="324" priority="14">
      <formula>NOT($W$87="有（f-FILTERシリアルなし）")</formula>
    </cfRule>
    <cfRule type="expression" dxfId="323" priority="13">
      <formula>OR($AL$80="更新",$AL$80="更新(減数)",$AL$80="更新(バージョンアップ同時)")</formula>
    </cfRule>
  </conditionalFormatting>
  <conditionalFormatting sqref="BU80 BH80 BP80 U80 AL80">
    <cfRule type="expression" dxfId="322" priority="460">
      <formula>OR($E$80="i‐FILTER_Ver.10",$E$80="i‐FILTER_Ver.9",$E$80="i‐FILTER_Ver.8.x以下")</formula>
    </cfRule>
  </conditionalFormatting>
  <conditionalFormatting sqref="BU98 F102 M102 S102 Z98 AL98 BH98 BP98">
    <cfRule type="expression" dxfId="321" priority="472">
      <formula>OR($E$98="m‐FILTER_Ver.5",$E$98="m‐FILTER_Ver.4__Ver.4.82以上",$E$98="m‐FILTER_Ver.4__Ver.4.81以下",$E$98="m‐FILTER_Ver.3.x以下")</formula>
    </cfRule>
  </conditionalFormatting>
  <conditionalFormatting sqref="BU98 BR98">
    <cfRule type="expression" dxfId="320" priority="461">
      <formula>AND($AL$98&lt;&gt;"",$AL$98&lt;&gt;"新規",COUNTIF($AL$98,"*更新*")=0)</formula>
    </cfRule>
  </conditionalFormatting>
  <conditionalFormatting sqref="BW125 CK125 CR125 BR121 BV121 CH121">
    <cfRule type="expression" dxfId="319" priority="396">
      <formula>$AA$121="新規"</formula>
    </cfRule>
  </conditionalFormatting>
  <conditionalFormatting sqref="BX80 CC80 CF80 CH80 CJ80 CL80">
    <cfRule type="expression" dxfId="318" priority="384">
      <formula>AND($AL$80&lt;&gt;"",$AL$80&lt;&gt;"新規")</formula>
    </cfRule>
  </conditionalFormatting>
  <conditionalFormatting sqref="BX98 CC98 CF98 CH98 CJ98 CL98 CP98 CT98 U102:AC102 AZ102 BQ102 CG102 CP102 DE102 AK102:AY104 BF102:BP104 CN102:CO104 CT102:CU104 U103:AB104 B105:H105 AP105 BM105:BS105 CC105:DE105 DK105 U105:AO107 B106:G107 BM106:BR107 CC106:DD107 B108 AN111 DG111 B114 BU114 DG114 B117">
    <cfRule type="expression" dxfId="317" priority="56">
      <formula>$E$98=""</formula>
    </cfRule>
  </conditionalFormatting>
  <conditionalFormatting sqref="BX151">
    <cfRule type="notContainsBlanks" dxfId="316" priority="360" stopIfTrue="1">
      <formula>LEN(TRIM(BX151))&gt;0</formula>
    </cfRule>
    <cfRule type="expression" dxfId="315" priority="387">
      <formula>$X$151&lt;&gt;"新規"</formula>
    </cfRule>
  </conditionalFormatting>
  <conditionalFormatting sqref="BY4">
    <cfRule type="expression" dxfId="314" priority="437">
      <formula>AND($E$80="",$E$98="",$E$121="",$E$144="",$E$151="")</formula>
    </cfRule>
  </conditionalFormatting>
  <conditionalFormatting sqref="BZ144 CF144">
    <cfRule type="expression" dxfId="313" priority="362">
      <formula>AND($X$144&lt;&gt;"新規",$X$144&lt;&gt;"")</formula>
    </cfRule>
  </conditionalFormatting>
  <conditionalFormatting sqref="CB84:CC86">
    <cfRule type="expression" dxfId="312" priority="289">
      <formula>$U$80="GIGAスクール版"</formula>
    </cfRule>
    <cfRule type="notContainsBlanks" dxfId="311" priority="288">
      <formula>LEN(TRIM(CB84))&gt;0</formula>
    </cfRule>
  </conditionalFormatting>
  <conditionalFormatting sqref="CC105">
    <cfRule type="expression" dxfId="310" priority="19342">
      <formula>$BH$98&lt;#REF!</formula>
    </cfRule>
  </conditionalFormatting>
  <conditionalFormatting sqref="CC105:CT107">
    <cfRule type="expression" dxfId="309" priority="73">
      <formula>OR($BS$105="",$BS$105="無")</formula>
    </cfRule>
  </conditionalFormatting>
  <conditionalFormatting sqref="CD87:DA89">
    <cfRule type="notContainsBlanks" dxfId="308" priority="15" stopIfTrue="1">
      <formula>LEN(TRIM(CD87))&gt;0</formula>
    </cfRule>
    <cfRule type="expression" dxfId="307" priority="16">
      <formula>$W$87="有（f-FILTERシリアルなし）"</formula>
    </cfRule>
  </conditionalFormatting>
  <conditionalFormatting sqref="CF80 CJ80">
    <cfRule type="expression" dxfId="306" priority="451">
      <formula>OR($AL$80="新規",$AL$80="乗換")</formula>
    </cfRule>
  </conditionalFormatting>
  <conditionalFormatting sqref="CF98 CJ98 BX98 CC98 CH98 CL98">
    <cfRule type="expression" dxfId="305" priority="464">
      <formula>OR($AL$98="バージョンアップ",$AL$98="更新",$AL$98="更新(バージョンアップ同時)",$AL$98="更新(減数)",$AL$98="追加",$AL$98="追加(更新同時)",$AL$98="追加(バージョンアップ同時)",$AL$98="追加(更新・バージョンアップ同時)",$AL$98="保守更新",$AL$98="保守更新(減数)",,$AL$98="追加(保守更新同時)")</formula>
    </cfRule>
  </conditionalFormatting>
  <conditionalFormatting sqref="CF98 CJ98 CT98">
    <cfRule type="notContainsBlanks" dxfId="304" priority="424" stopIfTrue="1">
      <formula>LEN(TRIM(CF98))&gt;0</formula>
    </cfRule>
  </conditionalFormatting>
  <conditionalFormatting sqref="CF98 CJ98">
    <cfRule type="expression" dxfId="303" priority="465">
      <formula>OR($AL$98="新規",$AL$98="新規+保守",$AL$98="乗換+保守")</formula>
    </cfRule>
  </conditionalFormatting>
  <conditionalFormatting sqref="CF144 BM144 BP144 BT144 CP144 CK125 BE144 AR144 AZ144 X144 BW125 CR125">
    <cfRule type="notContainsBlanks" dxfId="302" priority="363">
      <formula>LEN(TRIM(X125))&gt;0</formula>
    </cfRule>
  </conditionalFormatting>
  <conditionalFormatting sqref="CF64:DB65">
    <cfRule type="notContainsBlanks" dxfId="301" priority="203">
      <formula>LEN(TRIM(CF64))&gt;0</formula>
    </cfRule>
  </conditionalFormatting>
  <conditionalFormatting sqref="CF66:DB71">
    <cfRule type="expression" dxfId="300" priority="205">
      <formula>AND(BI66&lt;&gt;"",CF66="")</formula>
    </cfRule>
  </conditionalFormatting>
  <conditionalFormatting sqref="CG102:CO104">
    <cfRule type="expression" dxfId="299" priority="373">
      <formula>$DC$102="有"</formula>
    </cfRule>
  </conditionalFormatting>
  <conditionalFormatting sqref="CH121">
    <cfRule type="notContainsBlanks" dxfId="298" priority="350" stopIfTrue="1">
      <formula>LEN(TRIM(CH121))&gt;0</formula>
    </cfRule>
  </conditionalFormatting>
  <conditionalFormatting sqref="CH144 CP144">
    <cfRule type="expression" dxfId="297" priority="349">
      <formula>AND($X$144="新規",$CF$144="無")</formula>
    </cfRule>
  </conditionalFormatting>
  <conditionalFormatting sqref="CJ108 CQ108">
    <cfRule type="expression" dxfId="296" priority="62">
      <formula>$E$98="m‐FILTER_Ver.3.x以下"</formula>
    </cfRule>
    <cfRule type="expression" dxfId="295" priority="63">
      <formula>$E$98="m‐FILTER_Ver.3.x以下"</formula>
    </cfRule>
    <cfRule type="expression" dxfId="294" priority="65">
      <formula>$BH$98&gt;=1000</formula>
    </cfRule>
  </conditionalFormatting>
  <conditionalFormatting sqref="CJ108 CQ108:CT110">
    <cfRule type="expression" dxfId="293" priority="70">
      <formula>$AL$98="更新(バージョンアップ同時)"</formula>
    </cfRule>
    <cfRule type="expression" dxfId="292" priority="69">
      <formula>OR($AL$98="更新"+$AL$98="保守更新")</formula>
    </cfRule>
    <cfRule type="expression" dxfId="291" priority="68">
      <formula>OR($AL$98="保守更新(減数)"+$AL$98="更新(減数)")</formula>
    </cfRule>
    <cfRule type="expression" dxfId="290" priority="67">
      <formula>$F$94="無"</formula>
    </cfRule>
    <cfRule type="expression" dxfId="289" priority="58">
      <formula>$E$98=""</formula>
    </cfRule>
  </conditionalFormatting>
  <conditionalFormatting sqref="CJ121:CJ122">
    <cfRule type="expression" dxfId="288" priority="336">
      <formula>AND($AA$121="新規",$CH$121="無")</formula>
    </cfRule>
  </conditionalFormatting>
  <conditionalFormatting sqref="CJ108:CT110">
    <cfRule type="expression" dxfId="287" priority="64">
      <formula>$BS$105="無"</formula>
    </cfRule>
  </conditionalFormatting>
  <conditionalFormatting sqref="CK105 CC105">
    <cfRule type="expression" dxfId="286" priority="19345">
      <formula>$BS$105="無"</formula>
    </cfRule>
    <cfRule type="expression" dxfId="285" priority="19344">
      <formula>$F$102="無"</formula>
    </cfRule>
  </conditionalFormatting>
  <conditionalFormatting sqref="CK105 CQ108">
    <cfRule type="expression" dxfId="284" priority="19343">
      <formula>OR(COUNTIF($BS$105,"*プラン変更なし*"),COUNTIF($BS$105,"*有*"))</formula>
    </cfRule>
  </conditionalFormatting>
  <conditionalFormatting sqref="CK125">
    <cfRule type="cellIs" dxfId="283" priority="346" operator="between">
      <formula>1</formula>
      <formula>4</formula>
    </cfRule>
    <cfRule type="expression" dxfId="282" priority="347">
      <formula>AND($AZ$121&lt;&gt;"",$AZ$121&lt;$CK$125)</formula>
    </cfRule>
  </conditionalFormatting>
  <conditionalFormatting sqref="CK105:CT107">
    <cfRule type="expression" dxfId="281" priority="193">
      <formula>COUNTIF($BS$105,"*有*")&gt;0</formula>
    </cfRule>
  </conditionalFormatting>
  <conditionalFormatting sqref="CN25">
    <cfRule type="notContainsBlanks" dxfId="280" priority="244" stopIfTrue="1">
      <formula>LEN(TRIM(CN25))&gt;0</formula>
    </cfRule>
  </conditionalFormatting>
  <conditionalFormatting sqref="CN84">
    <cfRule type="expression" dxfId="279" priority="481">
      <formula>$E$80&lt;&gt;"i‐FILTER_Ver.8.x以下"</formula>
    </cfRule>
  </conditionalFormatting>
  <conditionalFormatting sqref="CN102 CG102">
    <cfRule type="expression" dxfId="278" priority="189">
      <formula>AND(OR($E$98="m‐FILTER_Ver.5",$E$98="m‐FILTER_Ver.4__Ver.4.82以上",$E$98="m‐FILTER_Ver.4__Ver.4.81以下"),$F$102="無")</formula>
    </cfRule>
  </conditionalFormatting>
  <conditionalFormatting sqref="CN102">
    <cfRule type="expression" dxfId="277" priority="392">
      <formula>AND(OR($E$98="m‐FILTER_Ver.5",$E$98="m‐FILTER_Ver.4__Ver.4.82以上",$E$98="m‐FILTER_Ver.4__Ver.4.81以下"),$F$102="有")</formula>
    </cfRule>
  </conditionalFormatting>
  <conditionalFormatting sqref="CO121">
    <cfRule type="expression" dxfId="276" priority="333">
      <formula>AND($AA$121="新規",$CH$121="無")</formula>
    </cfRule>
    <cfRule type="notContainsBlanks" dxfId="275" priority="337">
      <formula>LEN(TRIM(CO121))&gt;0</formula>
    </cfRule>
    <cfRule type="expression" dxfId="274" priority="338">
      <formula>$CH$121="有"</formula>
    </cfRule>
    <cfRule type="expression" dxfId="273" priority="340">
      <formula>AND($AA$121&lt;&gt;"新規",$AA$121&lt;&gt;"")</formula>
    </cfRule>
  </conditionalFormatting>
  <conditionalFormatting sqref="CP80 CT80">
    <cfRule type="expression" dxfId="272" priority="452">
      <formula>OR($AL$80="新規",$AL$80="乗換")</formula>
    </cfRule>
  </conditionalFormatting>
  <conditionalFormatting sqref="CP98 CT98">
    <cfRule type="expression" dxfId="271" priority="466">
      <formula>OR($AL$98="新規",$AL$98="新規+保守",$AL$98="乗換+保守")</formula>
    </cfRule>
  </conditionalFormatting>
  <conditionalFormatting sqref="CP102 CT102">
    <cfRule type="expression" dxfId="270" priority="382">
      <formula>OR($E$98="m‐FILTER_Ver.5",$E$98="m‐FILTER_Ver.4__Ver.4.82以上",$E$98="m‐FILTER_Ver.3.x以下")</formula>
    </cfRule>
  </conditionalFormatting>
  <conditionalFormatting sqref="CP102 CT102:CU104">
    <cfRule type="expression" dxfId="269" priority="369">
      <formula>$E$98&lt;&gt;"m‐FILTER_Ver.4__Ver.4.81以下"</formula>
    </cfRule>
  </conditionalFormatting>
  <conditionalFormatting sqref="CP144">
    <cfRule type="expression" dxfId="268" priority="410">
      <formula>$CP$144&lt;&gt;""</formula>
    </cfRule>
    <cfRule type="expression" dxfId="267" priority="411">
      <formula>OR(COUNTIF($X$144,"*更新*"),COUNTIF($X$144,"*追加*"),AND($X$144="新規",$CF$144="有"))</formula>
    </cfRule>
  </conditionalFormatting>
  <conditionalFormatting sqref="CP98:CS100">
    <cfRule type="expression" dxfId="266" priority="445" stopIfTrue="1">
      <formula>$AH$125="有/m-FILTER保有"</formula>
    </cfRule>
  </conditionalFormatting>
  <conditionalFormatting sqref="CP77:DL77">
    <cfRule type="expression" dxfId="265" priority="409">
      <formula>AND(#REF!="Windows",OR(#REF!="i-FILTER ICAP Server",#REF!="i-FILTER ICAP Server with Squid"))</formula>
    </cfRule>
  </conditionalFormatting>
  <conditionalFormatting sqref="CQ108 CC105:CT107 CJ108">
    <cfRule type="expression" dxfId="264" priority="61">
      <formula>$F$102="無"</formula>
    </cfRule>
  </conditionalFormatting>
  <conditionalFormatting sqref="CQ108 CJ108">
    <cfRule type="expression" dxfId="263" priority="60">
      <formula>$BS$105=""</formula>
    </cfRule>
  </conditionalFormatting>
  <conditionalFormatting sqref="CQ108">
    <cfRule type="expression" dxfId="262" priority="71">
      <formula>$BH$98&lt;$CQ$108</formula>
    </cfRule>
    <cfRule type="notContainsBlanks" dxfId="261" priority="59" stopIfTrue="1">
      <formula>LEN(TRIM(CQ108))&gt;0</formula>
    </cfRule>
  </conditionalFormatting>
  <conditionalFormatting sqref="CT29 G49:BF51 M52 AD52 AU52 M54 AM54 G56 AG56:BF58 G59 AG59">
    <cfRule type="notContainsBlanks" dxfId="260" priority="313" stopIfTrue="1">
      <formula>LEN(TRIM(G29))&gt;0</formula>
    </cfRule>
  </conditionalFormatting>
  <conditionalFormatting sqref="CT80">
    <cfRule type="expression" dxfId="259" priority="454">
      <formula>$AK$91="有"</formula>
    </cfRule>
    <cfRule type="expression" dxfId="258" priority="453">
      <formula>AND($AL$80&lt;&gt;"",$AL$80&lt;&gt;"新規")</formula>
    </cfRule>
  </conditionalFormatting>
  <conditionalFormatting sqref="CT98">
    <cfRule type="expression" dxfId="257" priority="475">
      <formula>OR($AL$98="バージョンアップ",$AL$98="更新",$AL$98="更新(バージョンアップ同時)",$AL$98="更新(減数)",$AL$98="追加",$AL$98="追加(更新同時)",$AL$98="追加(バージョンアップ同時)",$AL$98="追加(更新・バージョンアップ同時)",$AL$98="保守更新",$AL$98="保守更新(減数)",,$AL$98="追加(保守更新同時)")</formula>
    </cfRule>
  </conditionalFormatting>
  <conditionalFormatting sqref="CT102 CP102">
    <cfRule type="expression" dxfId="256" priority="19314">
      <formula>AND($CN$102="無",#REF!="無")</formula>
    </cfRule>
  </conditionalFormatting>
  <conditionalFormatting sqref="CT102">
    <cfRule type="notContainsBlanks" dxfId="255" priority="19312">
      <formula>LEN(TRIM(CT102))&gt;0</formula>
    </cfRule>
    <cfRule type="expression" dxfId="254" priority="19313">
      <formula>AND($E$98="m‐FILTER_Ver.4__Ver.4.81以下",OR(#REF!="有",$CN$102="有"))</formula>
    </cfRule>
  </conditionalFormatting>
  <conditionalFormatting sqref="CU84">
    <cfRule type="expression" dxfId="253" priority="284">
      <formula>$AL$80="更新(減数)"</formula>
    </cfRule>
    <cfRule type="expression" dxfId="252" priority="283">
      <formula>AND(COUNTIF($AL$80,"*更新*")&gt;0,COUNTIF($AL$80,"*減数*")=0,COUNTIF($AL$80,"*追加*")=0,COUNTIF($AL$80,"*移行*")=0)</formula>
    </cfRule>
    <cfRule type="expression" dxfId="251" priority="282">
      <formula>$E$80&lt;&gt;"i‐FILTER_Ver.8.x以下"</formula>
    </cfRule>
  </conditionalFormatting>
  <conditionalFormatting sqref="CU105:DD107">
    <cfRule type="expression" dxfId="250" priority="107">
      <formula>OR($E$98="m‐FILTER_Ver.4__Ver.4.82以上",$E$98="m‐FILTER_Ver.4__Ver.4.81以下")</formula>
    </cfRule>
    <cfRule type="expression" dxfId="249" priority="111">
      <formula>COUNTIF($DK$105,"有")&gt;0</formula>
    </cfRule>
  </conditionalFormatting>
  <conditionalFormatting sqref="CU108:DD110">
    <cfRule type="expression" dxfId="248" priority="34">
      <formula>NOT($E$98="m‐FILTER_Ver.5")</formula>
    </cfRule>
  </conditionalFormatting>
  <conditionalFormatting sqref="CU105:DL107">
    <cfRule type="expression" dxfId="247" priority="104">
      <formula>OR($AL$98="保守更新(減数)",$AL$98="更新(減数)")</formula>
    </cfRule>
    <cfRule type="expression" dxfId="246" priority="106">
      <formula>OR($AL$98="更新",$AL$98="保守更新")</formula>
    </cfRule>
    <cfRule type="expression" dxfId="245" priority="108">
      <formula>$AL$98="更新(バージョンアップ同時)"</formula>
    </cfRule>
    <cfRule type="expression" dxfId="244" priority="109">
      <formula>$F$102="無"</formula>
    </cfRule>
  </conditionalFormatting>
  <conditionalFormatting sqref="CV102 DK105 DE105">
    <cfRule type="expression" dxfId="243" priority="130">
      <formula>OR($E$98="m‐FILTER_Ver.4__Ver.4.82以上",$E$98="m‐FILTER_Ver.4__Ver.4.81以下")</formula>
    </cfRule>
  </conditionalFormatting>
  <conditionalFormatting sqref="CV102">
    <cfRule type="expression" dxfId="242" priority="135">
      <formula>$F$102="無"</formula>
    </cfRule>
    <cfRule type="expression" dxfId="241" priority="129">
      <formula>$E$98=""</formula>
    </cfRule>
    <cfRule type="expression" dxfId="240" priority="134">
      <formula>$E$98="m‐FILTER_Ver.3.x以下"</formula>
    </cfRule>
    <cfRule type="expression" dxfId="239" priority="133">
      <formula>$AL$98="更新(バージョンアップ同時)"</formula>
    </cfRule>
    <cfRule type="expression" dxfId="238" priority="132">
      <formula>OR($AL$98="更新",$AL$98="保守更新")</formula>
    </cfRule>
    <cfRule type="expression" dxfId="237" priority="131">
      <formula>OR($AL$98="保守更新(減数)",$AL$98="更新(減数)")</formula>
    </cfRule>
  </conditionalFormatting>
  <conditionalFormatting sqref="CV102:DD104">
    <cfRule type="expression" dxfId="236" priority="3">
      <formula>$CN$102="有"</formula>
    </cfRule>
  </conditionalFormatting>
  <conditionalFormatting sqref="CZ24 BN24:BN25 BX25 BT27 CK27 DB27 BT29">
    <cfRule type="notContainsBlanks" dxfId="235" priority="245" stopIfTrue="1">
      <formula>LEN(TRIM(BN24))&gt;0</formula>
    </cfRule>
  </conditionalFormatting>
  <conditionalFormatting sqref="CZ84">
    <cfRule type="expression" dxfId="234" priority="275">
      <formula>$E$80="i‐FILTER_Ver.8.x以下"</formula>
    </cfRule>
    <cfRule type="expression" dxfId="233" priority="271">
      <formula>$E$80&lt;&gt;"i‐FILTER_Ver.8.x以下"</formula>
    </cfRule>
  </conditionalFormatting>
  <conditionalFormatting sqref="CZ84:DA86">
    <cfRule type="notContainsBlanks" dxfId="232" priority="274">
      <formula>LEN(TRIM(CZ84))&gt;0</formula>
    </cfRule>
    <cfRule type="expression" dxfId="231" priority="273">
      <formula>$AL$80="更新(減数)"</formula>
    </cfRule>
    <cfRule type="expression" dxfId="230" priority="272">
      <formula>AND(COUNTIF($AL$80,"*更新*")&gt;0,COUNTIF($AL$80,"*減数*")=0,COUNTIF($AL$80,"*追加*")=0,COUNTIF($AL$80,"*移行*")=0)</formula>
    </cfRule>
    <cfRule type="expression" dxfId="229" priority="270">
      <formula>$E$80=""</formula>
    </cfRule>
  </conditionalFormatting>
  <conditionalFormatting sqref="CZ24:DK26">
    <cfRule type="expression" dxfId="228" priority="242" stopIfTrue="1">
      <formula>OR($CZ$24="文教",$CZ$24="官公庁／自治体",$CZ$24="その他公共",$CZ$24="企業")</formula>
    </cfRule>
  </conditionalFormatting>
  <conditionalFormatting sqref="DB84">
    <cfRule type="expression" dxfId="227" priority="285">
      <formula>$E$80&lt;&gt;"i‐FILTER_Ver.8.x以下"</formula>
    </cfRule>
  </conditionalFormatting>
  <conditionalFormatting sqref="DC102">
    <cfRule type="expression" dxfId="226" priority="82">
      <formula>$E$98=""</formula>
    </cfRule>
    <cfRule type="notContainsBlanks" dxfId="225" priority="136">
      <formula>LEN(TRIM(DC102))&gt;0</formula>
    </cfRule>
    <cfRule type="expression" dxfId="224" priority="144">
      <formula>$F$102="有"</formula>
    </cfRule>
  </conditionalFormatting>
  <conditionalFormatting sqref="DC105 DK105">
    <cfRule type="notContainsBlanks" dxfId="223" priority="112">
      <formula>LEN(TRIM(DC105))&gt;0</formula>
    </cfRule>
  </conditionalFormatting>
  <conditionalFormatting sqref="DC105">
    <cfRule type="expression" dxfId="222" priority="113">
      <formula>$F$102="有"</formula>
    </cfRule>
  </conditionalFormatting>
  <conditionalFormatting sqref="DC108 W108:AJ110">
    <cfRule type="notContainsBlanks" dxfId="221" priority="37" stopIfTrue="1">
      <formula>LEN(TRIM(W108))&gt;0</formula>
    </cfRule>
  </conditionalFormatting>
  <conditionalFormatting sqref="DC102:DD104">
    <cfRule type="expression" dxfId="220" priority="2">
      <formula>OR($F$102="",$F$102="無")</formula>
    </cfRule>
    <cfRule type="expression" dxfId="219" priority="122">
      <formula>OR($AL$98="保守更新(減数)",$AL$85="更新(減数)")</formula>
    </cfRule>
    <cfRule type="expression" dxfId="218" priority="127">
      <formula>$E$98="m‐FILTER_Ver.3.x以下"</formula>
    </cfRule>
    <cfRule type="expression" dxfId="217" priority="120">
      <formula>OR($E$98="m‐FILTER_Ver.4__Ver.4.82以上",$E$98="m‐FILTER_Ver.4__Ver.4.81以下")</formula>
    </cfRule>
    <cfRule type="expression" dxfId="216" priority="125">
      <formula>$AL$98="更新(減数)"</formula>
    </cfRule>
    <cfRule type="expression" dxfId="215" priority="124">
      <formula>$AL$98="更新(バージョンアップ同時)"</formula>
    </cfRule>
    <cfRule type="expression" dxfId="214" priority="123">
      <formula>OR($AL$98="更新",$AL$98="保守更新")</formula>
    </cfRule>
  </conditionalFormatting>
  <conditionalFormatting sqref="DE102 DK102:DL104">
    <cfRule type="expression" dxfId="213" priority="128">
      <formula>OR($AL$98="更新",$AL$98="保守更新")</formula>
    </cfRule>
    <cfRule type="expression" dxfId="212" priority="137">
      <formula>OR($E$98="m‐FILTER_Ver.3.x以下",$E$98="m‐FILTER_Ver.4__Ver.4.82以上",$E$98="m‐FILTER_Ver.4__Ver.4.81以下")</formula>
    </cfRule>
    <cfRule type="expression" dxfId="211" priority="138">
      <formula>$AL$92="更新(バージョンアップ同時)"</formula>
    </cfRule>
  </conditionalFormatting>
  <conditionalFormatting sqref="DE105">
    <cfRule type="expression" dxfId="210" priority="110">
      <formula>$E$98="m‐FILTER_Ver.3.x以下"</formula>
    </cfRule>
  </conditionalFormatting>
  <conditionalFormatting sqref="DE102:DL104">
    <cfRule type="expression" dxfId="209" priority="121">
      <formula>OR($F$102="",$F$102="無")</formula>
    </cfRule>
    <cfRule type="expression" dxfId="208" priority="81">
      <formula>NOT(AND($E$98="m‐FILTER_Ver.5",OR($AL$98="新規",$AL$98="バージョンアップ",$AL$98="追加",$AL$98="追加(バージョンアップ同時)",$AL$98="追加(更新同時)",$AL$98="追加(更新・バージョンアップ同時)")))</formula>
    </cfRule>
  </conditionalFormatting>
  <conditionalFormatting sqref="DE105:DL107">
    <cfRule type="expression" dxfId="207" priority="105">
      <formula>$DC$105&gt;=1</formula>
    </cfRule>
  </conditionalFormatting>
  <conditionalFormatting sqref="DF136:DL140">
    <cfRule type="expression" dxfId="206" priority="331">
      <formula>OR($DF$136="",$DF$136="いいえ")</formula>
    </cfRule>
  </conditionalFormatting>
  <conditionalFormatting sqref="DG84">
    <cfRule type="expression" dxfId="205" priority="265">
      <formula>$E$80&lt;&gt;"i‐FILTER_Ver.8.x以下"</formula>
    </cfRule>
    <cfRule type="expression" dxfId="204" priority="269">
      <formula>$E$80="i‐FILTER_Ver.8.x以下"</formula>
    </cfRule>
  </conditionalFormatting>
  <conditionalFormatting sqref="DG111">
    <cfRule type="expression" dxfId="203" priority="102">
      <formula>$CN$102="有"</formula>
    </cfRule>
    <cfRule type="expression" dxfId="202" priority="101">
      <formula>$DG$111="いいえ"</formula>
    </cfRule>
    <cfRule type="expression" dxfId="201" priority="100">
      <formula>$DG$111="はい"</formula>
    </cfRule>
  </conditionalFormatting>
  <conditionalFormatting sqref="DG114">
    <cfRule type="expression" dxfId="200" priority="417">
      <formula>$Y$102="無"</formula>
    </cfRule>
    <cfRule type="cellIs" dxfId="199" priority="318" operator="equal">
      <formula>"はい"</formula>
    </cfRule>
  </conditionalFormatting>
  <conditionalFormatting sqref="DG125 CT125">
    <cfRule type="expression" dxfId="198" priority="446">
      <formula>$CR$125="無"</formula>
    </cfRule>
  </conditionalFormatting>
  <conditionalFormatting sqref="DG125">
    <cfRule type="cellIs" dxfId="197" priority="345" operator="equal">
      <formula>"未提出(×)"</formula>
    </cfRule>
    <cfRule type="expression" dxfId="196" priority="448">
      <formula>$CR$125="有"</formula>
    </cfRule>
    <cfRule type="notContainsBlanks" dxfId="195" priority="447" stopIfTrue="1">
      <formula>LEN(TRIM(DG125))&gt;0</formula>
    </cfRule>
  </conditionalFormatting>
  <conditionalFormatting sqref="DG84:DH86">
    <cfRule type="notContainsBlanks" dxfId="194" priority="268">
      <formula>LEN(TRIM(DG84))&gt;0</formula>
    </cfRule>
    <cfRule type="expression" dxfId="193" priority="267">
      <formula>$AL$80="更新(減数)"</formula>
    </cfRule>
    <cfRule type="expression" dxfId="192" priority="266">
      <formula>AND(COUNTIF($AL$80,"*更新*")&gt;0,COUNTIF($AL$80,"*減数*")=0,COUNTIF($AL$80,"*追加*")=0,COUNTIF($AL$80,"*移行*")=0)</formula>
    </cfRule>
    <cfRule type="expression" dxfId="191" priority="264">
      <formula>$E$80=""</formula>
    </cfRule>
  </conditionalFormatting>
  <conditionalFormatting sqref="DK102">
    <cfRule type="notContainsBlanks" dxfId="190" priority="141">
      <formula>LEN(TRIM(DK102))&gt;0</formula>
    </cfRule>
    <cfRule type="expression" dxfId="189" priority="88">
      <formula>$E$98=""</formula>
    </cfRule>
  </conditionalFormatting>
  <conditionalFormatting sqref="DK102:DL104 DE102">
    <cfRule type="expression" dxfId="188" priority="119">
      <formula>OR($AL$98="保守更新(減数)",$AL$98="更新(減数)")</formula>
    </cfRule>
  </conditionalFormatting>
  <conditionalFormatting sqref="DK102:DL104">
    <cfRule type="expression" dxfId="187" priority="142">
      <formula>AND($E$98="m‐FILTER_Ver.5",OR($AL$98="新規",$AL$98="バージョンアップ",$AL$98="追加",$AL$98="追加(バージョンアップ同時)",$AL$98="追加(更新同時)",$AL$98="追加(更新・バージョンアップ同時)"))</formula>
    </cfRule>
  </conditionalFormatting>
  <dataValidations xWindow="667" yWindow="684" count="72">
    <dataValidation type="list" allowBlank="1" showInputMessage="1" showErrorMessage="1" sqref="CZ84:DA86 DG84:DH86" xr:uid="{00000000-0002-0000-0800-000000000000}">
      <formula1>有無</formula1>
    </dataValidation>
    <dataValidation type="list" allowBlank="1" showInputMessage="1" showErrorMessage="1" prompt="「子ども見守りシステム」を使用予定のお客様で_x000a_パトランプ（メル丸くん）を弊社から購入予定のお客様は_x000a_「有」をご選択ください。" sqref="CB84:CC86" xr:uid="{00000000-0002-0000-0800-000001000000}">
      <formula1>"有,無"</formula1>
    </dataValidation>
    <dataValidation type="list" allowBlank="1" showInputMessage="1" showErrorMessage="1" sqref="AL80:BC82" xr:uid="{00000000-0002-0000-0800-000002000000}">
      <formula1>IF(AND(RIGHT($E$80,2)="10",$U$80="アカデミックサイトライセンス"),INDEX(INDIRECT(E80),0,3),IF(AND(RIGHT($E$80,2)="10",$U$80="GIGAスクール版"),INDEX(INDIRECT(E80),0,4),INDEX(INDIRECT(E80),0,2)))</formula1>
    </dataValidation>
    <dataValidation type="list" allowBlank="1" showInputMessage="1" showErrorMessage="1" sqref="U80:AH82" xr:uid="{00000000-0002-0000-0800-000003000000}">
      <formula1>INDEX(INDIRECT(E80),0,1)</formula1>
    </dataValidation>
    <dataValidation type="list" allowBlank="1" showInputMessage="1" showErrorMessage="1" sqref="AI98:AK100" xr:uid="{00000000-0002-0000-0800-000004000000}">
      <formula1>INDEX(INDIRECT(N98),0,1)</formula1>
    </dataValidation>
    <dataValidation type="list" allowBlank="1" showInputMessage="1" showErrorMessage="1" prompt="GIGAスクール版のお客様で_x000a_「子ども見守りシステム」(無償)を使用予定のお客様は_x000a_「有」をご選択ください。" sqref="BR84:BS86" xr:uid="{00000000-0002-0000-0800-000005000000}">
      <formula1>有無</formula1>
    </dataValidation>
    <dataValidation type="list" imeMode="hiragana" allowBlank="1" showInputMessage="1" showErrorMessage="1" error="半角文字が入っている可能性があります。" sqref="CN25" xr:uid="{00000000-0002-0000-0800-000006000000}">
      <formula1>法人格_後</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BX25" xr:uid="{00000000-0002-0000-0800-000007000000}">
      <formula1>AND(BX25=DBCS(BX25))</formula1>
    </dataValidation>
    <dataValidation type="list" imeMode="hiragana" allowBlank="1" showInputMessage="1" showErrorMessage="1" error="半角文字が入っている可能性があります。" sqref="BN25" xr:uid="{00000000-0002-0000-0800-000008000000}">
      <formula1>法人格_前</formula1>
    </dataValidation>
    <dataValidation imeMode="disabled" allowBlank="1" showInputMessage="1" showErrorMessage="1" sqref="CP144:DL146 CG102 BX151:CL153 CO121:DL123 CT80:DL82 AY125:BP127 CT98:DL100 BQ102 AE155 B155" xr:uid="{00000000-0002-0000-0800-000009000000}"/>
    <dataValidation type="whole" imeMode="disabled" operator="greaterThanOrEqual" allowBlank="1" showInputMessage="1" showErrorMessage="1" sqref="AZ144:BA146" xr:uid="{00000000-0002-0000-0800-00000A000000}">
      <formula1>1</formula1>
    </dataValidation>
    <dataValidation type="whole" imeMode="disabled" operator="greaterThanOrEqual" allowBlank="1" showInputMessage="1" showErrorMessage="1" sqref="CK125:CM127" xr:uid="{00000000-0002-0000-0800-00000B000000}">
      <formula1>0</formula1>
    </dataValidation>
    <dataValidation type="whole" imeMode="disabled" allowBlank="1" showInputMessage="1" showErrorMessage="1" sqref="X20:AB21" xr:uid="{00000000-0002-0000-0800-00000C000000}">
      <formula1>1</formula1>
      <formula2>31</formula2>
    </dataValidation>
    <dataValidation type="list" allowBlank="1" showInputMessage="1" showErrorMessage="1" sqref="DG125" xr:uid="{00000000-0002-0000-0800-00000D000000}">
      <formula1>"提出済(○),未提出(×)"</formula1>
    </dataValidation>
    <dataValidation type="list" allowBlank="1" showInputMessage="1" showErrorMessage="1" sqref="BG121:BI123" xr:uid="{00000000-0002-0000-0800-00000E000000}">
      <formula1>契約期間</formula1>
    </dataValidation>
    <dataValidation type="custom" imeMode="disabled" allowBlank="1" showInputMessage="1" showErrorMessage="1" error="半角英数字で入力してください" sqref="BI60:DB61" xr:uid="{00000000-0002-0000-0800-00000F000000}">
      <formula1>LENB(BI60)=LEN(BI60)</formula1>
    </dataValidation>
    <dataValidation type="custom" imeMode="on" allowBlank="1" showInputMessage="1" showErrorMessage="1" error="半角文字が入っている可能性があります。" prompt="番地も含めてすべて全角で入力してください。" sqref="M35:AF36 M54:AF55 BT29:CM30 BT38:CM39 BT51:CM52" xr:uid="{00000000-0002-0000-0800-000010000000}">
      <formula1>AND(M29=DBCS(M29))</formula1>
    </dataValidation>
    <dataValidation type="custom" imeMode="on" allowBlank="1" showInputMessage="1" showErrorMessage="1" error="半角文字が入っている可能性があります。" prompt="全角文字で入力してください。" sqref="BN34 AG57:BF58 AU33:BF34 AU52:BF53 G37:AA39 G56:AA58 DB36 BN40:CJ41 AG38:BF39 G50:BF51 DL36 CP40:DK41 BN53:CJ54 DB27 G31:BF32 CP53:DK54 DB49 BN47" xr:uid="{00000000-0002-0000-0800-000011000000}">
      <formula1>AND(G27=DBCS(G27))</formula1>
    </dataValidation>
    <dataValidation type="custom" imeMode="on" allowBlank="1" showInputMessage="1" showErrorMessage="1" error="半角文字が入っている可能性があります。" promptTitle="入力方法" prompt="階数なども含めてすべて全角で入力してください。" sqref="CT29 AM35:BF36 AM54:BF55 CT38 DL38 CT51" xr:uid="{00000000-0002-0000-0800-000012000000}">
      <formula1>AND(AM29=DBCS(AM29))</formula1>
    </dataValidation>
    <dataValidation type="list" imeMode="off" allowBlank="1" showInputMessage="1" showErrorMessage="1" sqref="BI66:CE71" xr:uid="{00000000-0002-0000-0800-000013000000}">
      <formula1>"i‐FILTER,m‐FILTER,m-FILTER MailAdviser"</formula1>
    </dataValidation>
    <dataValidation imeMode="off" allowBlank="1" showInputMessage="1" showErrorMessage="1" prompt="ご発注対象に対応するお見積番号をご入力ください。" sqref="CF64:DB65" xr:uid="{00000000-0002-0000-0800-000014000000}"/>
    <dataValidation type="list" imeMode="off" allowBlank="1" showInputMessage="1" showErrorMessage="1" prompt="ご発注対象製品をプルダウンよりご選択ください。" sqref="BI64:CE65" xr:uid="{00000000-0002-0000-0800-000015000000}">
      <formula1>"i‐FILTER,m‐FILTER,m-FILTER MailAdviser"</formula1>
    </dataValidation>
    <dataValidation type="list" allowBlank="1" showInputMessage="1" showErrorMessage="1" sqref="DE32:DK33 DE45:DK46" xr:uid="{00000000-0002-0000-0800-000016000000}">
      <formula1>"同じ,異なる"</formula1>
    </dataValidation>
    <dataValidation type="list" imeMode="on" allowBlank="1" showInputMessage="1" showErrorMessage="1" sqref="AD33:AN34 AD52:AN53 CK27:CU28 CK36:CU37 CK49:CU50" xr:uid="{00000000-0002-0000-0800-000017000000}">
      <formula1>都道府県</formula1>
    </dataValidation>
    <dataValidation type="custom" imeMode="fullKatakana" allowBlank="1" showInputMessage="1" showErrorMessage="1" error="全角カナで入力してください" prompt="全角カタカナで入力してください。" sqref="G30 BN24" xr:uid="{00000000-0002-0000-0800-000018000000}">
      <formula1>AND(G24=DBCS(G24))</formula1>
    </dataValidation>
    <dataValidation type="custom" imeMode="fullKatakana" allowBlank="1" showInputMessage="1" showErrorMessage="1" error="全角カタカナで入力してください" prompt="全角カタカナで入力してください。" sqref="AG37:BF37 AG56:BF56 G49" xr:uid="{00000000-0002-0000-0800-000019000000}">
      <formula1>AND(G37=DBCS(G37))</formula1>
    </dataValidation>
    <dataValidation type="custom" imeMode="disabled" operator="equal" allowBlank="1" showInputMessage="1" showErrorMessage="1" promptTitle="入力方法" prompt="半角数字でハイフンを入れて入力をしてください。" sqref="M33:W34 M52:W53 BT27:CD28 BT36:CD37 BT49:CD50" xr:uid="{00000000-0002-0000-0800-00001A000000}">
      <formula1>AND(COUNTIF(M27,"*-*"),LEN(M27)=LENB(M27),LEN(M27)=8)</formula1>
    </dataValidation>
    <dataValidation type="custom" imeMode="disabled" allowBlank="1" showInputMessage="1" showErrorMessage="1" promptTitle="入力方法" prompt="(例)03-1111-2222_x000a_のように半角数字で_x000a_ハイフンを入れて_x000a_入力してください" sqref="G59:AA60 BN55:CJ56 BN42:CJ43 G40:AA41 BN31:CJ31" xr:uid="{00000000-0002-0000-0800-00001B000000}">
      <formula1>AND(COUNTIF(G31,"*-*"),LEN(G31)=LENB(G31),LEN(G31)&lt;14)</formula1>
    </dataValidation>
    <dataValidation type="list" imeMode="on" allowBlank="1" showInputMessage="1" showErrorMessage="1" sqref="AZ42:BF44 AZ61:BF63" xr:uid="{00000000-0002-0000-0800-00001C000000}">
      <formula1>"はい,いいえ"</formula1>
    </dataValidation>
    <dataValidation type="whole" imeMode="disabled" allowBlank="1" showInputMessage="1" showErrorMessage="1" sqref="BN151:BO153 P20:T21 CJ80:CK82 CJ98:CK100 BV121:BW123 BT144:BU146" xr:uid="{00000000-0002-0000-0800-00001D000000}">
      <formula1>1</formula1>
      <formula2>12</formula2>
    </dataValidation>
    <dataValidation type="whole" imeMode="disabled" operator="greaterThanOrEqual" allowBlank="1" showInputMessage="1" showErrorMessage="1" sqref="BJ151:BK153 CF80:CG82 J20:L21 BR121:BS123 CF98:CG100 BP144:BQ146" xr:uid="{00000000-0002-0000-0800-00001E000000}">
      <formula1>20</formula1>
    </dataValidation>
    <dataValidation type="custom" allowBlank="1" showInputMessage="1" showErrorMessage="1" errorTitle="E-Mail形式ではありません。" error="「,」「..」「/」のいずれかが含まれるか、「＠」がありません。" sqref="AH125 AA125:AG127" xr:uid="{00000000-0002-0000-0800-00001F000000}">
      <formula1>COUNTIF(AA125,"*,*")+COUNTIF(AA125,"*..*")+COUNTIF(AA125,"*/*")+COUNTIF(AA125,"&lt;&gt;*@*")=0</formula1>
    </dataValidation>
    <dataValidation type="whole" operator="greaterThanOrEqual" allowBlank="1" showInputMessage="1" showErrorMessage="1" sqref="N84:Q86 BP80:BQ82 AZ121:BC123 BP98:BQ100 AR144:AU146 BF102:BI104" xr:uid="{00000000-0002-0000-0800-000020000000}">
      <formula1>1</formula1>
    </dataValidation>
    <dataValidation type="list" showInputMessage="1" showErrorMessage="1" sqref="AF132 AF135" xr:uid="{00000000-0002-0000-0800-000021000000}">
      <formula1>"はい,いいえ"</formula1>
    </dataValidation>
    <dataValidation type="list" allowBlank="1" showInputMessage="1" showErrorMessage="1" sqref="AH125" xr:uid="{00000000-0002-0000-0800-000022000000}">
      <formula1>"有/m-FILTER保有,有/m-FILTERを同時購入,無"</formula1>
    </dataValidation>
    <dataValidation type="list" allowBlank="1" showInputMessage="1" showErrorMessage="1" sqref="E121" xr:uid="{00000000-0002-0000-0800-000023000000}">
      <formula1>FinalCode_Ver.6_製品区分</formula1>
    </dataValidation>
    <dataValidation type="list" allowBlank="1" showInputMessage="1" showErrorMessage="1" sqref="AA121:AU123" xr:uid="{00000000-0002-0000-0800-000024000000}">
      <formula1>FinalCode_Ver.6_申請区分</formula1>
    </dataValidation>
    <dataValidation type="list" allowBlank="1" showInputMessage="1" showErrorMessage="1" sqref="X144" xr:uid="{00000000-0002-0000-0800-000025000000}">
      <formula1>"新規,更新,更新(減数),追加,追加(更新同時)"</formula1>
    </dataValidation>
    <dataValidation type="list" allowBlank="1" showInputMessage="1" showErrorMessage="1" sqref="E144" xr:uid="{00000000-0002-0000-0800-000026000000}">
      <formula1>"i-FILTER ブラウザー&amp;クラウド"</formula1>
    </dataValidation>
    <dataValidation type="list" allowBlank="1" showInputMessage="1" showErrorMessage="1" sqref="AB84" xr:uid="{00000000-0002-0000-0800-000027000000}">
      <formula1>"カスペルスキー,シマンテック,トレンドマイクロ,エフセキュア,マカフィー"</formula1>
    </dataValidation>
    <dataValidation type="list" allowBlank="1" showInputMessage="1" showErrorMessage="1" sqref="AA102:AB104" xr:uid="{00000000-0002-0000-0800-000028000000}">
      <formula1>"有"</formula1>
    </dataValidation>
    <dataValidation type="list" allowBlank="1" showInputMessage="1" showErrorMessage="1" sqref="E98" xr:uid="{00000000-0002-0000-0800-000029000000}">
      <formula1>mF製品区分</formula1>
    </dataValidation>
    <dataValidation type="list" allowBlank="1" showInputMessage="1" showErrorMessage="1" sqref="AL98" xr:uid="{00000000-0002-0000-0800-00002A000000}">
      <formula1>INDEX(INDIRECT(E98),0,1)</formula1>
    </dataValidation>
    <dataValidation type="custom" imeMode="disabled" allowBlank="1" showInputMessage="1" showErrorMessage="1" errorTitle="E-Mail形式ではありません。" error="「,」「..」「/」のいずれかが含まれるか、「＠」がありません。" sqref="K125:Z127 CP31:DK31" xr:uid="{00000000-0002-0000-0800-00002B000000}">
      <formula1>COUNTIF(K31,"*,*")+COUNTIF(K31,"*..*")+COUNTIF(K31,"*/*")+COUNTIF(K31,"&lt;&gt;*@*")=0</formula1>
    </dataValidation>
    <dataValidation imeMode="off" allowBlank="1" showInputMessage="1" showErrorMessage="1" sqref="CF66:DB71" xr:uid="{00000000-0002-0000-0800-00002C000000}"/>
    <dataValidation type="list" allowBlank="1" showInputMessage="1" showErrorMessage="1" sqref="E80" xr:uid="{00000000-0002-0000-0800-00002D000000}">
      <formula1>iF製品区分</formula1>
    </dataValidation>
    <dataValidation type="list" allowBlank="1" showInputMessage="1" showErrorMessage="1" sqref="AQ84" xr:uid="{00000000-0002-0000-0800-00002E000000}">
      <formula1>"有/FE,有/DDI,無"</formula1>
    </dataValidation>
    <dataValidation type="list" allowBlank="1" showInputMessage="1" showErrorMessage="1" sqref="AK102" xr:uid="{00000000-0002-0000-0800-00002F000000}">
      <formula1>"有/FinalCode保有,有/FinalCodeを同時購入,無"</formula1>
    </dataValidation>
    <dataValidation type="list" allowBlank="1" showInputMessage="1" showErrorMessage="1" sqref="DF136:DK140 DG114 DG111" xr:uid="{00000000-0002-0000-0800-000030000000}">
      <formula1>"はい,いいえ"</formula1>
    </dataValidation>
    <dataValidation type="list" allowBlank="1" showInputMessage="1" showErrorMessage="1" sqref="Z98" xr:uid="{00000000-0002-0000-0800-000031000000}">
      <formula1>"スタンダード,アカデミック"</formula1>
    </dataValidation>
    <dataValidation type="list" allowBlank="1" showInputMessage="1" showErrorMessage="1" sqref="CF144 F102 M102 S102 BW125 CT102 W84 CR125 BH84 CN102 BB84 H84 DK105:DL107 CH121 J87:K89 DC102:DD104 BF155:BG157 AE105:AF107 H108:I110 DC108:DD110" xr:uid="{00000000-0002-0000-0800-000032000000}">
      <formula1>"有,無"</formula1>
    </dataValidation>
    <dataValidation type="list" allowBlank="1" showInputMessage="1" showErrorMessage="1" sqref="BU80:BW82 BE144 AY151:BA153 BU98:BW100" xr:uid="{00000000-0002-0000-0800-000033000000}">
      <formula1>"1年,2年,3年,4年,5年"</formula1>
    </dataValidation>
    <dataValidation type="list" allowBlank="1" showInputMessage="1" showErrorMessage="1" prompt="業種を選択しても入力欄が赤い表示のままの場合は、大カテゴリの業種を選択している可能性があります。小カテゴリの業種から再度選択ください。" sqref="CZ24:DK26" xr:uid="{00000000-0002-0000-0800-000034000000}">
      <formula1>業種</formula1>
    </dataValidation>
    <dataValidation type="custom" imeMode="halfAlpha" allowBlank="1" showInputMessage="1" showErrorMessage="1" errorTitle="E-Mail形式ではありません。" error="「,」「..」「/」のいずれかが含まれるか、「＠」がありません。" sqref="P94:AK94" xr:uid="{00000000-0002-0000-0800-000035000000}">
      <formula1>COUNTIF(AG48,"*,*")+COUNTIF(AG48,"*..*")+COUNTIF(AG48,"*/*")+COUNTIF(P94,"&lt;&gt;*@*")=0</formula1>
    </dataValidation>
    <dataValidation type="list" allowBlank="1" showInputMessage="1" showErrorMessage="1" sqref="K93:AK93" xr:uid="{00000000-0002-0000-0800-000036000000}">
      <formula1>"ホスティングサービス提供者様情報と同じ, ホスティングサービス提供者様へ販売される販売店様情報と同じ, 販売店(一次代理店)様情報と同じ,販売店(二次代理店)様情報と同じ,その他"</formula1>
    </dataValidation>
    <dataValidation imeMode="on" allowBlank="1" showInputMessage="1" showErrorMessage="1" sqref="AZ64:BF69" xr:uid="{00000000-0002-0000-0800-000037000000}"/>
    <dataValidation type="custom" imeMode="disabled" allowBlank="1" showInputMessage="1" showErrorMessage="1" errorTitle="E-Mail形式ではありません。" error="「,」「..」「/」「;」「:」「&lt;」「&gt;」のいずれかが含まれるか、「＠」がありません。" sqref="AG40:BF41 AG59:BF60 CP42:DO43 CP55:DO56 G25:AD26 AJ25:BG26" xr:uid="{00000000-0002-0000-0800-000038000000}">
      <formula1>COUNTIF(G25,"*,*")+COUNTIF(G25,"*..*")+COUNTIF(G25,"*&lt;*")+COUNTIF(G25,"*&gt;*")+COUNTIF(G25,"*;*")+COUNTIF(G25,"*:*")+COUNTIF(G25,"*/*")+COUNTIF(G25,"&lt;&gt;*@*")=0</formula1>
    </dataValidation>
    <dataValidation type="whole" imeMode="disabled" operator="greaterThanOrEqual" allowBlank="1" showInputMessage="1" showErrorMessage="1" prompt="「追加」のときは追加後の合計ライセンス数を入力してください" sqref="BH80:BK82 BH98:BK100 AR151:AU153" xr:uid="{00000000-0002-0000-0800-000039000000}">
      <formula1>1</formula1>
    </dataValidation>
    <dataValidation type="list" allowBlank="1" showInputMessage="1" showErrorMessage="1" sqref="I155 H105:T107" xr:uid="{00000000-0002-0000-0800-00003A000000}">
      <formula1>"有/暗号化強固OP保有あり,有/暗号化強固OP保有なし,無"</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AP105 BM105" xr:uid="{00000000-0002-0000-0800-00003B000000}">
      <formula1>AND(COUNTIF(AP105,"*,*")+COUNTIF(AP105,"*..*")+COUNTIF(AP105,"*&lt;*")+COUNTIF(AP105,"*&gt;*")+COUNTIF(AP105,"*;*")+COUNTIF(AP105,"*:*")+COUNTIF(AP105,"*/*")+COUNTIF(AP105,"&lt;&gt;*@*")=0,LEN(AP105)&lt;65)</formula1>
    </dataValidation>
    <dataValidation type="whole" operator="greaterThanOrEqual" allowBlank="1" showInputMessage="1" showErrorMessage="1" prompt="購入しない場合は「0」を入力してください。_x000a_購入の場合は購入する_x000a_サーバー台数を入力してください。" sqref="DC105:DD107" xr:uid="{00000000-0002-0000-0800-00003C000000}">
      <formula1>0</formula1>
    </dataValidation>
    <dataValidation type="list"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DK102:DL104" xr:uid="{00000000-0002-0000-0800-00003D000000}">
      <formula1>"有,無"</formula1>
    </dataValidation>
    <dataValidation allowBlank="1" showInputMessage="1" showErrorMessage="1" prompt="i-FILTER Global DataBaseのライセンス数をご入力ください_x000a_（「i-FILTER Ver.10」のライセンス数以下）" sqref="J84:M86" xr:uid="{00000000-0002-0000-0800-00003E000000}"/>
    <dataValidation type="list" allowBlank="1" showInputMessage="1" showErrorMessage="1" prompt="「マクロ除去」機能のご利用に必要なオプションです。_x000a_2018年7月2日出荷以降のVer.5の「MailFilter」もしくは「Archive」を新規でご購入の場合は標準搭載機能です。" sqref="Y102:Z104" xr:uid="{00000000-0002-0000-0800-00003F000000}">
      <formula1>"有,無"</formula1>
    </dataValidation>
    <dataValidation operator="greaterThanOrEqual" showInputMessage="1" showErrorMessage="1" sqref="CC105" xr:uid="{00000000-0002-0000-0800-000040000000}"/>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になっています。" sqref="BP155 BH155" xr:uid="{00000000-0002-0000-0800-000041000000}">
      <formula1>AND(COUNTIF(BH155,"*,*")+COUNTIF(BH155,"*..*")+COUNTIF(BH155,"*&lt;*")+COUNTIF(BH155,"*&gt;*")+COUNTIF(BH155,"*;*")+COUNTIF(BH155,"*:*")+COUNTIF(BH155,"*/*")+COUNTIF(BH155,"&lt;&gt;*@*")=0,LEN(BH155)&lt;65)</formula1>
    </dataValidation>
    <dataValidation type="custom" allowBlank="1" showInputMessage="1" showErrorMessage="1" errorTitle="E-Mail形式ではないか、文字数がオーバーしています。" error="「,」「..」「/」「;」「:」「&lt;」「&gt;」のいずれかが含まれるか、「＠」がありません。_x000a_もしくは入力されたアドレスの文字数が65文字以上になっています。" sqref="BP91:CO92" xr:uid="{00000000-0002-0000-0800-000042000000}">
      <formula1>AND(COUNTIF(BP91,"*,*")+COUNTIF(BP91,"*..*")+COUNTIF(BP91,"*&lt;*")+COUNTIF(BP91,"*&gt;*")+COUNTIF(BP91,"*;*")+COUNTIF(BP91,"*:*")+COUNTIF(BP91,"*/*")+COUNTIF(BP91,"&lt;&gt;*@*")=0,LEN(BP91)&lt;65)</formula1>
    </dataValidation>
    <dataValidation type="list" allowBlank="1" showInputMessage="1" showErrorMessage="1" sqref="AX91:BK92" xr:uid="{00000000-0002-0000-0800-000043000000}">
      <formula1>"はい/お客様アドレス,はい/通知先記入,いいえ"</formula1>
    </dataValidation>
    <dataValidation type="list" allowBlank="1" showInputMessage="1" showErrorMessage="1" sqref="E151:T153" xr:uid="{00000000-0002-0000-0800-000044000000}">
      <formula1>"Outlook/Becky!/Thunderbird版"</formula1>
    </dataValidation>
    <dataValidation type="list" allowBlank="1" showInputMessage="1" showErrorMessage="1" sqref="BS105:CB107" xr:uid="{00000000-0002-0000-0800-000045000000}">
      <formula1>クリプト便エディション</formula1>
    </dataValidation>
    <dataValidation type="custom" operator="greaterThanOrEqual" allowBlank="1" showInputMessage="1" showErrorMessage="1" error="・新規でクリプト便をご購入される場合_x000a_　ライセンス数以下での購入が可能です_x000a__x000a_・クリプト便を既に保有しており、ライセンス追加を希望される場合（2024/03/31までにクリプト便を契約していたユーザーが対象）_x000a_　Ver.5のお客様はライセンス数以下で購入が可能です_x000a_　Ver.5（優待）のお客様はライセンス数と同数の購入が必要となります" promptTitle="m-FILTER クリプト便 Adapterのライセンス数" prompt="・新規でクリプト便をご購入される場合_x000a_　ライセンス数以下での購入が可能です_x000a__x000a_・クリプト便を既に保有しており、ライセンス追加を希望される場合（2024/03/31までにクリプト便を契約していたユーザーが対象）_x000a_　Ver.5のお客様はライセンス数以下で購入が可能です_x000a_　Ver.5（優待）のお客様はライセンス数と同数の購入が必要となります" sqref="CQ108:CT110" xr:uid="{D5E8C0D6-B0C9-4FA7-9F06-837150053250}">
      <formula1>CQ108&lt;=BH98</formula1>
    </dataValidation>
    <dataValidation type="custom" allowBlank="1" showInputMessage="1" showErrorMessage="1" sqref="CD87:DA89 BS108:CI110" xr:uid="{FE8655E3-48E6-4532-9111-A8C167CCDC70}">
      <formula1>COUNTIF(BS87,"*,*")+COUNTIF(BS87,"*..*")+COUNTIF(BS87,"*&lt;*")+COUNTIF(BS87,"*&gt;*")+COUNTIF(BS87,"*;*")+COUNTIF(BS87,"*:*")+COUNTIF(BS87,"*/*")+COUNTIF(BS87,"&lt;&gt;*@*")=0</formula1>
    </dataValidation>
  </dataValidations>
  <hyperlinks>
    <hyperlink ref="J92:X92" r:id="rId1" display="https://www.daj.jp/bs/d-alert/" xr:uid="{00000000-0004-0000-0800-000000000000}"/>
    <hyperlink ref="CP91:DL91" r:id="rId2" display="Dアラート通知先申請サイトはこちら" xr:uid="{00000000-0004-0000-0800-000001000000}"/>
    <hyperlink ref="A160" r:id="rId3" xr:uid="{86B9A686-5244-4560-91BC-9E681796D2A2}"/>
  </hyperlinks>
  <printOptions horizontalCentered="1"/>
  <pageMargins left="0.11811023622047245" right="0.11811023622047245" top="0.39370078740157483" bottom="0.19685039370078741" header="0.11811023622047245" footer="0.11811023622047245"/>
  <pageSetup paperSize="9" scale="66" fitToHeight="0" orientation="portrait" horizontalDpi="300" verticalDpi="300" r:id="rId4"/>
  <headerFooter>
    <oddFooter>&amp;LDigital Arts Inc.&amp;C&amp;P ページ&amp;R&amp;D</oddFooter>
  </headerFooter>
  <drawing r:id="rId5"/>
  <extLst>
    <ext xmlns:x14="http://schemas.microsoft.com/office/spreadsheetml/2009/9/main" uri="{CCE6A557-97BC-4b89-ADB6-D9C93CAAB3DF}">
      <x14:dataValidations xmlns:xm="http://schemas.microsoft.com/office/excel/2006/main" xWindow="667" yWindow="684" count="3">
        <x14:dataValidation type="list" allowBlank="1" showInputMessage="1" showErrorMessage="1" xr:uid="{00000000-0002-0000-0800-000046000000}">
          <x14:formula1>
            <xm:f>INDEX(INDIRECT(中間データオンプレ!$Y$27),0,1)</xm:f>
          </x14:formula1>
          <xm:sqref>X151:AM153</xm:sqref>
        </x14:dataValidation>
        <x14:dataValidation type="list" allowBlank="1" showErrorMessage="1" xr:uid="{F2A6FB08-DCDD-4B1D-A95B-CC7D4B79D1A7}">
          <x14:formula1>
            <xm:f>'中間データ共通・Desk・f-FILTER・Z-FILTER'!$AA$34:$AA$37</xm:f>
          </x14:formula1>
          <xm:sqref>W87:AI89</xm:sqref>
        </x14:dataValidation>
        <x14:dataValidation type="list" allowBlank="1" showInputMessage="1" showErrorMessage="1" xr:uid="{D6A0C543-00F9-4079-B903-71A46BA662E8}">
          <x14:formula1>
            <xm:f>'中間データ共通・Desk・f-FILTER・Z-FILTER'!$AA$34:$AA$37</xm:f>
          </x14:formula1>
          <xm:sqref>W108:AJ110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AC50"/>
  <sheetViews>
    <sheetView topLeftCell="B1" workbookViewId="0">
      <selection activeCell="O22" sqref="O22"/>
    </sheetView>
  </sheetViews>
  <sheetFormatPr defaultColWidth="9" defaultRowHeight="13"/>
  <cols>
    <col min="1" max="1" width="1.26953125" style="198" customWidth="1"/>
    <col min="2" max="2" width="8.6328125" style="198" bestFit="1" customWidth="1"/>
    <col min="3" max="3" width="4.26953125" style="198" bestFit="1" customWidth="1"/>
    <col min="4" max="4" width="7" style="198" bestFit="1" customWidth="1"/>
    <col min="5" max="5" width="7" style="212" customWidth="1"/>
    <col min="6" max="6" width="7" style="198" bestFit="1" customWidth="1"/>
    <col min="7" max="8" width="11" style="212" customWidth="1"/>
    <col min="9" max="9" width="3.90625" style="198" customWidth="1"/>
    <col min="10" max="10" width="1.08984375" style="198" customWidth="1"/>
    <col min="11" max="11" width="12.36328125" style="198" bestFit="1" customWidth="1"/>
    <col min="12" max="12" width="12.36328125" style="198" customWidth="1"/>
    <col min="13" max="13" width="11.36328125" style="198" bestFit="1" customWidth="1"/>
    <col min="14" max="16" width="9.453125" style="198" customWidth="1"/>
    <col min="17" max="17" width="1.08984375" style="198" customWidth="1"/>
    <col min="18" max="18" width="13.08984375" style="198" bestFit="1" customWidth="1"/>
    <col min="19" max="19" width="14.6328125" style="198" bestFit="1" customWidth="1"/>
    <col min="20" max="21" width="10.08984375" style="198" customWidth="1"/>
    <col min="22" max="22" width="9" style="198"/>
    <col min="23" max="23" width="1.08984375" style="198" customWidth="1"/>
    <col min="24" max="24" width="13" style="198" bestFit="1" customWidth="1"/>
    <col min="25" max="25" width="7.26953125" style="198" bestFit="1" customWidth="1"/>
    <col min="26" max="26" width="1.08984375" style="198" customWidth="1"/>
    <col min="27" max="28" width="9" style="198"/>
    <col min="29" max="29" width="18" style="198" customWidth="1"/>
    <col min="30" max="16384" width="9" style="198"/>
  </cols>
  <sheetData>
    <row r="1" spans="2:29" ht="13.5" thickBot="1"/>
    <row r="2" spans="2:29" ht="13.5" thickTop="1">
      <c r="B2" s="4664" t="s">
        <v>416</v>
      </c>
      <c r="C2" s="4665"/>
      <c r="D2" s="4665"/>
      <c r="E2" s="4665"/>
      <c r="F2" s="4665"/>
      <c r="G2" s="4665"/>
      <c r="H2" s="4665"/>
      <c r="I2" s="4666"/>
      <c r="K2" s="4667" t="s">
        <v>417</v>
      </c>
      <c r="L2" s="4668"/>
      <c r="M2" s="4668"/>
      <c r="N2" s="4668"/>
      <c r="O2" s="4668"/>
      <c r="P2" s="4668"/>
      <c r="R2" s="4656" t="s">
        <v>418</v>
      </c>
      <c r="S2" s="4657"/>
      <c r="T2" s="4657"/>
      <c r="U2" s="4657"/>
      <c r="V2" s="4658"/>
      <c r="X2" s="4659" t="s">
        <v>419</v>
      </c>
      <c r="Y2" s="4660"/>
      <c r="AA2" s="4661" t="s">
        <v>420</v>
      </c>
      <c r="AB2" s="4662"/>
      <c r="AC2" s="4663"/>
    </row>
    <row r="3" spans="2:29">
      <c r="B3" s="218" t="s">
        <v>253</v>
      </c>
      <c r="C3" s="212" t="s">
        <v>421</v>
      </c>
      <c r="D3" s="262" t="s">
        <v>422</v>
      </c>
      <c r="E3" s="212" t="s">
        <v>512</v>
      </c>
      <c r="F3" s="262" t="s">
        <v>423</v>
      </c>
      <c r="G3" s="212" t="s">
        <v>790</v>
      </c>
      <c r="H3" s="212" t="s">
        <v>789</v>
      </c>
      <c r="I3" s="263"/>
      <c r="K3" s="230" t="s">
        <v>424</v>
      </c>
      <c r="L3" s="212" t="s">
        <v>806</v>
      </c>
      <c r="M3" s="212" t="s">
        <v>425</v>
      </c>
      <c r="N3" s="212" t="s">
        <v>426</v>
      </c>
      <c r="O3" s="212" t="s">
        <v>1253</v>
      </c>
      <c r="P3" s="212" t="s">
        <v>1254</v>
      </c>
      <c r="R3" s="235" t="s">
        <v>427</v>
      </c>
      <c r="S3" s="212" t="s">
        <v>428</v>
      </c>
      <c r="T3" s="212" t="s">
        <v>1235</v>
      </c>
      <c r="U3" s="212" t="s">
        <v>1240</v>
      </c>
      <c r="V3" s="236" t="s">
        <v>426</v>
      </c>
      <c r="X3" s="244" t="s">
        <v>429</v>
      </c>
      <c r="Y3" s="245" t="s">
        <v>426</v>
      </c>
      <c r="AA3" s="253" t="s">
        <v>1097</v>
      </c>
      <c r="AB3" s="212" t="s">
        <v>426</v>
      </c>
      <c r="AC3" s="254" t="s">
        <v>430</v>
      </c>
    </row>
    <row r="4" spans="2:29">
      <c r="B4" s="264" t="s">
        <v>79</v>
      </c>
      <c r="C4" s="213" t="s">
        <v>431</v>
      </c>
      <c r="D4" s="213" t="s">
        <v>432</v>
      </c>
      <c r="E4" s="212" t="s">
        <v>516</v>
      </c>
      <c r="F4" s="213" t="s">
        <v>433</v>
      </c>
      <c r="G4" s="212" t="s">
        <v>791</v>
      </c>
      <c r="H4" s="212" t="s">
        <v>791</v>
      </c>
      <c r="I4" s="263"/>
      <c r="K4" s="231" t="s">
        <v>157</v>
      </c>
      <c r="L4" s="360" t="s">
        <v>157</v>
      </c>
      <c r="M4" s="213" t="s">
        <v>434</v>
      </c>
      <c r="N4" s="212" t="s">
        <v>435</v>
      </c>
      <c r="O4" s="212" t="s">
        <v>1255</v>
      </c>
      <c r="P4" s="212" t="s">
        <v>1257</v>
      </c>
      <c r="R4" s="237" t="s">
        <v>157</v>
      </c>
      <c r="S4" s="213" t="s">
        <v>436</v>
      </c>
      <c r="T4" s="212" t="s">
        <v>1239</v>
      </c>
      <c r="U4" s="212" t="s">
        <v>1243</v>
      </c>
      <c r="V4" s="236" t="s">
        <v>435</v>
      </c>
      <c r="X4" s="246" t="s">
        <v>157</v>
      </c>
      <c r="Y4" s="245" t="s">
        <v>435</v>
      </c>
      <c r="AA4" s="255" t="s">
        <v>157</v>
      </c>
      <c r="AB4" s="213" t="s">
        <v>1110</v>
      </c>
      <c r="AC4" s="256">
        <v>0</v>
      </c>
    </row>
    <row r="5" spans="2:29" ht="57">
      <c r="B5" s="264" t="s">
        <v>437</v>
      </c>
      <c r="C5" s="213" t="s">
        <v>438</v>
      </c>
      <c r="D5" s="213" t="s">
        <v>439</v>
      </c>
      <c r="E5" s="212" t="s">
        <v>517</v>
      </c>
      <c r="F5" s="213" t="s">
        <v>440</v>
      </c>
      <c r="G5" s="212" t="s">
        <v>753</v>
      </c>
      <c r="H5" s="212" t="s">
        <v>753</v>
      </c>
      <c r="I5" s="263"/>
      <c r="K5" s="231" t="s">
        <v>156</v>
      </c>
      <c r="L5" s="360" t="s">
        <v>807</v>
      </c>
      <c r="M5" s="213" t="s">
        <v>444</v>
      </c>
      <c r="N5" s="212" t="s">
        <v>648</v>
      </c>
      <c r="O5" s="212" t="s">
        <v>1256</v>
      </c>
      <c r="P5" s="578" t="s">
        <v>1529</v>
      </c>
      <c r="R5" s="237" t="s">
        <v>156</v>
      </c>
      <c r="S5" s="213" t="s">
        <v>445</v>
      </c>
      <c r="T5" s="212" t="s">
        <v>1236</v>
      </c>
      <c r="U5" s="212" t="s">
        <v>1242</v>
      </c>
      <c r="V5" s="236" t="s">
        <v>649</v>
      </c>
      <c r="X5" s="246" t="s">
        <v>156</v>
      </c>
      <c r="Y5" s="245" t="s">
        <v>441</v>
      </c>
      <c r="AA5" s="255" t="s">
        <v>156</v>
      </c>
      <c r="AB5" s="213" t="s">
        <v>1111</v>
      </c>
      <c r="AC5" s="256">
        <v>9999</v>
      </c>
    </row>
    <row r="6" spans="2:29">
      <c r="B6" s="264"/>
      <c r="C6" s="213"/>
      <c r="D6" s="213" t="s">
        <v>442</v>
      </c>
      <c r="E6" s="212" t="s">
        <v>518</v>
      </c>
      <c r="F6" s="213" t="s">
        <v>443</v>
      </c>
      <c r="G6" s="212" t="s">
        <v>775</v>
      </c>
      <c r="H6" s="216" t="s">
        <v>775</v>
      </c>
      <c r="I6" s="263"/>
      <c r="K6" s="231" t="s">
        <v>158</v>
      </c>
      <c r="L6" s="360" t="s">
        <v>156</v>
      </c>
      <c r="M6" s="213" t="s">
        <v>451</v>
      </c>
      <c r="N6" s="212" t="s">
        <v>799</v>
      </c>
      <c r="O6" s="212"/>
      <c r="P6" s="212"/>
      <c r="R6" s="237" t="s">
        <v>158</v>
      </c>
      <c r="S6" s="213" t="s">
        <v>452</v>
      </c>
      <c r="T6" s="212" t="s">
        <v>1237</v>
      </c>
      <c r="U6" s="212" t="s">
        <v>1241</v>
      </c>
      <c r="V6" s="236" t="s">
        <v>650</v>
      </c>
      <c r="X6" s="246" t="s">
        <v>158</v>
      </c>
      <c r="Y6" s="245"/>
      <c r="AA6" s="255" t="s">
        <v>158</v>
      </c>
      <c r="AB6" s="213" t="s">
        <v>446</v>
      </c>
      <c r="AC6" s="257"/>
    </row>
    <row r="7" spans="2:29">
      <c r="B7" s="264"/>
      <c r="C7" s="213"/>
      <c r="D7" s="213" t="s">
        <v>447</v>
      </c>
      <c r="E7" s="212" t="s">
        <v>519</v>
      </c>
      <c r="F7" s="213" t="s">
        <v>448</v>
      </c>
      <c r="G7" s="212" t="s">
        <v>754</v>
      </c>
      <c r="H7" s="1" t="s">
        <v>754</v>
      </c>
      <c r="I7" s="263"/>
      <c r="K7" s="231" t="s">
        <v>106</v>
      </c>
      <c r="L7" s="360" t="s">
        <v>808</v>
      </c>
      <c r="M7" s="213" t="s">
        <v>1193</v>
      </c>
      <c r="N7" s="577" t="str">
        <f>IF(入力フォームDA_Cloud!G50="株式会社大塚商会","Utility","")</f>
        <v/>
      </c>
      <c r="O7" s="577"/>
      <c r="P7" s="577"/>
      <c r="R7" s="237" t="s">
        <v>106</v>
      </c>
      <c r="S7" s="213" t="s">
        <v>1191</v>
      </c>
      <c r="T7" s="212" t="s">
        <v>1238</v>
      </c>
      <c r="V7" s="236"/>
      <c r="X7" s="246" t="s">
        <v>106</v>
      </c>
      <c r="Y7" s="245"/>
      <c r="AA7" s="255" t="s">
        <v>106</v>
      </c>
      <c r="AB7" s="506" t="s">
        <v>1101</v>
      </c>
      <c r="AC7" s="257"/>
    </row>
    <row r="8" spans="2:29">
      <c r="B8" s="264"/>
      <c r="C8" s="213"/>
      <c r="D8" s="213" t="s">
        <v>449</v>
      </c>
      <c r="E8" s="212" t="s">
        <v>520</v>
      </c>
      <c r="F8" s="213" t="s">
        <v>450</v>
      </c>
      <c r="G8" s="212" t="s">
        <v>755</v>
      </c>
      <c r="H8" s="1" t="s">
        <v>755</v>
      </c>
      <c r="I8" s="263"/>
      <c r="K8" s="232" t="s">
        <v>159</v>
      </c>
      <c r="L8" s="360" t="s">
        <v>809</v>
      </c>
      <c r="M8" s="213" t="s">
        <v>1194</v>
      </c>
      <c r="N8" s="212"/>
      <c r="O8" s="212"/>
      <c r="P8" s="212"/>
      <c r="R8" s="238" t="s">
        <v>159</v>
      </c>
      <c r="S8" s="213" t="s">
        <v>1192</v>
      </c>
      <c r="T8" s="213" t="str">
        <f>IF(OR(ISBLANK(入力フォームDA_Cloud!M122),入力フォームDA_Cloud!M122="無"),"",T3&amp;" "&amp;U8)</f>
        <v/>
      </c>
      <c r="U8" s="212" t="e">
        <f>VLOOKUP(入力フォームDA_Cloud!M122,中間データ共通・DACloud!T4:U6,2,FALSE)</f>
        <v>#N/A</v>
      </c>
      <c r="V8" s="236"/>
      <c r="X8" s="247" t="s">
        <v>159</v>
      </c>
      <c r="Y8" s="245"/>
      <c r="AA8" s="255" t="s">
        <v>159</v>
      </c>
      <c r="AC8" s="257"/>
    </row>
    <row r="9" spans="2:29">
      <c r="B9" s="264"/>
      <c r="C9" s="213"/>
      <c r="D9" s="213" t="s">
        <v>453</v>
      </c>
      <c r="E9" s="212" t="s">
        <v>521</v>
      </c>
      <c r="F9" s="213"/>
      <c r="G9" s="212" t="s">
        <v>756</v>
      </c>
      <c r="H9" s="1" t="s">
        <v>756</v>
      </c>
      <c r="I9" s="263"/>
      <c r="K9" s="230"/>
      <c r="L9" s="361" t="s">
        <v>106</v>
      </c>
      <c r="M9" s="213"/>
      <c r="N9" s="212"/>
      <c r="O9" s="212"/>
      <c r="P9" s="212"/>
      <c r="R9" s="238"/>
      <c r="S9" s="213"/>
      <c r="T9" s="213"/>
      <c r="U9" s="213"/>
      <c r="V9" s="236"/>
      <c r="X9" s="247" t="s">
        <v>454</v>
      </c>
      <c r="Y9" s="245"/>
      <c r="AA9" s="258"/>
      <c r="AC9" s="257"/>
    </row>
    <row r="10" spans="2:29">
      <c r="B10" s="265"/>
      <c r="C10" s="214"/>
      <c r="D10" s="214" t="s">
        <v>455</v>
      </c>
      <c r="E10" s="212" t="s">
        <v>522</v>
      </c>
      <c r="F10" s="214"/>
      <c r="G10" s="220" t="s">
        <v>760</v>
      </c>
      <c r="H10" s="216" t="s">
        <v>787</v>
      </c>
      <c r="I10" s="221"/>
      <c r="K10" s="230"/>
      <c r="L10" s="360" t="s">
        <v>810</v>
      </c>
      <c r="N10" s="220"/>
      <c r="O10" s="220"/>
      <c r="P10" s="220"/>
      <c r="R10" s="238"/>
      <c r="T10" s="213"/>
      <c r="U10" s="213"/>
      <c r="V10" s="239"/>
      <c r="X10" s="247" t="s">
        <v>943</v>
      </c>
      <c r="Y10" s="248"/>
      <c r="AA10" s="258"/>
      <c r="AC10" s="257"/>
    </row>
    <row r="11" spans="2:29">
      <c r="B11" s="265"/>
      <c r="C11" s="214"/>
      <c r="D11" s="214" t="s">
        <v>456</v>
      </c>
      <c r="E11" s="212" t="s">
        <v>523</v>
      </c>
      <c r="F11" s="214"/>
      <c r="G11" s="212" t="s">
        <v>767</v>
      </c>
      <c r="H11" s="220" t="s">
        <v>779</v>
      </c>
      <c r="I11" s="221"/>
      <c r="K11" s="230"/>
      <c r="L11" s="360" t="s">
        <v>811</v>
      </c>
      <c r="M11" s="213"/>
      <c r="N11" s="220"/>
      <c r="O11" s="220"/>
      <c r="P11" s="220"/>
      <c r="R11" s="238"/>
      <c r="T11" s="213"/>
      <c r="U11" s="213"/>
      <c r="V11" s="239"/>
      <c r="X11" s="247" t="s">
        <v>457</v>
      </c>
      <c r="Y11" s="248"/>
      <c r="AA11" s="258"/>
      <c r="AC11" s="257"/>
    </row>
    <row r="12" spans="2:29">
      <c r="B12" s="266"/>
      <c r="C12" s="215"/>
      <c r="D12" s="215" t="s">
        <v>458</v>
      </c>
      <c r="E12" s="212" t="s">
        <v>524</v>
      </c>
      <c r="F12" s="215"/>
      <c r="G12" s="212" t="s">
        <v>758</v>
      </c>
      <c r="H12" s="212" t="s">
        <v>786</v>
      </c>
      <c r="I12" s="263"/>
      <c r="K12" s="230"/>
      <c r="L12" s="360" t="s">
        <v>812</v>
      </c>
      <c r="M12" s="213"/>
      <c r="N12" s="212"/>
      <c r="O12" s="212"/>
      <c r="P12" s="212"/>
      <c r="R12" s="240"/>
      <c r="T12" s="213"/>
      <c r="U12" s="213"/>
      <c r="V12" s="236"/>
      <c r="X12" s="249" t="s">
        <v>459</v>
      </c>
      <c r="Y12" s="245"/>
      <c r="AA12" s="258"/>
      <c r="AC12" s="257"/>
    </row>
    <row r="13" spans="2:29">
      <c r="B13" s="218"/>
      <c r="C13" s="212"/>
      <c r="D13" s="213" t="s">
        <v>460</v>
      </c>
      <c r="E13" s="212" t="s">
        <v>686</v>
      </c>
      <c r="F13" s="212"/>
      <c r="G13" s="212" t="s">
        <v>757</v>
      </c>
      <c r="H13" s="212" t="s">
        <v>783</v>
      </c>
      <c r="I13" s="221"/>
      <c r="K13" s="230"/>
      <c r="L13" s="360"/>
      <c r="N13" s="220"/>
      <c r="O13" s="220"/>
      <c r="P13" s="220"/>
      <c r="T13" s="213"/>
      <c r="U13" s="213"/>
      <c r="V13" s="239"/>
      <c r="X13" s="246" t="s">
        <v>461</v>
      </c>
      <c r="Y13" s="248"/>
      <c r="AA13" s="258"/>
      <c r="AC13" s="257"/>
    </row>
    <row r="14" spans="2:29">
      <c r="B14" s="218"/>
      <c r="C14" s="212"/>
      <c r="D14" s="213" t="s">
        <v>462</v>
      </c>
      <c r="E14" s="212" t="s">
        <v>514</v>
      </c>
      <c r="F14" s="212"/>
      <c r="G14" s="212" t="s">
        <v>765</v>
      </c>
      <c r="H14" s="212" t="s">
        <v>784</v>
      </c>
      <c r="I14" s="221"/>
      <c r="K14" s="230"/>
      <c r="L14" s="212"/>
      <c r="M14" s="212"/>
      <c r="N14" s="220"/>
      <c r="O14" s="220"/>
      <c r="P14" s="220"/>
      <c r="R14" s="235"/>
      <c r="T14" s="212"/>
      <c r="U14" s="212"/>
      <c r="V14" s="239"/>
      <c r="X14" s="250"/>
      <c r="Y14" s="248"/>
      <c r="AA14" s="258"/>
      <c r="AC14" s="257"/>
    </row>
    <row r="15" spans="2:29">
      <c r="B15" s="218"/>
      <c r="C15" s="212"/>
      <c r="D15" s="213" t="s">
        <v>463</v>
      </c>
      <c r="E15" s="212" t="s">
        <v>515</v>
      </c>
      <c r="F15" s="212"/>
      <c r="G15" s="216" t="s">
        <v>768</v>
      </c>
      <c r="H15" s="212" t="s">
        <v>788</v>
      </c>
      <c r="I15" s="221"/>
      <c r="K15" s="230"/>
      <c r="L15" s="212"/>
      <c r="M15" s="212"/>
      <c r="N15" s="220"/>
      <c r="O15" s="220"/>
      <c r="P15" s="220"/>
      <c r="R15" s="235"/>
      <c r="S15" s="212"/>
      <c r="T15" s="212"/>
      <c r="U15" s="212"/>
      <c r="V15" s="239"/>
      <c r="X15" s="250"/>
      <c r="Y15" s="248"/>
      <c r="AA15" s="258"/>
      <c r="AC15" s="257"/>
    </row>
    <row r="16" spans="2:29">
      <c r="B16" s="218"/>
      <c r="C16" s="212"/>
      <c r="D16" s="213" t="s">
        <v>313</v>
      </c>
      <c r="E16" s="212" t="s">
        <v>685</v>
      </c>
      <c r="F16" s="212"/>
      <c r="G16" s="212" t="s">
        <v>762</v>
      </c>
      <c r="H16" s="212" t="s">
        <v>785</v>
      </c>
      <c r="I16" s="221"/>
      <c r="K16" s="230"/>
      <c r="L16" s="212"/>
      <c r="M16" s="212"/>
      <c r="N16" s="220"/>
      <c r="O16" s="220"/>
      <c r="P16" s="220"/>
      <c r="R16" s="235"/>
      <c r="S16" s="212"/>
      <c r="T16" s="212"/>
      <c r="U16" s="212"/>
      <c r="V16" s="239"/>
      <c r="X16" s="250"/>
      <c r="Y16" s="248"/>
      <c r="AA16" s="258"/>
      <c r="AC16" s="257"/>
    </row>
    <row r="17" spans="2:29" ht="13.5" thickBot="1">
      <c r="B17" s="218"/>
      <c r="C17" s="212"/>
      <c r="D17" s="213" t="s">
        <v>464</v>
      </c>
      <c r="E17" s="212" t="s">
        <v>525</v>
      </c>
      <c r="F17" s="212"/>
      <c r="G17" s="220" t="s">
        <v>759</v>
      </c>
      <c r="H17" s="220" t="s">
        <v>778</v>
      </c>
      <c r="I17" s="221"/>
      <c r="K17" s="233"/>
      <c r="L17" s="234"/>
      <c r="M17" s="234"/>
      <c r="N17" s="234"/>
      <c r="R17" s="241"/>
      <c r="S17" s="242"/>
      <c r="T17" s="242"/>
      <c r="U17" s="242"/>
      <c r="V17" s="243"/>
      <c r="X17" s="251"/>
      <c r="Y17" s="252"/>
      <c r="AA17" s="259"/>
      <c r="AB17" s="260"/>
      <c r="AC17" s="261"/>
    </row>
    <row r="18" spans="2:29" ht="13.5" thickTop="1">
      <c r="B18" s="218"/>
      <c r="C18" s="212"/>
      <c r="D18" s="213" t="s">
        <v>465</v>
      </c>
      <c r="E18" s="212" t="s">
        <v>526</v>
      </c>
      <c r="F18" s="212"/>
      <c r="G18" s="212" t="s">
        <v>763</v>
      </c>
      <c r="H18" s="212" t="s">
        <v>782</v>
      </c>
      <c r="I18" s="263"/>
    </row>
    <row r="19" spans="2:29">
      <c r="B19" s="267"/>
      <c r="C19" s="216"/>
      <c r="D19" s="217" t="s">
        <v>466</v>
      </c>
      <c r="E19" s="212" t="s">
        <v>527</v>
      </c>
      <c r="F19" s="216"/>
      <c r="G19" s="212" t="s">
        <v>764</v>
      </c>
      <c r="H19" s="1" t="s">
        <v>777</v>
      </c>
      <c r="I19" s="263"/>
      <c r="R19" s="654" t="s">
        <v>1486</v>
      </c>
      <c r="S19" s="198" t="str">
        <f>IF(OR(入力フォームDA_Cloud!H113=中間データ共通・DACloud!V4,入力フォームDA_Cloud!H113=""),"m-FILTER @Cloud","m-FILTER @Cloud "&amp;入力フォームDA_Cloud!H113)</f>
        <v>m-FILTER @Cloud</v>
      </c>
    </row>
    <row r="20" spans="2:29">
      <c r="B20" s="267"/>
      <c r="C20" s="216"/>
      <c r="D20" s="217" t="s">
        <v>467</v>
      </c>
      <c r="E20" s="212" t="s">
        <v>528</v>
      </c>
      <c r="F20" s="216"/>
      <c r="G20" s="212" t="s">
        <v>766</v>
      </c>
      <c r="H20" s="212" t="s">
        <v>781</v>
      </c>
      <c r="I20" s="219"/>
      <c r="L20" s="212"/>
      <c r="R20" s="654" t="s">
        <v>1487</v>
      </c>
      <c r="S20" s="655" t="str">
        <f>IF(COUNTIF(S19,"*誤送信対策版*"),S19,S19&amp;" "&amp;入力フォームDA_Cloud!AQ113)</f>
        <v xml:space="preserve">m-FILTER @Cloud </v>
      </c>
    </row>
    <row r="21" spans="2:29">
      <c r="B21" s="218"/>
      <c r="C21" s="212"/>
      <c r="D21" s="213" t="s">
        <v>468</v>
      </c>
      <c r="E21" s="212" t="s">
        <v>529</v>
      </c>
      <c r="F21" s="212"/>
      <c r="G21" s="216" t="s">
        <v>769</v>
      </c>
      <c r="H21" s="358" t="s">
        <v>780</v>
      </c>
      <c r="I21" s="219"/>
      <c r="L21" s="212"/>
    </row>
    <row r="22" spans="2:29">
      <c r="B22" s="218"/>
      <c r="C22" s="212"/>
      <c r="D22" s="213" t="s">
        <v>469</v>
      </c>
      <c r="E22" s="212" t="s">
        <v>530</v>
      </c>
      <c r="F22" s="212"/>
      <c r="G22" s="212" t="s">
        <v>770</v>
      </c>
      <c r="H22" s="212" t="s">
        <v>776</v>
      </c>
      <c r="I22" s="219"/>
      <c r="L22" s="212"/>
      <c r="N22" s="192"/>
      <c r="O22" s="192"/>
      <c r="P22" s="192"/>
    </row>
    <row r="23" spans="2:29">
      <c r="B23" s="218"/>
      <c r="C23" s="212"/>
      <c r="D23" s="213" t="s">
        <v>470</v>
      </c>
      <c r="E23" s="212" t="s">
        <v>532</v>
      </c>
      <c r="F23" s="212"/>
      <c r="G23" s="212" t="s">
        <v>771</v>
      </c>
      <c r="I23" s="219"/>
      <c r="L23" s="212"/>
      <c r="N23" s="192"/>
      <c r="O23" s="192"/>
      <c r="P23" s="192"/>
    </row>
    <row r="24" spans="2:29">
      <c r="B24" s="218"/>
      <c r="C24" s="212"/>
      <c r="D24" s="213" t="s">
        <v>471</v>
      </c>
      <c r="E24" s="212" t="s">
        <v>533</v>
      </c>
      <c r="F24" s="212"/>
      <c r="G24" s="212" t="s">
        <v>772</v>
      </c>
      <c r="I24" s="219"/>
      <c r="L24" s="212"/>
      <c r="N24" s="192"/>
      <c r="O24" s="192"/>
      <c r="P24" s="192"/>
    </row>
    <row r="25" spans="2:29">
      <c r="B25" s="218"/>
      <c r="C25" s="212"/>
      <c r="D25" s="213" t="s">
        <v>472</v>
      </c>
      <c r="E25" s="212" t="s">
        <v>534</v>
      </c>
      <c r="F25" s="212"/>
      <c r="G25" s="212" t="s">
        <v>774</v>
      </c>
      <c r="I25" s="219"/>
      <c r="L25" s="212"/>
      <c r="N25" s="192"/>
      <c r="O25" s="192"/>
      <c r="P25" s="192"/>
    </row>
    <row r="26" spans="2:29">
      <c r="B26" s="218"/>
      <c r="C26" s="212"/>
      <c r="D26" s="213" t="s">
        <v>473</v>
      </c>
      <c r="E26" s="212" t="s">
        <v>535</v>
      </c>
      <c r="F26" s="212"/>
      <c r="G26" s="358" t="s">
        <v>761</v>
      </c>
      <c r="I26" s="219"/>
      <c r="L26" s="212"/>
      <c r="N26" s="192"/>
      <c r="O26" s="192"/>
      <c r="P26" s="192"/>
    </row>
    <row r="27" spans="2:29">
      <c r="B27" s="218"/>
      <c r="C27" s="212"/>
      <c r="D27" s="213" t="s">
        <v>474</v>
      </c>
      <c r="E27" s="212" t="s">
        <v>531</v>
      </c>
      <c r="F27" s="212"/>
      <c r="G27" s="212" t="s">
        <v>773</v>
      </c>
      <c r="I27" s="219"/>
      <c r="L27" s="212"/>
      <c r="N27" s="192"/>
      <c r="O27" s="192"/>
      <c r="P27" s="192"/>
    </row>
    <row r="28" spans="2:29">
      <c r="B28" s="218"/>
      <c r="C28" s="212"/>
      <c r="D28" s="213" t="s">
        <v>475</v>
      </c>
      <c r="E28" s="212" t="s">
        <v>513</v>
      </c>
      <c r="F28" s="212"/>
      <c r="I28" s="219"/>
      <c r="L28" s="212"/>
      <c r="N28" s="192"/>
      <c r="O28" s="192"/>
      <c r="P28" s="192"/>
    </row>
    <row r="29" spans="2:29">
      <c r="B29" s="218"/>
      <c r="C29" s="212"/>
      <c r="D29" s="213" t="s">
        <v>476</v>
      </c>
      <c r="E29" s="212" t="s">
        <v>684</v>
      </c>
      <c r="F29" s="212"/>
      <c r="I29" s="219"/>
      <c r="L29" s="212"/>
      <c r="N29" s="192"/>
      <c r="O29" s="192"/>
      <c r="P29" s="192"/>
    </row>
    <row r="30" spans="2:29">
      <c r="B30" s="218"/>
      <c r="C30" s="212"/>
      <c r="D30" s="213" t="s">
        <v>477</v>
      </c>
      <c r="E30" s="212" t="s">
        <v>536</v>
      </c>
      <c r="F30" s="212"/>
      <c r="I30" s="219"/>
      <c r="L30" s="212"/>
      <c r="N30" s="192"/>
      <c r="O30" s="192"/>
      <c r="P30" s="192"/>
    </row>
    <row r="31" spans="2:29">
      <c r="B31" s="218"/>
      <c r="C31" s="212"/>
      <c r="D31" s="213" t="s">
        <v>478</v>
      </c>
      <c r="E31" s="212" t="s">
        <v>537</v>
      </c>
      <c r="F31" s="212"/>
      <c r="I31" s="219"/>
      <c r="L31" s="212"/>
      <c r="N31" s="192"/>
      <c r="O31" s="192"/>
      <c r="P31" s="192"/>
    </row>
    <row r="32" spans="2:29">
      <c r="B32" s="218"/>
      <c r="C32" s="212"/>
      <c r="D32" s="213" t="s">
        <v>479</v>
      </c>
      <c r="E32" s="212" t="s">
        <v>538</v>
      </c>
      <c r="F32" s="212"/>
      <c r="I32" s="219"/>
      <c r="L32" s="212"/>
      <c r="N32" s="192"/>
      <c r="O32" s="192"/>
      <c r="P32" s="192"/>
    </row>
    <row r="33" spans="2:16">
      <c r="B33" s="218"/>
      <c r="C33" s="212"/>
      <c r="D33" s="213" t="s">
        <v>480</v>
      </c>
      <c r="E33" s="220" t="s">
        <v>539</v>
      </c>
      <c r="F33" s="212"/>
      <c r="I33" s="219"/>
      <c r="L33" s="212"/>
      <c r="N33" s="192"/>
      <c r="O33" s="192"/>
      <c r="P33" s="192"/>
    </row>
    <row r="34" spans="2:16">
      <c r="B34" s="218"/>
      <c r="C34" s="212"/>
      <c r="D34" s="213" t="s">
        <v>481</v>
      </c>
      <c r="E34" s="220" t="s">
        <v>540</v>
      </c>
      <c r="F34" s="212"/>
      <c r="I34" s="219"/>
      <c r="L34" s="212"/>
      <c r="N34" s="192"/>
      <c r="O34" s="192"/>
      <c r="P34" s="192"/>
    </row>
    <row r="35" spans="2:16">
      <c r="B35" s="218"/>
      <c r="C35" s="212"/>
      <c r="D35" s="213" t="s">
        <v>482</v>
      </c>
      <c r="E35" s="358" t="s">
        <v>541</v>
      </c>
      <c r="F35" s="212"/>
      <c r="I35" s="219"/>
      <c r="L35" s="212"/>
      <c r="N35" s="192"/>
      <c r="O35" s="192"/>
      <c r="P35" s="192"/>
    </row>
    <row r="36" spans="2:16">
      <c r="B36" s="218"/>
      <c r="C36" s="212"/>
      <c r="D36" s="213" t="s">
        <v>483</v>
      </c>
      <c r="E36" s="212" t="s">
        <v>542</v>
      </c>
      <c r="F36" s="212"/>
      <c r="I36" s="219"/>
      <c r="L36" s="212"/>
      <c r="N36" s="192"/>
      <c r="O36" s="192"/>
      <c r="P36" s="192"/>
    </row>
    <row r="37" spans="2:16">
      <c r="B37" s="218"/>
      <c r="C37" s="212"/>
      <c r="D37" s="213" t="s">
        <v>484</v>
      </c>
      <c r="E37" s="212" t="s">
        <v>543</v>
      </c>
      <c r="F37" s="212"/>
      <c r="I37" s="219"/>
      <c r="L37" s="212"/>
      <c r="N37" s="192"/>
      <c r="O37" s="192"/>
      <c r="P37" s="192"/>
    </row>
    <row r="38" spans="2:16">
      <c r="B38" s="218"/>
      <c r="C38" s="212"/>
      <c r="D38" s="213" t="s">
        <v>485</v>
      </c>
      <c r="E38" s="212" t="s">
        <v>544</v>
      </c>
      <c r="F38" s="212"/>
      <c r="I38" s="219"/>
      <c r="L38" s="212"/>
      <c r="N38" s="192"/>
      <c r="O38" s="192"/>
      <c r="P38" s="192"/>
    </row>
    <row r="39" spans="2:16">
      <c r="B39" s="218"/>
      <c r="C39" s="212"/>
      <c r="D39" s="213" t="s">
        <v>486</v>
      </c>
      <c r="E39" s="212" t="s">
        <v>545</v>
      </c>
      <c r="F39" s="212"/>
      <c r="I39" s="219"/>
      <c r="L39" s="212"/>
      <c r="N39" s="192"/>
      <c r="O39" s="192"/>
      <c r="P39" s="192"/>
    </row>
    <row r="40" spans="2:16">
      <c r="B40" s="218"/>
      <c r="C40" s="212"/>
      <c r="D40" s="213" t="s">
        <v>487</v>
      </c>
      <c r="E40" s="212" t="s">
        <v>546</v>
      </c>
      <c r="F40" s="212"/>
      <c r="I40" s="219"/>
      <c r="L40" s="212"/>
      <c r="N40" s="192"/>
      <c r="O40" s="192"/>
      <c r="P40" s="192"/>
    </row>
    <row r="41" spans="2:16">
      <c r="B41" s="218"/>
      <c r="C41" s="212"/>
      <c r="D41" s="213" t="s">
        <v>488</v>
      </c>
      <c r="E41" s="212" t="s">
        <v>547</v>
      </c>
      <c r="F41" s="212"/>
      <c r="I41" s="219"/>
      <c r="L41" s="212"/>
    </row>
    <row r="42" spans="2:16">
      <c r="B42" s="218"/>
      <c r="C42" s="212"/>
      <c r="D42" s="213" t="s">
        <v>489</v>
      </c>
      <c r="E42" s="216" t="s">
        <v>548</v>
      </c>
      <c r="F42" s="212"/>
      <c r="I42" s="219"/>
      <c r="L42" s="212"/>
    </row>
    <row r="43" spans="2:16">
      <c r="B43" s="218"/>
      <c r="C43" s="212"/>
      <c r="D43" s="213" t="s">
        <v>490</v>
      </c>
      <c r="E43" s="216" t="s">
        <v>549</v>
      </c>
      <c r="F43" s="212"/>
      <c r="I43" s="219"/>
      <c r="L43" s="212"/>
    </row>
    <row r="44" spans="2:16">
      <c r="B44" s="218"/>
      <c r="C44" s="212"/>
      <c r="D44" s="213" t="s">
        <v>491</v>
      </c>
      <c r="E44" s="212" t="s">
        <v>550</v>
      </c>
      <c r="F44" s="212"/>
      <c r="I44" s="219"/>
      <c r="L44" s="212"/>
    </row>
    <row r="45" spans="2:16">
      <c r="B45" s="218"/>
      <c r="C45" s="212"/>
      <c r="D45" s="213" t="s">
        <v>492</v>
      </c>
      <c r="E45" s="212" t="s">
        <v>551</v>
      </c>
      <c r="F45" s="212"/>
      <c r="I45" s="219"/>
      <c r="L45" s="212"/>
    </row>
    <row r="46" spans="2:16">
      <c r="B46" s="218"/>
      <c r="C46" s="212"/>
      <c r="D46" s="213" t="s">
        <v>493</v>
      </c>
      <c r="E46" s="212" t="s">
        <v>552</v>
      </c>
      <c r="F46" s="212"/>
      <c r="I46" s="219"/>
      <c r="L46" s="212"/>
    </row>
    <row r="47" spans="2:16">
      <c r="B47" s="218"/>
      <c r="C47" s="212"/>
      <c r="D47" s="213" t="s">
        <v>494</v>
      </c>
      <c r="E47" s="212" t="s">
        <v>553</v>
      </c>
      <c r="F47" s="212"/>
      <c r="I47" s="219"/>
      <c r="L47" s="212"/>
    </row>
    <row r="48" spans="2:16">
      <c r="B48" s="218"/>
      <c r="C48" s="212"/>
      <c r="D48" s="213" t="s">
        <v>495</v>
      </c>
      <c r="E48" s="212" t="s">
        <v>554</v>
      </c>
      <c r="F48" s="212"/>
      <c r="I48" s="219"/>
      <c r="L48" s="212"/>
    </row>
    <row r="49" spans="2:12">
      <c r="B49" s="218"/>
      <c r="C49" s="212"/>
      <c r="D49" s="213" t="s">
        <v>496</v>
      </c>
      <c r="F49" s="212"/>
      <c r="I49" s="219"/>
      <c r="L49" s="220"/>
    </row>
    <row r="50" spans="2:12">
      <c r="B50" s="218"/>
      <c r="C50" s="212"/>
      <c r="D50" s="213" t="s">
        <v>497</v>
      </c>
      <c r="F50" s="212"/>
      <c r="I50" s="219"/>
      <c r="L50" s="220"/>
    </row>
  </sheetData>
  <mergeCells count="5">
    <mergeCell ref="R2:V2"/>
    <mergeCell ref="X2:Y2"/>
    <mergeCell ref="AA2:AC2"/>
    <mergeCell ref="B2:I2"/>
    <mergeCell ref="K2:P2"/>
  </mergeCells>
  <phoneticPr fontId="68"/>
  <printOptions horizontalCentered="1"/>
  <pageMargins left="0.11811023622047245" right="0.11811023622047245" top="0.39370078740157483" bottom="0.19685039370078741" header="0.11811023622047245" footer="0.11811023622047245"/>
  <pageSetup paperSize="9" scale="98" orientation="landscape" horizontalDpi="300" verticalDpi="300" r:id="rId1"/>
  <headerFooter>
    <oddFooter>&amp;LDigital Arts Inc.&amp;C&amp;P ページ&amp;R&amp;D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CA57"/>
  <sheetViews>
    <sheetView workbookViewId="0">
      <selection activeCell="Y9" sqref="Y9"/>
    </sheetView>
  </sheetViews>
  <sheetFormatPr defaultColWidth="9" defaultRowHeight="13" outlineLevelCol="2"/>
  <cols>
    <col min="1" max="1" width="1.26953125" style="198" customWidth="1"/>
    <col min="2" max="2" width="8.6328125" style="198" hidden="1" customWidth="1" outlineLevel="1"/>
    <col min="3" max="3" width="4.26953125" style="198" hidden="1" customWidth="1" outlineLevel="1"/>
    <col min="4" max="4" width="7" style="198" hidden="1" customWidth="1" outlineLevel="1"/>
    <col min="5" max="5" width="7" style="212" hidden="1" customWidth="1" outlineLevel="1"/>
    <col min="6" max="6" width="7" style="198" hidden="1" customWidth="1" outlineLevel="1"/>
    <col min="7" max="8" width="11" style="212" hidden="1" customWidth="1" outlineLevel="1"/>
    <col min="9" max="9" width="3.90625" style="198" hidden="1" customWidth="1" outlineLevel="1"/>
    <col min="10" max="10" width="1.08984375" style="198" customWidth="1" collapsed="1"/>
    <col min="11" max="11" width="1.08984375" style="198" customWidth="1"/>
    <col min="12" max="12" width="11.453125" style="198" hidden="1" customWidth="1" outlineLevel="1"/>
    <col min="13" max="13" width="9" style="198" hidden="1" customWidth="1" outlineLevel="1"/>
    <col min="14" max="14" width="11.90625" style="198" hidden="1" customWidth="1" outlineLevel="1"/>
    <col min="15" max="15" width="9.36328125" style="198" hidden="1" customWidth="1" outlineLevel="1"/>
    <col min="16" max="16" width="6" style="198" hidden="1" customWidth="1" outlineLevel="1"/>
    <col min="17" max="17" width="9" style="198" collapsed="1"/>
    <col min="18" max="18" width="20" style="198" customWidth="1" outlineLevel="1"/>
    <col min="19" max="19" width="11.453125" style="198" customWidth="1" outlineLevel="1"/>
    <col min="20" max="20" width="12.453125" style="198" bestFit="1" customWidth="1" outlineLevel="1"/>
    <col min="21" max="23" width="9" style="198" customWidth="1" outlineLevel="1"/>
    <col min="24" max="24" width="17.90625" style="198" customWidth="1" outlineLevel="1"/>
    <col min="25" max="25" width="13.54296875" style="198" bestFit="1" customWidth="1" outlineLevel="1"/>
    <col min="26" max="26" width="9" style="198"/>
    <col min="27" max="27" width="29.90625" style="198" customWidth="1" outlineLevel="2"/>
    <col min="28" max="28" width="23.453125" style="198" customWidth="1" outlineLevel="2"/>
    <col min="29" max="29" width="12.6328125" style="198" customWidth="1" outlineLevel="2"/>
    <col min="30" max="30" width="14.6328125" style="198" customWidth="1" outlineLevel="2"/>
    <col min="31" max="31" width="10.7265625" style="198" customWidth="1" outlineLevel="2"/>
    <col min="32" max="32" width="14.26953125" style="198" customWidth="1" outlineLevel="2"/>
    <col min="33" max="33" width="18.453125" style="198" customWidth="1" outlineLevel="2"/>
    <col min="34" max="34" width="23.453125" style="198" customWidth="1" outlineLevel="2"/>
    <col min="35" max="35" width="14" style="198" customWidth="1" outlineLevel="2"/>
    <col min="36" max="79" width="9" style="198" customWidth="1" outlineLevel="2"/>
    <col min="80" max="16384" width="9" style="198"/>
  </cols>
  <sheetData>
    <row r="1" spans="2:79" ht="13.5" thickBot="1"/>
    <row r="2" spans="2:79" ht="13.5" thickTop="1">
      <c r="B2" s="4664" t="s">
        <v>416</v>
      </c>
      <c r="C2" s="4665"/>
      <c r="D2" s="4665"/>
      <c r="E2" s="4665"/>
      <c r="F2" s="4665"/>
      <c r="G2" s="4665"/>
      <c r="H2" s="4665"/>
      <c r="I2" s="4666"/>
      <c r="L2" s="4661" t="s">
        <v>1312</v>
      </c>
      <c r="M2" s="4662"/>
      <c r="N2" s="4662"/>
      <c r="O2" s="587"/>
      <c r="P2" s="587"/>
      <c r="R2" s="4669" t="s">
        <v>1524</v>
      </c>
      <c r="S2" s="4669"/>
      <c r="T2" s="4669"/>
      <c r="U2" s="4669"/>
      <c r="V2" s="4669"/>
      <c r="W2" s="4669"/>
      <c r="X2" s="4669"/>
      <c r="Y2" s="4669"/>
      <c r="AA2" s="629" t="s">
        <v>1358</v>
      </c>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630"/>
      <c r="BW2" s="630"/>
      <c r="BX2" s="630"/>
      <c r="BY2" s="630"/>
      <c r="BZ2" s="630"/>
      <c r="CA2" s="630"/>
    </row>
    <row r="3" spans="2:79">
      <c r="B3" s="218" t="s">
        <v>253</v>
      </c>
      <c r="C3" s="212" t="s">
        <v>421</v>
      </c>
      <c r="D3" s="262" t="s">
        <v>422</v>
      </c>
      <c r="E3" s="212" t="s">
        <v>512</v>
      </c>
      <c r="F3" s="262" t="s">
        <v>423</v>
      </c>
      <c r="G3" s="212" t="s">
        <v>790</v>
      </c>
      <c r="H3" s="212" t="s">
        <v>789</v>
      </c>
      <c r="I3" s="263"/>
      <c r="L3" s="646" t="s">
        <v>1328</v>
      </c>
      <c r="M3" s="647" t="s">
        <v>426</v>
      </c>
      <c r="N3" s="647" t="s">
        <v>430</v>
      </c>
      <c r="O3" s="647" t="s">
        <v>1282</v>
      </c>
      <c r="P3" s="647" t="s">
        <v>1283</v>
      </c>
      <c r="R3" s="669" t="s">
        <v>1486</v>
      </c>
      <c r="S3" s="669" t="s">
        <v>1528</v>
      </c>
      <c r="U3" s="669" t="s">
        <v>1582</v>
      </c>
      <c r="V3" s="673" t="s">
        <v>1551</v>
      </c>
      <c r="W3" s="586" t="s">
        <v>1299</v>
      </c>
      <c r="X3" s="586" t="s">
        <v>1329</v>
      </c>
      <c r="AA3" t="s">
        <v>1384</v>
      </c>
      <c r="AB3"/>
      <c r="AC3"/>
      <c r="AD3"/>
      <c r="AE3"/>
      <c r="AF3"/>
      <c r="AG3"/>
      <c r="AH3"/>
      <c r="AI3"/>
    </row>
    <row r="4" spans="2:79">
      <c r="B4" s="264" t="s">
        <v>79</v>
      </c>
      <c r="C4" s="213" t="s">
        <v>431</v>
      </c>
      <c r="D4" s="213" t="s">
        <v>432</v>
      </c>
      <c r="E4" s="212" t="s">
        <v>516</v>
      </c>
      <c r="F4" s="213" t="s">
        <v>433</v>
      </c>
      <c r="G4" s="212" t="s">
        <v>791</v>
      </c>
      <c r="H4" s="212" t="s">
        <v>791</v>
      </c>
      <c r="I4" s="263"/>
      <c r="L4" s="255" t="s">
        <v>157</v>
      </c>
      <c r="M4" s="213" t="s">
        <v>1314</v>
      </c>
      <c r="N4" s="262">
        <v>0</v>
      </c>
      <c r="O4" s="586" t="s">
        <v>1280</v>
      </c>
      <c r="P4" s="586" t="s">
        <v>1280</v>
      </c>
      <c r="R4" s="698" t="s">
        <v>1595</v>
      </c>
      <c r="S4" s="246" t="s">
        <v>157</v>
      </c>
      <c r="T4" s="246" t="s">
        <v>157</v>
      </c>
      <c r="U4" t="s">
        <v>1584</v>
      </c>
      <c r="V4" t="s">
        <v>1496</v>
      </c>
      <c r="W4" s="586" t="s">
        <v>1316</v>
      </c>
      <c r="X4" s="586" t="s">
        <v>1330</v>
      </c>
      <c r="Y4" s="198" t="str">
        <f>TEXT(IF('入力フォーム_Z-FILTER'!N94*'入力フォーム_Z-FILTER'!N94=0,"",('入力フォーム_Z-FILTER'!N94+2000)&amp;"/"&amp;'入力フォーム_Z-FILTER'!U94&amp;"/"&amp;'入力フォーム_Z-FILTER'!AB94),"yyyy/mm/dd")</f>
        <v/>
      </c>
      <c r="AA4" s="615"/>
      <c r="AB4" s="638" t="s">
        <v>1424</v>
      </c>
      <c r="AC4" s="623" t="s">
        <v>1374</v>
      </c>
      <c r="AD4" s="623" t="s">
        <v>1375</v>
      </c>
      <c r="AE4" s="623" t="s">
        <v>1376</v>
      </c>
      <c r="AF4" s="623" t="s">
        <v>1377</v>
      </c>
      <c r="AG4" s="623" t="s">
        <v>1381</v>
      </c>
      <c r="AH4" s="623" t="s">
        <v>1382</v>
      </c>
      <c r="AI4" s="623" t="s">
        <v>1338</v>
      </c>
      <c r="AJ4" s="623" t="s">
        <v>1404</v>
      </c>
      <c r="AK4" s="623" t="s">
        <v>1405</v>
      </c>
    </row>
    <row r="5" spans="2:79">
      <c r="B5" s="264" t="s">
        <v>437</v>
      </c>
      <c r="C5" s="213" t="s">
        <v>438</v>
      </c>
      <c r="D5" s="213" t="s">
        <v>439</v>
      </c>
      <c r="E5" s="212" t="s">
        <v>517</v>
      </c>
      <c r="F5" s="213" t="s">
        <v>440</v>
      </c>
      <c r="G5" s="212" t="s">
        <v>753</v>
      </c>
      <c r="H5" s="212" t="s">
        <v>753</v>
      </c>
      <c r="I5" s="263"/>
      <c r="L5" s="255" t="s">
        <v>156</v>
      </c>
      <c r="M5" s="213" t="s">
        <v>1315</v>
      </c>
      <c r="N5" s="262">
        <v>9999</v>
      </c>
      <c r="O5" s="586" t="s">
        <v>1281</v>
      </c>
      <c r="P5" s="586" t="s">
        <v>1281</v>
      </c>
      <c r="R5" s="669" t="s">
        <v>1525</v>
      </c>
      <c r="S5" s="246" t="s">
        <v>156</v>
      </c>
      <c r="T5" s="246" t="s">
        <v>156</v>
      </c>
      <c r="U5" t="s">
        <v>1585</v>
      </c>
      <c r="V5" t="s">
        <v>1495</v>
      </c>
      <c r="W5" s="198">
        <v>1</v>
      </c>
      <c r="X5" s="586" t="s">
        <v>1331</v>
      </c>
      <c r="Y5" s="198">
        <v>3</v>
      </c>
      <c r="AA5" s="580"/>
      <c r="AB5" s="639"/>
      <c r="AC5" s="635" t="s">
        <v>946</v>
      </c>
      <c r="AD5" s="580" t="s">
        <v>1366</v>
      </c>
      <c r="AE5" s="580" t="s">
        <v>1383</v>
      </c>
      <c r="AF5" s="580" t="s">
        <v>670</v>
      </c>
      <c r="AG5" s="580" t="s">
        <v>1389</v>
      </c>
      <c r="AH5" s="580" t="s">
        <v>1096</v>
      </c>
      <c r="AI5" s="580" t="s">
        <v>1206</v>
      </c>
      <c r="AJ5" s="580" t="s">
        <v>1372</v>
      </c>
      <c r="AK5" s="580" t="s">
        <v>1373</v>
      </c>
    </row>
    <row r="6" spans="2:79">
      <c r="B6" s="264"/>
      <c r="C6" s="213"/>
      <c r="D6" s="213" t="s">
        <v>442</v>
      </c>
      <c r="E6" s="212" t="s">
        <v>518</v>
      </c>
      <c r="F6" s="213" t="s">
        <v>443</v>
      </c>
      <c r="G6" s="212" t="s">
        <v>775</v>
      </c>
      <c r="H6" s="216" t="s">
        <v>775</v>
      </c>
      <c r="I6" s="263"/>
      <c r="L6" s="255" t="s">
        <v>158</v>
      </c>
      <c r="M6" s="213"/>
      <c r="R6" s="669" t="s">
        <v>1526</v>
      </c>
      <c r="S6" s="246" t="s">
        <v>158</v>
      </c>
      <c r="T6" s="246" t="s">
        <v>158</v>
      </c>
      <c r="U6" t="s">
        <v>1316</v>
      </c>
      <c r="V6" t="s">
        <v>1494</v>
      </c>
      <c r="W6" s="198">
        <v>2</v>
      </c>
      <c r="X6" s="586" t="s">
        <v>1333</v>
      </c>
      <c r="Y6" s="610">
        <f>入力フォーム_Desk!BS101</f>
        <v>0</v>
      </c>
      <c r="AA6" s="580" t="s">
        <v>1385</v>
      </c>
      <c r="AB6" s="639" t="str">
        <f>IF(OR(入力フォームDA_Cloud!N96="有（f-FILTER保有シリアルあり）"),"有","無")</f>
        <v>無</v>
      </c>
      <c r="AC6" s="636" t="str">
        <f>IF(NOT(OR(入力フォームDA_Cloud!N96="無",入力フォームDA_Cloud!N96="")),"有","無")</f>
        <v>無</v>
      </c>
      <c r="AD6" s="580">
        <v>999999</v>
      </c>
      <c r="AE6" s="580" t="str">
        <f>IF(NOT(OR(入力フォームDA_Cloud!N96="無",入力フォームDA_Cloud!N96="")),TEXT(IF(入力フォームDA_Cloud!N90*入力フォームDA_Cloud!U90=0,"",(入力フォームDA_Cloud!N90+2000)&amp;"/"&amp;入力フォームDA_Cloud!U90&amp;"/"&amp;入力フォームDA_Cloud!AB90),"yyyy-mm-dd"),"")</f>
        <v/>
      </c>
      <c r="AF6" s="580" t="str">
        <f>IF(NOT(OR(入力フォームDA_Cloud!N96="無",入力フォームDA_Cloud!N96="")),LEFT(入力フォームDA_Cloud!DG87,1),"")</f>
        <v/>
      </c>
      <c r="AG6" s="624" t="str">
        <f>IF(入力フォームDA_Cloud!N96="有（f-FILTER保有・有・製品版）",入力フォームDA_Cloud!AI96,"")</f>
        <v/>
      </c>
      <c r="AH6" s="624" t="str">
        <f>IF(入力フォームDA_Cloud!N96="有（f-FILTER保有・有・試用版）",入力フォームDA_Cloud!AI96,"")</f>
        <v/>
      </c>
      <c r="AI6" s="624"/>
      <c r="AJ6" s="624" t="str">
        <f>IF(入力フォームDA_Cloud!BZ87&lt;&gt;"",入力フォームDA_Cloud!BZ87,"")</f>
        <v/>
      </c>
      <c r="AK6" s="633"/>
    </row>
    <row r="7" spans="2:79">
      <c r="B7" s="264"/>
      <c r="C7" s="213"/>
      <c r="D7" s="213" t="s">
        <v>447</v>
      </c>
      <c r="E7" s="212" t="s">
        <v>519</v>
      </c>
      <c r="F7" s="213" t="s">
        <v>448</v>
      </c>
      <c r="G7" s="212" t="s">
        <v>754</v>
      </c>
      <c r="H7" s="1" t="s">
        <v>754</v>
      </c>
      <c r="I7" s="263"/>
      <c r="L7" s="255" t="s">
        <v>106</v>
      </c>
      <c r="M7" s="506"/>
      <c r="R7" s="669" t="s">
        <v>1527</v>
      </c>
      <c r="S7" s="246" t="s">
        <v>106</v>
      </c>
      <c r="T7" s="246" t="s">
        <v>106</v>
      </c>
      <c r="V7" t="s">
        <v>1316</v>
      </c>
      <c r="W7" s="198">
        <v>3</v>
      </c>
      <c r="X7" s="586" t="s">
        <v>1332</v>
      </c>
      <c r="Y7" s="198">
        <f>IF(OR(Y6="",Y6="無"),0,Y6)</f>
        <v>0</v>
      </c>
      <c r="AA7" s="580" t="s">
        <v>1386</v>
      </c>
      <c r="AB7" s="639" t="str">
        <f>IF(OR(入力フォームDA_Cloud!M125="有（f-FILTER保有シリアルあり）"),"有","無")</f>
        <v>無</v>
      </c>
      <c r="AC7" s="636" t="str">
        <f>IF(NOT(OR(入力フォームDA_Cloud!M125="無",入力フォームDA_Cloud!M125="")),"有","無")</f>
        <v>無</v>
      </c>
      <c r="AD7" s="580">
        <v>999999</v>
      </c>
      <c r="AE7" s="580" t="str">
        <f>IF(NOT(OR(入力フォームDA_Cloud!M125="無",入力フォームDA_Cloud!M125="")),TEXT(IF(入力フォームDA_Cloud!N116*入力フォームDA_Cloud!U116=0,"",(入力フォームDA_Cloud!N116+2000)&amp;"/"&amp;入力フォームDA_Cloud!U116&amp;"/"&amp;入力フォームDA_Cloud!AB116),"yyyy-mm-dd"),"")</f>
        <v/>
      </c>
      <c r="AF7" s="580" t="str">
        <f>IF(NOT(OR(入力フォームDA_Cloud!M125="無",入力フォームDA_Cloud!M125="")),LEFT(入力フォームDA_Cloud!DH113,1),"")</f>
        <v/>
      </c>
      <c r="AG7" s="624" t="str">
        <f>IF(入力フォームDA_Cloud!M125="有（f-FILTER保有・有・製品版）",入力フォームDA_Cloud!AJ125,"")</f>
        <v/>
      </c>
      <c r="AH7" s="624" t="str">
        <f>IF(入力フォームDA_Cloud!M125="有（f-FILTER保有・有・試用版）",入力フォームDA_Cloud!AJ125,"")</f>
        <v/>
      </c>
      <c r="AI7" s="624"/>
      <c r="AJ7" s="633"/>
      <c r="AK7" s="624" t="str">
        <f>IF(入力フォームDA_Cloud!CC113&lt;&gt;"",入力フォームDA_Cloud!CC113,"")</f>
        <v/>
      </c>
    </row>
    <row r="8" spans="2:79">
      <c r="B8" s="264"/>
      <c r="C8" s="213"/>
      <c r="D8" s="213" t="s">
        <v>449</v>
      </c>
      <c r="E8" s="212" t="s">
        <v>520</v>
      </c>
      <c r="F8" s="213" t="s">
        <v>450</v>
      </c>
      <c r="G8" s="212" t="s">
        <v>755</v>
      </c>
      <c r="H8" s="1" t="s">
        <v>755</v>
      </c>
      <c r="I8" s="263"/>
      <c r="L8" s="255" t="s">
        <v>159</v>
      </c>
      <c r="M8" s="213"/>
      <c r="S8" s="247" t="s">
        <v>159</v>
      </c>
      <c r="T8" s="247" t="s">
        <v>159</v>
      </c>
      <c r="W8" s="198">
        <v>4</v>
      </c>
      <c r="X8" s="586" t="s">
        <v>1334</v>
      </c>
      <c r="Y8" s="198">
        <f>Y7+Y5</f>
        <v>3</v>
      </c>
      <c r="AA8" s="640"/>
      <c r="AB8" s="639"/>
    </row>
    <row r="9" spans="2:79">
      <c r="B9" s="264"/>
      <c r="C9" s="213"/>
      <c r="D9" s="213" t="s">
        <v>453</v>
      </c>
      <c r="E9" s="212" t="s">
        <v>521</v>
      </c>
      <c r="F9" s="213"/>
      <c r="G9" s="212" t="s">
        <v>756</v>
      </c>
      <c r="H9" s="1" t="s">
        <v>756</v>
      </c>
      <c r="I9" s="263"/>
      <c r="L9" s="258"/>
      <c r="M9" s="213"/>
      <c r="S9" s="247" t="s">
        <v>454</v>
      </c>
      <c r="T9" s="247"/>
      <c r="W9" s="198">
        <v>5</v>
      </c>
      <c r="X9" s="586" t="s">
        <v>1335</v>
      </c>
      <c r="Y9" s="611" t="e">
        <f>DATE(YEAR(Y4),MONTH(Y4)+Y8,DAY(Y4))-1</f>
        <v>#VALUE!</v>
      </c>
      <c r="AA9" s="580"/>
      <c r="AB9" s="639"/>
      <c r="AC9" s="635"/>
      <c r="AD9" s="580"/>
      <c r="AE9" s="580"/>
      <c r="AF9" s="580"/>
      <c r="AG9" s="580"/>
      <c r="AH9" s="580"/>
      <c r="AI9" s="580"/>
      <c r="AJ9" s="580"/>
      <c r="AK9" s="580"/>
    </row>
    <row r="10" spans="2:79" ht="15">
      <c r="B10" s="265"/>
      <c r="C10" s="214"/>
      <c r="D10" s="214" t="s">
        <v>455</v>
      </c>
      <c r="E10" s="212" t="s">
        <v>522</v>
      </c>
      <c r="F10" s="214"/>
      <c r="G10" s="220" t="s">
        <v>760</v>
      </c>
      <c r="H10" s="216" t="s">
        <v>787</v>
      </c>
      <c r="I10" s="221"/>
      <c r="L10" s="258"/>
      <c r="M10" s="213"/>
      <c r="S10" s="247" t="s">
        <v>943</v>
      </c>
      <c r="T10" s="247"/>
      <c r="W10" s="198">
        <v>6</v>
      </c>
      <c r="X10" s="596" t="s">
        <v>1336</v>
      </c>
      <c r="Y10" s="198" t="str">
        <f>IF(Y8=12,1,"")</f>
        <v/>
      </c>
      <c r="AA10" s="625" t="s">
        <v>1402</v>
      </c>
      <c r="AB10" s="639"/>
      <c r="AC10" s="637">
        <f>VLOOKUP(AB23,AA19:AB22,2,FALSE)</f>
        <v>0</v>
      </c>
      <c r="AD10" s="625" t="str">
        <f>IF(OR(AC6="有",AC7="有"),999999,"")</f>
        <v/>
      </c>
      <c r="AE10" s="625" t="str">
        <f>IF(AE6&gt;=AE7,AE6,IF(AE7&gt;=AE6,AE7,""))</f>
        <v/>
      </c>
      <c r="AF10" s="625" t="str">
        <f>IF(AF6&gt;=AF7,AF6,IF(AF7&gt;=AF6,AF7,""))</f>
        <v/>
      </c>
      <c r="AG10" s="625" t="str">
        <f>IF(AG6&lt;&gt;"",AG6,AG7)</f>
        <v/>
      </c>
      <c r="AH10" s="625" t="str">
        <f>IF(AH6&lt;&gt;"",AH6,AH7)</f>
        <v/>
      </c>
      <c r="AI10" s="625" t="str">
        <f>IF(入力フォームDA_Cloud!M71="無",入力フォームDA_Cloud!M74,"")</f>
        <v/>
      </c>
      <c r="AJ10" s="625" t="str">
        <f>AJ6</f>
        <v/>
      </c>
      <c r="AK10" s="625" t="str">
        <f>AK7</f>
        <v/>
      </c>
    </row>
    <row r="11" spans="2:79" ht="15">
      <c r="B11" s="265"/>
      <c r="C11" s="214"/>
      <c r="D11" s="214" t="s">
        <v>456</v>
      </c>
      <c r="E11" s="212" t="s">
        <v>523</v>
      </c>
      <c r="F11" s="214"/>
      <c r="G11" s="212" t="s">
        <v>767</v>
      </c>
      <c r="H11" s="220" t="s">
        <v>779</v>
      </c>
      <c r="I11" s="221"/>
      <c r="L11" s="258"/>
      <c r="S11" s="247" t="s">
        <v>457</v>
      </c>
      <c r="T11" s="247"/>
      <c r="W11" s="198">
        <v>7</v>
      </c>
      <c r="X11" s="596" t="s">
        <v>1337</v>
      </c>
      <c r="Y11" s="198">
        <f>IF(Y8=12,"",Y8)</f>
        <v>3</v>
      </c>
      <c r="AA11" s="580" t="s">
        <v>1387</v>
      </c>
      <c r="AB11" s="639" t="str">
        <f>IF(OR(入力フォームiF・mF・FC・iFBC・MA!W79="有（f-FILTER保有シリアルあり）"),"有","無")</f>
        <v>無</v>
      </c>
      <c r="AC11" s="636" t="str">
        <f>IF(NOT(OR(入力フォームiF・mF・FC・iFBC・MA!W79="無",入力フォームiF・mF・FC・iFBC・MA!W79="")),"有","無")</f>
        <v>無</v>
      </c>
      <c r="AD11" s="580">
        <v>999999</v>
      </c>
      <c r="AE11" s="580" t="str">
        <f>IF(NOT(OR(入力フォームiF・mF・FC・iFBC・MA!W79="無",入力フォームiF・mF・FC・iFBC・MA!W79="")),TEXT(IF(入力フォームiF・mF・FC・iFBC・MA!CF72*入力フォームiF・mF・FC・iFBC・MA!CJ72=0,"",(入力フォームiF・mF・FC・iFBC・MA!CF72+2000)&amp;"/"&amp;入力フォームiF・mF・FC・iFBC・MA!CJ72&amp;"/"&amp;1),"yyyy-mm-dd"),"")</f>
        <v/>
      </c>
      <c r="AF11" s="580" t="str">
        <f>IF(NOT(OR(入力フォームiF・mF・FC・iFBC・MA!W79="無",入力フォームiF・mF・FC・iFBC・MA!W79="")),LEFT(入力フォームiF・mF・FC・iFBC・MA!BU72,1),"")</f>
        <v/>
      </c>
      <c r="AG11" s="580" t="str">
        <f>IF(入力フォームiF・mF・FC・iFBC・MA!W79="有（f-FILTER保有シリアルあり）",入力フォームiF・mF・FC・iFBC・MA!AV79,"")</f>
        <v/>
      </c>
      <c r="AH11" s="580" t="str">
        <f>IF(入力フォームiF・mF・FC・iFBC・MA!W79="有（f-FILTER試用版シリアルあり）",入力フォームiF・mF・FC・iFBC・MA!AV79,"")</f>
        <v/>
      </c>
      <c r="AI11" s="580" t="str">
        <f>IF(入力フォームiF・mF・FC・iFBC・MA!W79="有（f-FILTERシリアルなし）",入力フォームiF・mF・FC・iFBC・MA!CD79,"")</f>
        <v/>
      </c>
      <c r="AJ11" s="580" t="str">
        <f>IF(入力フォームiF・mF・FC・iFBC・MA!CT72&lt;&gt;"",入力フォームiF・mF・FC・iFBC・MA!CT72,"")</f>
        <v/>
      </c>
      <c r="AK11" s="633"/>
    </row>
    <row r="12" spans="2:79">
      <c r="B12" s="266"/>
      <c r="C12" s="215"/>
      <c r="D12" s="215" t="s">
        <v>458</v>
      </c>
      <c r="E12" s="212" t="s">
        <v>524</v>
      </c>
      <c r="F12" s="215"/>
      <c r="G12" s="212" t="s">
        <v>758</v>
      </c>
      <c r="H12" s="212" t="s">
        <v>786</v>
      </c>
      <c r="I12" s="263"/>
      <c r="L12" s="258"/>
      <c r="S12" s="249" t="s">
        <v>459</v>
      </c>
      <c r="T12" s="249"/>
      <c r="W12" s="198">
        <v>8</v>
      </c>
      <c r="X12" s="699" t="s">
        <v>1600</v>
      </c>
      <c r="Y12" s="700" t="str">
        <f>TEXT(IF('入力フォーム_Z-FILTER'!DA94*'入力フォーム_Z-FILTER'!DA94=0,"",('入力フォーム_Z-FILTER'!DA94+2000)&amp;"/"&amp;'入力フォーム_Z-FILTER'!DE94&amp;"/"&amp;'入力フォーム_Z-FILTER'!DI94),"yyyy/mm/dd")</f>
        <v/>
      </c>
      <c r="AA12" s="580" t="s">
        <v>1388</v>
      </c>
      <c r="AB12" s="639" t="str">
        <f>IF(OR(入力フォームiF・mF・FC・iFBC・MA!O103="有（f-FILTER保有シリアルあり）"),"有","無")</f>
        <v>無</v>
      </c>
      <c r="AC12" s="636" t="str">
        <f>IF(NOT(OR(入力フォームiF・mF・FC・iFBC・MA!O103="無",入力フォームiF・mF・FC・iFBC・MA!O103="")),"有","無")</f>
        <v>無</v>
      </c>
      <c r="AD12" s="580">
        <v>999999</v>
      </c>
      <c r="AE12" s="580" t="str">
        <f>IF(NOT(OR(入力フォームiF・mF・FC・iFBC・MA!O103="無",入力フォームiF・mF・FC・iFBC・MA!O103="")),TEXT(IF(入力フォームiF・mF・FC・iFBC・MA!CF90*入力フォームiF・mF・FC・iFBC・MA!CJ90=0,"",(入力フォームiF・mF・FC・iFBC・MA!CF90+2000)&amp;"/"&amp;入力フォームiF・mF・FC・iFBC・MA!CJ90&amp;"/"&amp;1),"yyyy-mm-dd"),"")</f>
        <v/>
      </c>
      <c r="AF12" s="580" t="str">
        <f>IF(NOT(OR(入力フォームiF・mF・FC・iFBC・MA!O103="無",入力フォームiF・mF・FC・iFBC・MA!O103="")),LEFT(入力フォームiF・mF・FC・iFBC・MA!BU90,1),"")</f>
        <v/>
      </c>
      <c r="AG12" s="580" t="str">
        <f>IF(入力フォームiF・mF・FC・iFBC・MA!O103="有（f-FILTER保有シリアルあり）",入力フォームiF・mF・FC・iFBC・MA!AR103,"")</f>
        <v/>
      </c>
      <c r="AH12" s="580" t="str">
        <f>IF(入力フォームiF・mF・FC・iFBC・MA!O103="有（f-FILTER試用版シリアルあり）",入力フォームiF・mF・FC・iFBC・MA!AR103,"")</f>
        <v/>
      </c>
      <c r="AI12" s="580" t="str">
        <f>IF(入力フォームiF・mF・FC・iFBC・MA!O103="有（f-FILTERシリアルなし）",入力フォームiF・mF・FC・iFBC・MA!CI103,"")</f>
        <v/>
      </c>
      <c r="AJ12" s="633"/>
      <c r="AK12" s="580" t="str">
        <f>IF(入力フォームiF・mF・FC・iFBC・MA!CT90&lt;&gt;"",入力フォームiF・mF・FC・iFBC・MA!CT90,"")</f>
        <v/>
      </c>
    </row>
    <row r="13" spans="2:79">
      <c r="B13" s="218"/>
      <c r="C13" s="212"/>
      <c r="D13" s="213" t="s">
        <v>460</v>
      </c>
      <c r="E13" s="212" t="s">
        <v>686</v>
      </c>
      <c r="F13" s="212"/>
      <c r="G13" s="212" t="s">
        <v>757</v>
      </c>
      <c r="H13" s="212" t="s">
        <v>783</v>
      </c>
      <c r="I13" s="221"/>
      <c r="L13" s="258"/>
      <c r="S13" s="246" t="s">
        <v>461</v>
      </c>
      <c r="T13" s="246"/>
      <c r="W13" s="198">
        <v>9</v>
      </c>
      <c r="X13" s="586"/>
      <c r="AA13" s="625" t="s">
        <v>1403</v>
      </c>
      <c r="AB13" s="640" t="s">
        <v>1423</v>
      </c>
      <c r="AC13" s="637">
        <f>VLOOKUP(AB30,AA26:AB29,2,FALSE)</f>
        <v>0</v>
      </c>
      <c r="AD13" s="625" t="str">
        <f>IF(OR(AC11="有",AC12="有"),999999,"")</f>
        <v/>
      </c>
      <c r="AE13" s="625" t="str">
        <f>IF(AE11&gt;=AE12,AE11,IF(AE12&gt;=AE11,AE12,""))</f>
        <v/>
      </c>
      <c r="AF13" s="625" t="str">
        <f>IF(AF11&gt;=AF12,AF11,IF(AF12&gt;=AF11,AF12,""))</f>
        <v/>
      </c>
      <c r="AG13" s="625" t="str">
        <f>IF(AG11&lt;&gt;"",AG11,AG12)</f>
        <v/>
      </c>
      <c r="AH13" s="625" t="str">
        <f>IF(AH11&lt;&gt;"",AH11,AH12)</f>
        <v/>
      </c>
      <c r="AI13" s="625" t="str">
        <f>IF(AI11&lt;&gt;"",AI11,AI12)</f>
        <v/>
      </c>
      <c r="AJ13" s="625" t="str">
        <f>AJ11</f>
        <v/>
      </c>
      <c r="AK13" s="625" t="str">
        <f>AK12</f>
        <v/>
      </c>
    </row>
    <row r="14" spans="2:79">
      <c r="B14" s="218"/>
      <c r="C14" s="212"/>
      <c r="D14" s="213" t="s">
        <v>462</v>
      </c>
      <c r="E14" s="212" t="s">
        <v>514</v>
      </c>
      <c r="F14" s="212"/>
      <c r="G14" s="212" t="s">
        <v>765</v>
      </c>
      <c r="H14" s="212" t="s">
        <v>784</v>
      </c>
      <c r="I14" s="221"/>
      <c r="L14" s="258"/>
      <c r="AA14" s="580" t="s">
        <v>1421</v>
      </c>
      <c r="AB14" s="641">
        <f>COUNTIF(AB6:AB12,"有")</f>
        <v>0</v>
      </c>
      <c r="AC14" s="635">
        <f>IF(AC10&lt;&gt;0,AC10,IF(AC13&lt;&gt;0,AC13,0))</f>
        <v>0</v>
      </c>
      <c r="AD14" s="631" t="str">
        <f>IF(COUNTIF(AC6:AC12,"有")&gt;0,"999999","")</f>
        <v/>
      </c>
      <c r="AE14" s="611">
        <f ca="1">DATE(YEAR(AE18),MONTH(AE18)+1,1)</f>
        <v>46204</v>
      </c>
      <c r="AF14" s="580" t="str">
        <f>IF(AF10&gt;=AF13,AF10,IF(AF13&gt;=AF10,AF13,""))</f>
        <v/>
      </c>
      <c r="AG14" s="580" t="str">
        <f>IF(AG10&lt;&gt;"",AG10,AG13)</f>
        <v/>
      </c>
      <c r="AH14" s="580" t="str">
        <f>IF(AH10&lt;&gt;"",AH10,AH13)</f>
        <v/>
      </c>
      <c r="AI14" s="580" t="str">
        <f>IF(AI10&lt;&gt;"",AI10,AI13)</f>
        <v/>
      </c>
      <c r="AJ14" s="580" t="str">
        <f>IF(AJ10&lt;&gt;"",AJ10,AJ13)</f>
        <v/>
      </c>
      <c r="AK14" s="580" t="str">
        <f>IF(AK10&lt;&gt;"",AK10,AK13)</f>
        <v/>
      </c>
    </row>
    <row r="15" spans="2:79">
      <c r="B15" s="218"/>
      <c r="C15" s="212"/>
      <c r="D15" s="213" t="s">
        <v>463</v>
      </c>
      <c r="E15" s="212" t="s">
        <v>515</v>
      </c>
      <c r="F15" s="212"/>
      <c r="G15" s="216" t="s">
        <v>768</v>
      </c>
      <c r="H15" s="212" t="s">
        <v>788</v>
      </c>
      <c r="I15" s="221"/>
      <c r="L15" s="258"/>
      <c r="S15" s="586"/>
      <c r="AA15"/>
      <c r="AD15"/>
      <c r="AE15"/>
      <c r="AF15"/>
      <c r="AG15"/>
      <c r="AH15"/>
      <c r="AI15"/>
    </row>
    <row r="16" spans="2:79">
      <c r="B16" s="218"/>
      <c r="C16" s="212"/>
      <c r="D16" s="213" t="s">
        <v>313</v>
      </c>
      <c r="E16" s="212" t="s">
        <v>685</v>
      </c>
      <c r="F16" s="212"/>
      <c r="G16" s="212" t="s">
        <v>762</v>
      </c>
      <c r="H16" s="212" t="s">
        <v>785</v>
      </c>
      <c r="I16" s="221"/>
      <c r="L16" s="258"/>
      <c r="AD16"/>
      <c r="AE16"/>
      <c r="AF16"/>
      <c r="AG16"/>
      <c r="AH16"/>
      <c r="AI16"/>
    </row>
    <row r="17" spans="2:35" ht="13.5" thickBot="1">
      <c r="B17" s="218"/>
      <c r="C17" s="212"/>
      <c r="D17" s="213" t="s">
        <v>464</v>
      </c>
      <c r="E17" s="212" t="s">
        <v>525</v>
      </c>
      <c r="F17" s="212"/>
      <c r="G17" s="220" t="s">
        <v>759</v>
      </c>
      <c r="H17" s="220" t="s">
        <v>778</v>
      </c>
      <c r="I17" s="221"/>
      <c r="L17" s="259"/>
      <c r="M17" s="260"/>
      <c r="N17" s="260"/>
      <c r="AD17"/>
      <c r="AE17"/>
      <c r="AF17"/>
      <c r="AG17"/>
      <c r="AH17"/>
      <c r="AI17"/>
    </row>
    <row r="18" spans="2:35" ht="13.5" thickTop="1">
      <c r="B18" s="218"/>
      <c r="C18" s="212"/>
      <c r="D18" s="213" t="s">
        <v>465</v>
      </c>
      <c r="E18" s="212" t="s">
        <v>526</v>
      </c>
      <c r="F18" s="212"/>
      <c r="G18" s="212" t="s">
        <v>763</v>
      </c>
      <c r="H18" s="212" t="s">
        <v>782</v>
      </c>
      <c r="I18" s="263"/>
      <c r="R18" s="672" t="s">
        <v>1545</v>
      </c>
      <c r="S18" s="610">
        <f>'入力フォーム_Z-FILTER'!AD123</f>
        <v>0</v>
      </c>
      <c r="T18" s="610">
        <f>500*S18</f>
        <v>0</v>
      </c>
      <c r="U18" s="681" t="s">
        <v>1562</v>
      </c>
      <c r="V18" s="198" t="str">
        <f>T18&amp;U18</f>
        <v>0Mbps</v>
      </c>
      <c r="AA18" t="s">
        <v>1400</v>
      </c>
      <c r="AB18"/>
      <c r="AC18"/>
      <c r="AD18" t="s">
        <v>1427</v>
      </c>
      <c r="AE18" s="642">
        <f ca="1">TODAY()</f>
        <v>46181</v>
      </c>
      <c r="AF18"/>
      <c r="AG18"/>
      <c r="AH18"/>
      <c r="AI18"/>
    </row>
    <row r="19" spans="2:35">
      <c r="B19" s="267"/>
      <c r="C19" s="216"/>
      <c r="D19" s="217" t="s">
        <v>466</v>
      </c>
      <c r="E19" s="212" t="s">
        <v>527</v>
      </c>
      <c r="F19" s="216"/>
      <c r="G19" s="212" t="s">
        <v>764</v>
      </c>
      <c r="H19" s="1" t="s">
        <v>777</v>
      </c>
      <c r="I19" s="263"/>
      <c r="R19" s="672" t="s">
        <v>1546</v>
      </c>
      <c r="S19" s="610">
        <f>'入力フォーム_Z-FILTER'!AD126</f>
        <v>0</v>
      </c>
      <c r="T19" s="610">
        <f>1+S19</f>
        <v>1</v>
      </c>
      <c r="U19" s="681" t="s">
        <v>1547</v>
      </c>
      <c r="V19" s="198" t="str">
        <f>T19&amp;U19</f>
        <v>1TB</v>
      </c>
      <c r="AA19" s="580" t="s">
        <v>1392</v>
      </c>
      <c r="AB19" s="580">
        <v>80168771</v>
      </c>
      <c r="AC19"/>
      <c r="AD19" t="s">
        <v>1428</v>
      </c>
      <c r="AF19"/>
      <c r="AG19"/>
      <c r="AH19"/>
      <c r="AI19"/>
    </row>
    <row r="20" spans="2:35">
      <c r="B20" s="267"/>
      <c r="C20" s="216"/>
      <c r="D20" s="217" t="s">
        <v>467</v>
      </c>
      <c r="E20" s="212" t="s">
        <v>528</v>
      </c>
      <c r="F20" s="216"/>
      <c r="G20" s="212" t="s">
        <v>766</v>
      </c>
      <c r="H20" s="212" t="s">
        <v>781</v>
      </c>
      <c r="I20" s="219"/>
      <c r="AA20" s="580" t="s">
        <v>1393</v>
      </c>
      <c r="AB20" s="580">
        <v>80168769</v>
      </c>
      <c r="AC20"/>
      <c r="AD20" t="s">
        <v>1429</v>
      </c>
      <c r="AE20" t="s">
        <v>328</v>
      </c>
      <c r="AF20"/>
      <c r="AG20"/>
      <c r="AH20"/>
      <c r="AI20"/>
    </row>
    <row r="21" spans="2:35">
      <c r="B21" s="218"/>
      <c r="C21" s="212"/>
      <c r="D21" s="213" t="s">
        <v>468</v>
      </c>
      <c r="E21" s="212" t="s">
        <v>529</v>
      </c>
      <c r="F21" s="212"/>
      <c r="G21" s="216" t="s">
        <v>769</v>
      </c>
      <c r="H21" s="358" t="s">
        <v>780</v>
      </c>
      <c r="I21" s="219"/>
      <c r="AA21" s="580" t="s">
        <v>1394</v>
      </c>
      <c r="AB21" s="580">
        <v>80168770</v>
      </c>
      <c r="AC21"/>
      <c r="AD21"/>
      <c r="AE21"/>
      <c r="AF21"/>
      <c r="AG21"/>
      <c r="AH21"/>
      <c r="AI21"/>
    </row>
    <row r="22" spans="2:35">
      <c r="B22" s="218"/>
      <c r="C22" s="212"/>
      <c r="D22" s="213" t="s">
        <v>469</v>
      </c>
      <c r="E22" s="212" t="s">
        <v>530</v>
      </c>
      <c r="F22" s="212"/>
      <c r="G22" s="212" t="s">
        <v>770</v>
      </c>
      <c r="H22" s="212" t="s">
        <v>776</v>
      </c>
      <c r="I22" s="219"/>
      <c r="AA22" s="580" t="s">
        <v>1395</v>
      </c>
      <c r="AB22" s="580"/>
      <c r="AC22"/>
      <c r="AD22"/>
      <c r="AE22"/>
      <c r="AF22"/>
      <c r="AG22"/>
      <c r="AH22"/>
      <c r="AI22"/>
    </row>
    <row r="23" spans="2:35">
      <c r="B23" s="218"/>
      <c r="C23" s="212"/>
      <c r="D23" s="213" t="s">
        <v>470</v>
      </c>
      <c r="E23" s="212" t="s">
        <v>532</v>
      </c>
      <c r="F23" s="212"/>
      <c r="G23" s="212" t="s">
        <v>771</v>
      </c>
      <c r="I23" s="219"/>
      <c r="AA23" s="580" t="s">
        <v>1396</v>
      </c>
      <c r="AB23" s="580" t="str">
        <f>AC6&amp;AC7</f>
        <v>無無</v>
      </c>
      <c r="AC23"/>
      <c r="AD23"/>
      <c r="AE23"/>
      <c r="AF23"/>
      <c r="AG23"/>
      <c r="AH23"/>
      <c r="AI23"/>
    </row>
    <row r="24" spans="2:35">
      <c r="B24" s="218"/>
      <c r="C24" s="212"/>
      <c r="D24" s="213" t="s">
        <v>471</v>
      </c>
      <c r="E24" s="212" t="s">
        <v>533</v>
      </c>
      <c r="F24" s="212"/>
      <c r="G24" s="212" t="s">
        <v>772</v>
      </c>
      <c r="I24" s="219"/>
      <c r="AA24"/>
      <c r="AB24"/>
      <c r="AC24"/>
      <c r="AD24"/>
      <c r="AE24"/>
      <c r="AF24"/>
      <c r="AG24"/>
      <c r="AH24"/>
      <c r="AI24"/>
    </row>
    <row r="25" spans="2:35">
      <c r="B25" s="218"/>
      <c r="C25" s="212"/>
      <c r="D25" s="213" t="s">
        <v>472</v>
      </c>
      <c r="E25" s="212" t="s">
        <v>534</v>
      </c>
      <c r="F25" s="212"/>
      <c r="G25" s="212" t="s">
        <v>774</v>
      </c>
      <c r="I25" s="219"/>
      <c r="AA25" t="s">
        <v>1401</v>
      </c>
      <c r="AB25"/>
      <c r="AC25"/>
      <c r="AD25"/>
      <c r="AE25"/>
      <c r="AF25"/>
      <c r="AG25"/>
      <c r="AH25"/>
      <c r="AI25"/>
    </row>
    <row r="26" spans="2:35">
      <c r="B26" s="218"/>
      <c r="C26" s="212"/>
      <c r="D26" s="213" t="s">
        <v>473</v>
      </c>
      <c r="E26" s="212" t="s">
        <v>535</v>
      </c>
      <c r="F26" s="212"/>
      <c r="G26" s="358" t="s">
        <v>761</v>
      </c>
      <c r="I26" s="219"/>
      <c r="AA26" s="580" t="s">
        <v>1392</v>
      </c>
      <c r="AB26" s="580">
        <v>80168771</v>
      </c>
      <c r="AC26"/>
      <c r="AD26"/>
      <c r="AE26"/>
      <c r="AF26"/>
      <c r="AG26"/>
      <c r="AH26"/>
      <c r="AI26"/>
    </row>
    <row r="27" spans="2:35">
      <c r="B27" s="218"/>
      <c r="C27" s="212"/>
      <c r="D27" s="213" t="s">
        <v>474</v>
      </c>
      <c r="E27" s="212" t="s">
        <v>531</v>
      </c>
      <c r="F27" s="212"/>
      <c r="G27" s="212" t="s">
        <v>773</v>
      </c>
      <c r="I27" s="219"/>
      <c r="AA27" s="580" t="s">
        <v>1393</v>
      </c>
      <c r="AB27" s="580">
        <v>80168769</v>
      </c>
      <c r="AC27"/>
    </row>
    <row r="28" spans="2:35">
      <c r="B28" s="218"/>
      <c r="C28" s="212"/>
      <c r="D28" s="213" t="s">
        <v>475</v>
      </c>
      <c r="E28" s="212" t="s">
        <v>513</v>
      </c>
      <c r="F28" s="212"/>
      <c r="I28" s="219"/>
      <c r="AA28" s="580" t="s">
        <v>1394</v>
      </c>
      <c r="AB28" s="580">
        <v>80168770</v>
      </c>
      <c r="AC28"/>
    </row>
    <row r="29" spans="2:35">
      <c r="B29" s="218"/>
      <c r="C29" s="212"/>
      <c r="D29" s="213" t="s">
        <v>476</v>
      </c>
      <c r="E29" s="212" t="s">
        <v>684</v>
      </c>
      <c r="F29" s="212"/>
      <c r="I29" s="219"/>
      <c r="AA29" s="580" t="s">
        <v>1395</v>
      </c>
      <c r="AB29" s="580"/>
      <c r="AC29"/>
    </row>
    <row r="30" spans="2:35">
      <c r="B30" s="218"/>
      <c r="C30" s="212"/>
      <c r="D30" s="213" t="s">
        <v>477</v>
      </c>
      <c r="E30" s="212" t="s">
        <v>536</v>
      </c>
      <c r="F30" s="212"/>
      <c r="I30" s="219"/>
      <c r="AA30" s="580" t="s">
        <v>1396</v>
      </c>
      <c r="AB30" s="580" t="str">
        <f>AC11&amp;AC12</f>
        <v>無無</v>
      </c>
    </row>
    <row r="31" spans="2:35">
      <c r="B31" s="218"/>
      <c r="C31" s="212"/>
      <c r="D31" s="213" t="s">
        <v>478</v>
      </c>
      <c r="E31" s="212" t="s">
        <v>537</v>
      </c>
      <c r="F31" s="212"/>
      <c r="I31" s="219"/>
    </row>
    <row r="32" spans="2:35">
      <c r="B32" s="218"/>
      <c r="C32" s="212"/>
      <c r="D32" s="213" t="s">
        <v>479</v>
      </c>
      <c r="E32" s="212" t="s">
        <v>538</v>
      </c>
      <c r="F32" s="212"/>
      <c r="I32" s="219"/>
    </row>
    <row r="33" spans="2:79">
      <c r="B33" s="218"/>
      <c r="C33" s="212"/>
      <c r="D33" s="213" t="s">
        <v>480</v>
      </c>
      <c r="E33" s="220" t="s">
        <v>539</v>
      </c>
      <c r="F33" s="212"/>
      <c r="I33" s="219"/>
      <c r="AA33" t="s">
        <v>1379</v>
      </c>
    </row>
    <row r="34" spans="2:79">
      <c r="B34" s="218"/>
      <c r="C34" s="212"/>
      <c r="D34" s="213" t="s">
        <v>481</v>
      </c>
      <c r="E34" s="220" t="s">
        <v>540</v>
      </c>
      <c r="F34" s="212"/>
      <c r="I34" s="219"/>
      <c r="AA34" t="s">
        <v>1496</v>
      </c>
    </row>
    <row r="35" spans="2:79">
      <c r="B35" s="218"/>
      <c r="C35" s="212"/>
      <c r="D35" s="213" t="s">
        <v>482</v>
      </c>
      <c r="E35" s="358" t="s">
        <v>541</v>
      </c>
      <c r="F35" s="212"/>
      <c r="I35" s="219"/>
      <c r="AA35" t="s">
        <v>1495</v>
      </c>
    </row>
    <row r="36" spans="2:79">
      <c r="B36" s="218"/>
      <c r="C36" s="212"/>
      <c r="D36" s="213" t="s">
        <v>483</v>
      </c>
      <c r="E36" s="212" t="s">
        <v>542</v>
      </c>
      <c r="F36" s="212"/>
      <c r="I36" s="219"/>
      <c r="AA36" t="s">
        <v>1494</v>
      </c>
    </row>
    <row r="37" spans="2:79">
      <c r="B37" s="218"/>
      <c r="C37" s="212"/>
      <c r="D37" s="213" t="s">
        <v>484</v>
      </c>
      <c r="E37" s="212" t="s">
        <v>543</v>
      </c>
      <c r="F37" s="212"/>
      <c r="I37" s="219"/>
      <c r="AA37" t="s">
        <v>1316</v>
      </c>
    </row>
    <row r="38" spans="2:79">
      <c r="B38" s="218"/>
      <c r="C38" s="212"/>
      <c r="D38" s="213" t="s">
        <v>485</v>
      </c>
      <c r="E38" s="212" t="s">
        <v>544</v>
      </c>
      <c r="F38" s="212"/>
      <c r="I38" s="219"/>
    </row>
    <row r="39" spans="2:79" ht="15">
      <c r="B39" s="218"/>
      <c r="C39" s="212"/>
      <c r="D39" s="213" t="s">
        <v>486</v>
      </c>
      <c r="E39" s="212" t="s">
        <v>545</v>
      </c>
      <c r="F39" s="212"/>
      <c r="I39" s="219"/>
      <c r="AA39" s="622" t="s">
        <v>715</v>
      </c>
      <c r="AB39" s="622" t="s">
        <v>634</v>
      </c>
      <c r="AC39" s="622" t="s">
        <v>620</v>
      </c>
      <c r="AD39" s="622" t="s">
        <v>621</v>
      </c>
      <c r="AE39" s="622" t="s">
        <v>622</v>
      </c>
      <c r="AF39" s="622" t="s">
        <v>614</v>
      </c>
      <c r="AG39" s="622" t="s">
        <v>623</v>
      </c>
      <c r="AH39" s="622" t="s">
        <v>624</v>
      </c>
      <c r="AI39" s="622" t="s">
        <v>625</v>
      </c>
      <c r="AJ39" s="622" t="s">
        <v>626</v>
      </c>
      <c r="AK39" s="622" t="s">
        <v>627</v>
      </c>
      <c r="AL39" s="622" t="s">
        <v>628</v>
      </c>
      <c r="AM39" s="622" t="s">
        <v>629</v>
      </c>
      <c r="AN39" s="622" t="s">
        <v>630</v>
      </c>
      <c r="AO39" s="622" t="s">
        <v>631</v>
      </c>
      <c r="AP39" s="622" t="s">
        <v>632</v>
      </c>
      <c r="AQ39" s="622" t="s">
        <v>633</v>
      </c>
      <c r="AR39" s="622" t="s">
        <v>1408</v>
      </c>
      <c r="AS39" s="622" t="s">
        <v>738</v>
      </c>
      <c r="AT39" s="622" t="s">
        <v>739</v>
      </c>
      <c r="AU39" s="622" t="s">
        <v>699</v>
      </c>
      <c r="AV39" s="622" t="s">
        <v>740</v>
      </c>
      <c r="AW39" s="622" t="s">
        <v>822</v>
      </c>
      <c r="AX39" s="622" t="s">
        <v>1409</v>
      </c>
      <c r="AY39" s="622" t="s">
        <v>1410</v>
      </c>
      <c r="AZ39" s="622" t="s">
        <v>1119</v>
      </c>
      <c r="BA39" s="622" t="s">
        <v>1120</v>
      </c>
      <c r="BB39" s="622" t="s">
        <v>1121</v>
      </c>
      <c r="BC39" s="622" t="s">
        <v>1122</v>
      </c>
      <c r="BD39" s="622" t="s">
        <v>1123</v>
      </c>
      <c r="BE39" s="622" t="s">
        <v>737</v>
      </c>
      <c r="BF39" s="622" t="s">
        <v>741</v>
      </c>
      <c r="BG39" s="622" t="s">
        <v>745</v>
      </c>
      <c r="BH39" s="622" t="s">
        <v>746</v>
      </c>
      <c r="BI39" s="622" t="s">
        <v>748</v>
      </c>
      <c r="BJ39" s="622" t="s">
        <v>747</v>
      </c>
      <c r="BK39" s="622" t="s">
        <v>1411</v>
      </c>
      <c r="BL39" s="622" t="s">
        <v>1412</v>
      </c>
      <c r="BM39" s="622" t="s">
        <v>1413</v>
      </c>
      <c r="BN39" s="622" t="s">
        <v>1414</v>
      </c>
      <c r="BO39" s="622" t="s">
        <v>1415</v>
      </c>
      <c r="BP39" s="622" t="s">
        <v>1416</v>
      </c>
      <c r="BQ39" s="622" t="s">
        <v>1417</v>
      </c>
      <c r="BR39" s="622" t="s">
        <v>1418</v>
      </c>
      <c r="BS39" s="622" t="s">
        <v>1419</v>
      </c>
      <c r="BT39" s="622" t="s">
        <v>1176</v>
      </c>
      <c r="BU39" s="622" t="s">
        <v>1247</v>
      </c>
      <c r="BV39" s="622" t="s">
        <v>1293</v>
      </c>
      <c r="BW39" s="622" t="s">
        <v>1291</v>
      </c>
      <c r="BX39" s="622" t="s">
        <v>1294</v>
      </c>
      <c r="BY39" s="622" t="s">
        <v>1295</v>
      </c>
      <c r="BZ39" s="622" t="s">
        <v>1372</v>
      </c>
      <c r="CA39" s="622" t="s">
        <v>1373</v>
      </c>
    </row>
    <row r="40" spans="2:79" ht="15">
      <c r="B40" s="218"/>
      <c r="C40" s="212"/>
      <c r="D40" s="213" t="s">
        <v>487</v>
      </c>
      <c r="E40" s="212" t="s">
        <v>546</v>
      </c>
      <c r="F40" s="212"/>
      <c r="I40" s="219"/>
      <c r="AA40" s="622" t="s">
        <v>1420</v>
      </c>
      <c r="AB40" s="279" t="str">
        <f>IF(COUNTIF(お客様情報!W5:W9,"f-FILTER1")&gt;0,16,IF('中間データ共通・Desk・f-FILTER・Z-FILTER'!AC14&lt;&gt;0,16,""))</f>
        <v/>
      </c>
      <c r="AC40" s="278" t="str">
        <f>IFERROR(VLOOKUP("f-FILTER"&amp;1,お客様情報!W5:Z9,4,FALSE),IF('中間データ共通・Desk・f-FILTER・Z-FILTER'!AC14&lt;&gt;0,'中間データ共通・Desk・f-FILTER・Z-FILTER'!AC14,""))</f>
        <v/>
      </c>
      <c r="AD40" s="286" t="str">
        <f>IF('入力フォーム_f-FILTER'!BA83&lt;&gt;"",'入力フォーム_f-FILTER'!BA83,IF('中間データ共通・Desk・f-FILTER・Z-FILTER'!AC14&lt;&gt;0,'中間データ共通・Desk・f-FILTER・Z-FILTER'!AD14,""))</f>
        <v/>
      </c>
      <c r="AE40" s="314"/>
      <c r="AF40" s="567" t="str">
        <f ca="1">IF(AB14=0,TEXT(IF('入力フォーム_f-FILTER'!N86*'入力フォーム_f-FILTER'!U86&lt;&gt;0,('入力フォーム_f-FILTER'!N86+2000)&amp;"/"&amp;'入力フォーム_f-FILTER'!U86&amp;"/"&amp;'入力フォーム_f-FILTER'!AB86,AE14),"yyyy-mm-dd"),"")</f>
        <v>2026-07-01</v>
      </c>
      <c r="AG40" s="643">
        <f>IF('入力フォーム_f-FILTER'!DG83&lt;&gt;0,LEFT('入力フォーム_f-FILTER'!DG83,1),IF(AB14=0,5,""))</f>
        <v>5</v>
      </c>
      <c r="AH40" s="314"/>
      <c r="AI40" s="556" t="str">
        <f>IF(AND('入力フォーム_f-FILTER'!M71="無",'入力フォーム_f-FILTER'!BO83="無"),'入力フォーム_f-FILTER'!M74,IF('中間データ共通・Desk・f-FILTER・Z-FILTER'!AC14&lt;&gt;0,'中間データ共通・Desk・f-FILTER・Z-FILTER'!AI14,""))</f>
        <v/>
      </c>
      <c r="AJ40" s="314"/>
      <c r="AK40" s="314"/>
      <c r="AL40" s="314"/>
      <c r="AM40" s="567" t="str">
        <f>IF(AND('入力フォーム_f-FILTER'!AD83="新規",'入力フォーム_f-FILTER'!BO83="有"),AG14,IF('入力フォーム_f-FILTER'!BZ83&lt;&gt;"",'入力フォーム_f-FILTER'!BZ83,AG14))</f>
        <v/>
      </c>
      <c r="AN40" s="278" t="str">
        <f>IF('入力フォーム_f-FILTER'!M71="有",'入力フォーム_f-FILTER'!M77,IF('中間データ共通・Desk・f-FILTER・Z-FILTER'!AC14&lt;&gt;0,'中間データ共通・Desk・f-FILTER・Z-FILTER'!AG14,""))</f>
        <v/>
      </c>
      <c r="AO40" s="314"/>
      <c r="AP40" s="314"/>
      <c r="AQ40" s="314"/>
      <c r="AR40" s="314"/>
      <c r="AS40" s="278" t="e">
        <f>IF(お客様情報!$N$64="","",お客様情報!$N$64)</f>
        <v>#N/A</v>
      </c>
      <c r="AT40" s="278" t="e">
        <f>IF(お客様情報!$N$65="","",お客様情報!$N$65)</f>
        <v>#N/A</v>
      </c>
      <c r="AU40" s="314"/>
      <c r="AV40" s="314"/>
      <c r="AW40" s="314"/>
      <c r="AX40" s="314"/>
      <c r="AY40" s="314"/>
      <c r="AZ40" s="314"/>
      <c r="BA40" s="314"/>
      <c r="BB40" s="314"/>
      <c r="BC40" s="314"/>
      <c r="BD40" s="314"/>
      <c r="BE40" s="314"/>
      <c r="BF40" s="314"/>
      <c r="BG40" s="314"/>
      <c r="BH40" s="314"/>
      <c r="BI40" s="314"/>
      <c r="BJ40" s="314"/>
      <c r="BK40" s="278" t="str">
        <f>IF(AND('入力フォーム_f-FILTER'!AD83="新規",'入力フォーム_f-FILTER'!BO83="有"),'入力フォーム_f-FILTER'!BZ83,IF('中間データ共通・Desk・f-FILTER・Z-FILTER'!AC14&lt;&gt;0,'中間データ共通・Desk・f-FILTER・Z-FILTER'!AH14,""))</f>
        <v/>
      </c>
      <c r="BL40" s="314"/>
      <c r="BM40" s="314"/>
      <c r="BN40" s="314"/>
      <c r="BO40" s="314"/>
      <c r="BP40" s="314"/>
      <c r="BQ40" s="314"/>
      <c r="BR40" s="314"/>
      <c r="BS40" s="314"/>
      <c r="BT40" s="314"/>
      <c r="BU40" s="314"/>
      <c r="BV40" s="314"/>
      <c r="BW40" s="314"/>
      <c r="BX40" s="314"/>
      <c r="BY40" s="314"/>
      <c r="BZ40" s="278" t="str">
        <f>IF('入力フォーム_f-FILTER'!AI89&lt;&gt;"",'入力フォーム_f-FILTER'!AI89,IF('中間データ共通・Desk・f-FILTER・Z-FILTER'!AC14&lt;&gt;0,AJ14,""))</f>
        <v/>
      </c>
      <c r="CA40" s="278" t="str">
        <f>IF('入力フォーム_f-FILTER'!CF89&lt;&gt;"",'入力フォーム_f-FILTER'!CF89,IF('中間データ共通・Desk・f-FILTER・Z-FILTER'!AC14&lt;&gt;0,AK14,""))</f>
        <v/>
      </c>
    </row>
    <row r="41" spans="2:79">
      <c r="B41" s="218"/>
      <c r="C41" s="212"/>
      <c r="D41" s="213" t="s">
        <v>488</v>
      </c>
      <c r="E41" s="212" t="s">
        <v>547</v>
      </c>
      <c r="F41" s="212"/>
      <c r="I41" s="219"/>
      <c r="AA41" s="634" t="s">
        <v>1422</v>
      </c>
      <c r="AB41" s="198" t="str">
        <f>IF('中間データ共通・Desk・f-FILTER・Z-FILTER'!AC14&lt;&gt;0,16,IF(AND(お客様情報!$E$2="f-FILTER",COUNTIF(お客様情報!W5:W9,"f-FILTER1")&gt;0),16,""))</f>
        <v/>
      </c>
      <c r="AC41" s="198" t="str">
        <f>IFERROR(VLOOKUP("f-FILTER"&amp;1,お客様情報!W5:Z9,4,FALSE),IF('中間データ共通・Desk・f-FILTER・Z-FILTER'!AC14&lt;&gt;0,'中間データ共通・Desk・f-FILTER・Z-FILTER'!AC14,""))</f>
        <v/>
      </c>
      <c r="AD41" s="198" t="str">
        <f>IF('中間データ共通・Desk・f-FILTER・Z-FILTER'!AC14&lt;&gt;0,'中間データ共通・Desk・f-FILTER・Z-FILTER'!AD14,IF('入力フォーム_f-FILTER'!BA83&lt;&gt;"",'入力フォーム_f-FILTER'!BA83,""))</f>
        <v/>
      </c>
      <c r="AF41" s="198" t="e">
        <f>IF(AB14=0,TEXT(IF('入力フォーム_f-FILTER'!N86*'入力フォーム_f-FILTER'!U86&lt;&gt;0,('入力フォーム_f-FILTER'!N86+2000)&amp;"/"&amp;'入力フォーム_f-FILTER'!U86&amp;"/"&amp;'入力フォーム_f-FILTER'!AB86,#REF!),"yyyy-mm-dd"),"")</f>
        <v>#REF!</v>
      </c>
      <c r="AM41" s="198" t="str">
        <f>IF(AND('入力フォーム_f-FILTER'!AD83="新規",'入力フォーム_f-FILTER'!BO83="有"),"",IF('入力フォーム_f-FILTER'!BZ83&lt;&gt;"",'入力フォーム_f-FILTER'!BZ83,""))</f>
        <v/>
      </c>
    </row>
    <row r="42" spans="2:79">
      <c r="B42" s="218"/>
      <c r="C42" s="212"/>
      <c r="D42" s="213" t="s">
        <v>489</v>
      </c>
      <c r="E42" s="216" t="s">
        <v>548</v>
      </c>
      <c r="F42" s="212"/>
      <c r="I42" s="219"/>
    </row>
    <row r="43" spans="2:79">
      <c r="B43" s="218"/>
      <c r="C43" s="212"/>
      <c r="D43" s="213" t="s">
        <v>490</v>
      </c>
      <c r="E43" s="216" t="s">
        <v>549</v>
      </c>
      <c r="F43" s="212"/>
      <c r="I43" s="219"/>
      <c r="AF43" s="198" cm="1">
        <f t="array" ref="AF43">_xlfn.IFS(AB14=0,)</f>
        <v>0</v>
      </c>
    </row>
    <row r="44" spans="2:79">
      <c r="B44" s="218"/>
      <c r="C44" s="212"/>
      <c r="D44" s="213" t="s">
        <v>491</v>
      </c>
      <c r="E44" s="212" t="s">
        <v>550</v>
      </c>
      <c r="F44" s="212"/>
      <c r="I44" s="219"/>
    </row>
    <row r="45" spans="2:79">
      <c r="B45" s="218"/>
      <c r="C45" s="212"/>
      <c r="D45" s="213" t="s">
        <v>492</v>
      </c>
      <c r="E45" s="212" t="s">
        <v>551</v>
      </c>
      <c r="F45" s="212"/>
      <c r="I45" s="219"/>
      <c r="AA45" s="660" t="s">
        <v>1509</v>
      </c>
      <c r="AB45" s="638" t="s">
        <v>1424</v>
      </c>
      <c r="AC45" s="623" t="s">
        <v>1374</v>
      </c>
      <c r="AD45" s="623" t="s">
        <v>1381</v>
      </c>
      <c r="AE45" s="623" t="s">
        <v>1382</v>
      </c>
      <c r="AG45" s="580" t="s">
        <v>1392</v>
      </c>
      <c r="AH45" s="580">
        <v>80168771</v>
      </c>
      <c r="AI45" s="198" t="str">
        <f>IF(AG45=AH49,"〇","")</f>
        <v/>
      </c>
    </row>
    <row r="46" spans="2:79">
      <c r="B46" s="218"/>
      <c r="C46" s="212"/>
      <c r="D46" s="213" t="s">
        <v>493</v>
      </c>
      <c r="E46" s="212" t="s">
        <v>552</v>
      </c>
      <c r="F46" s="212"/>
      <c r="I46" s="219"/>
      <c r="AA46" s="580"/>
      <c r="AB46" s="639"/>
      <c r="AC46" s="635" t="s">
        <v>946</v>
      </c>
      <c r="AD46" s="580" t="s">
        <v>1389</v>
      </c>
      <c r="AE46" s="580" t="s">
        <v>1096</v>
      </c>
      <c r="AG46" s="580" t="s">
        <v>1393</v>
      </c>
      <c r="AH46" s="580">
        <v>80168769</v>
      </c>
      <c r="AI46" s="198" t="str">
        <f t="shared" ref="AI46:AI47" si="0">IF(AG46=AH50,"〇","")</f>
        <v/>
      </c>
    </row>
    <row r="47" spans="2:79">
      <c r="AA47" s="580" t="s">
        <v>1387</v>
      </c>
      <c r="AB47" s="639" t="str">
        <f>IF(OR(代ホ_入力フォームiF・mF・MA!W87="有（f-FILTER保有シリアルあり）"),"有","無")</f>
        <v>無</v>
      </c>
      <c r="AC47" s="636" t="str">
        <f>IF(COUNTIF(代ホ_入力フォームiF・mF・MA!W87,"*有*"),"有","無")</f>
        <v>無</v>
      </c>
      <c r="AD47" s="580" t="str">
        <f>IF(代ホ_入力フォームiF・mF・MA!W87="有（f-FILTER保有シリアルあり）",代ホ_入力フォームiF・mF・MA!AV87,"")</f>
        <v/>
      </c>
      <c r="AE47" s="580" t="str">
        <f>IF(代ホ_入力フォームiF・mF・MA!W87="有（f-FILTER試用版シリアルあり）",代ホ_入力フォームiF・mF・MA!AV87,"")</f>
        <v/>
      </c>
      <c r="AG47" s="580" t="s">
        <v>1394</v>
      </c>
      <c r="AH47" s="580">
        <v>80168770</v>
      </c>
      <c r="AI47" s="198" t="str">
        <f t="shared" si="0"/>
        <v/>
      </c>
    </row>
    <row r="48" spans="2:79">
      <c r="AA48" s="580" t="s">
        <v>1388</v>
      </c>
      <c r="AB48" s="639" t="str">
        <f>IF(OR(代ホ_入力フォームiF・mF・MA!W108="有（f-FILTER保有シリアルあり）"),"有","無")</f>
        <v>無</v>
      </c>
      <c r="AC48" s="636" t="str">
        <f>IF(COUNTIF(代ホ_入力フォームiF・mF・MA!W108,"*有*"),"有","無")</f>
        <v>無</v>
      </c>
      <c r="AD48" s="580" t="str">
        <f>IF(代ホ_入力フォームiF・mF・MA!W108="有（f-FILTER保有シリアルあり）",代ホ_入力フォームiF・mF・MA!AS108,"")</f>
        <v/>
      </c>
      <c r="AE48" s="580" t="str">
        <f>IF(代ホ_入力フォームiF・mF・MA!W108="有（f-FILTER試用版シリアルあり）",代ホ_入力フォームiF・mF・MA!AS108,"")</f>
        <v/>
      </c>
      <c r="AG48" s="580" t="s">
        <v>1395</v>
      </c>
      <c r="AH48" s="580"/>
    </row>
    <row r="49" spans="27:79">
      <c r="AA49" s="625" t="s">
        <v>1403</v>
      </c>
      <c r="AB49" s="640" t="s">
        <v>1423</v>
      </c>
      <c r="AC49" s="637">
        <f>VLOOKUP(AH49,AG45:AH48,2,FALSE)</f>
        <v>0</v>
      </c>
      <c r="AD49" s="625"/>
      <c r="AE49" s="625"/>
      <c r="AG49" s="580" t="s">
        <v>1396</v>
      </c>
      <c r="AH49" s="580" t="str">
        <f>AC47&amp;AC48</f>
        <v>無無</v>
      </c>
    </row>
    <row r="50" spans="27:79">
      <c r="AA50" s="580" t="s">
        <v>1421</v>
      </c>
      <c r="AB50" s="641">
        <f>COUNTIF(AB47:AB48,"有")</f>
        <v>0</v>
      </c>
      <c r="AC50" s="635">
        <f>AC49</f>
        <v>0</v>
      </c>
      <c r="AD50" s="631">
        <f>AD49</f>
        <v>0</v>
      </c>
      <c r="AE50" s="631">
        <f>AE49</f>
        <v>0</v>
      </c>
    </row>
    <row r="51" spans="27:79">
      <c r="AA51"/>
      <c r="AD51"/>
      <c r="AE51"/>
    </row>
    <row r="52" spans="27:79" ht="15">
      <c r="AA52" s="659" t="s">
        <v>715</v>
      </c>
      <c r="AB52" s="659" t="s">
        <v>634</v>
      </c>
      <c r="AC52" s="659" t="s">
        <v>620</v>
      </c>
      <c r="AD52" s="659" t="s">
        <v>621</v>
      </c>
      <c r="AE52" s="659" t="s">
        <v>622</v>
      </c>
      <c r="AF52" s="659" t="s">
        <v>614</v>
      </c>
      <c r="AG52" s="659" t="s">
        <v>623</v>
      </c>
      <c r="AH52" s="659" t="s">
        <v>624</v>
      </c>
      <c r="AI52" s="659" t="s">
        <v>625</v>
      </c>
      <c r="AJ52" s="659" t="s">
        <v>626</v>
      </c>
      <c r="AK52" s="659" t="s">
        <v>627</v>
      </c>
      <c r="AL52" s="659" t="s">
        <v>628</v>
      </c>
      <c r="AM52" s="659" t="s">
        <v>629</v>
      </c>
      <c r="AN52" s="659" t="s">
        <v>630</v>
      </c>
      <c r="AO52" s="659" t="s">
        <v>631</v>
      </c>
      <c r="AP52" s="659" t="s">
        <v>632</v>
      </c>
      <c r="AQ52" s="659" t="s">
        <v>633</v>
      </c>
      <c r="AR52" s="659" t="s">
        <v>1408</v>
      </c>
      <c r="AS52" s="659" t="s">
        <v>738</v>
      </c>
      <c r="AT52" s="659" t="s">
        <v>739</v>
      </c>
      <c r="AU52" s="659" t="s">
        <v>699</v>
      </c>
      <c r="AV52" s="659" t="s">
        <v>740</v>
      </c>
      <c r="AW52" s="659" t="s">
        <v>822</v>
      </c>
      <c r="AX52" s="659" t="s">
        <v>1409</v>
      </c>
      <c r="AY52" s="659" t="s">
        <v>1410</v>
      </c>
      <c r="AZ52" s="659" t="s">
        <v>1119</v>
      </c>
      <c r="BA52" s="659" t="s">
        <v>1120</v>
      </c>
      <c r="BB52" s="659" t="s">
        <v>1121</v>
      </c>
      <c r="BC52" s="659" t="s">
        <v>1122</v>
      </c>
      <c r="BD52" s="659" t="s">
        <v>1123</v>
      </c>
      <c r="BE52" s="659" t="s">
        <v>737</v>
      </c>
      <c r="BF52" s="659" t="s">
        <v>741</v>
      </c>
      <c r="BG52" s="659" t="s">
        <v>745</v>
      </c>
      <c r="BH52" s="659" t="s">
        <v>746</v>
      </c>
      <c r="BI52" s="659" t="s">
        <v>748</v>
      </c>
      <c r="BJ52" s="659" t="s">
        <v>747</v>
      </c>
      <c r="BK52" s="659" t="s">
        <v>1411</v>
      </c>
      <c r="BL52" s="659" t="s">
        <v>1412</v>
      </c>
      <c r="BM52" s="659" t="s">
        <v>1413</v>
      </c>
      <c r="BN52" s="659" t="s">
        <v>1414</v>
      </c>
      <c r="BO52" s="659" t="s">
        <v>1415</v>
      </c>
      <c r="BP52" s="659" t="s">
        <v>1416</v>
      </c>
      <c r="BQ52" s="659" t="s">
        <v>1417</v>
      </c>
      <c r="BR52" s="659" t="s">
        <v>1418</v>
      </c>
      <c r="BS52" s="659" t="s">
        <v>1419</v>
      </c>
      <c r="BT52" s="659" t="s">
        <v>1176</v>
      </c>
      <c r="BU52" s="659" t="s">
        <v>1247</v>
      </c>
      <c r="BV52" s="659" t="s">
        <v>1293</v>
      </c>
      <c r="BW52" s="659" t="s">
        <v>1291</v>
      </c>
      <c r="BX52" s="659" t="s">
        <v>1294</v>
      </c>
      <c r="BY52" s="659" t="s">
        <v>1295</v>
      </c>
      <c r="BZ52" s="659" t="s">
        <v>1372</v>
      </c>
      <c r="CA52" s="659" t="s">
        <v>1373</v>
      </c>
    </row>
    <row r="53" spans="27:79" ht="15">
      <c r="AA53" s="659" t="s">
        <v>1420</v>
      </c>
      <c r="AB53" s="279" t="str">
        <f>IF(COUNTIF(お客様情報!W5:W9,"f-FILTER1")&gt;0,16,IF(COUNTIF(代ホ_入力フォームiF・mF・MA!W87,"*有*"),"16",IF(COUNTIF(代ホ_入力フォームiF・mF・MA!W108,"*有*"),16,"")))</f>
        <v/>
      </c>
      <c r="AC53" s="278">
        <f>VLOOKUP(AH49,AG45:AH48,2,FALSE)</f>
        <v>0</v>
      </c>
      <c r="AD53" s="286" t="str">
        <f>IF('入力フォーム_f-FILTER'!BA83&lt;&gt;"",'入力フォーム_f-FILTER'!BA83,IF('中間データ共通・Desk・f-FILTER・Z-FILTER'!AC50&lt;&gt;0,999999,""))</f>
        <v/>
      </c>
      <c r="AE53" s="314"/>
      <c r="AF53" s="661" t="str">
        <f>IF('中間データ共通・Desk・f-FILTER・Z-FILTER'!AC50&lt;&gt;0,DATE(YEAR(AE18),MONTH(AE18)+1,1),"")</f>
        <v/>
      </c>
      <c r="AG53" s="643" t="str">
        <f>IF('入力フォーム_f-FILTER'!DG83&lt;&gt;0,LEFT('入力フォーム_f-FILTER'!DG83,1),IF(AC50&lt;&gt;0,5,""))</f>
        <v/>
      </c>
      <c r="AH53" s="314"/>
      <c r="AI53" s="556" t="str">
        <f>IF(AND('入力フォーム_f-FILTER'!M71="無",'入力フォーム_f-FILTER'!BO83="無"),'入力フォーム_f-FILTER'!M74,IF(代ホ_入力フォームiF・mF・MA!CD87&lt;&gt;"",代ホ_入力フォームiF・mF・MA!CD87,IF(代ホ_入力フォームiF・mF・MA!BS108&lt;&gt;"",代ホ_入力フォームiF・mF・MA!BS108,"")))</f>
        <v/>
      </c>
      <c r="AJ53" s="314"/>
      <c r="AK53" s="314"/>
      <c r="AL53" s="314"/>
      <c r="AM53" s="567" t="str">
        <f>IF(代ホ_入力フォームiF・mF・MA!W87="有（f-FILTER保有シリアルあり）",代ホ_入力フォームiF・mF・MA!AV87,IF(代ホ_入力フォームiF・mF・MA!W108="有（f-FILTER保有シリアルあり）",代ホ_入力フォームiF・mF・MA!AS108,""))</f>
        <v/>
      </c>
      <c r="AN53" s="278" t="str">
        <f>IF(代ホ_入力フォームiF・mF・MA!W87="有（f-FILTER保有シリアルあり）",代ホ_入力フォームiF・mF・MA!AV87,IF(代ホ_入力フォームiF・mF・MA!W108="有（f-FILTER保有シリアルあり）",代ホ_入力フォームiF・mF・MA!AS108,""))</f>
        <v/>
      </c>
      <c r="AO53" s="314"/>
      <c r="AP53" s="314"/>
      <c r="AQ53" s="314"/>
      <c r="AR53" s="314"/>
      <c r="AS53" s="278"/>
      <c r="AT53" s="278"/>
      <c r="AU53" s="314"/>
      <c r="AV53" s="314"/>
      <c r="AW53" s="314"/>
      <c r="AX53" s="314"/>
      <c r="AY53" s="314"/>
      <c r="AZ53" s="314"/>
      <c r="BA53" s="314"/>
      <c r="BB53" s="314"/>
      <c r="BC53" s="314"/>
      <c r="BD53" s="314"/>
      <c r="BE53" s="314"/>
      <c r="BF53" s="314"/>
      <c r="BG53" s="314"/>
      <c r="BH53" s="314"/>
      <c r="BI53" s="314"/>
      <c r="BJ53" s="314"/>
      <c r="BK53" s="278" t="str">
        <f>IF(AND('入力フォーム_f-FILTER'!AD83="新規",'入力フォーム_f-FILTER'!BO83="有"),'入力フォーム_f-FILTER'!BZ83,IF(AE47&lt;&gt;"",AE47,IF(AE48&lt;&gt;"",AE48,"")))</f>
        <v/>
      </c>
      <c r="BL53" s="314"/>
      <c r="BM53" s="314"/>
      <c r="BN53" s="314"/>
      <c r="BO53" s="314"/>
      <c r="BP53" s="314"/>
      <c r="BQ53" s="314"/>
      <c r="BR53" s="314"/>
      <c r="BS53" s="314"/>
      <c r="BT53" s="314"/>
      <c r="BU53" s="314"/>
      <c r="BV53" s="314"/>
      <c r="BW53" s="314"/>
      <c r="BX53" s="314"/>
      <c r="BY53" s="314"/>
      <c r="BZ53" s="278"/>
      <c r="CA53" s="278"/>
    </row>
    <row r="54" spans="27:79">
      <c r="AB54" s="662" t="s">
        <v>1510</v>
      </c>
      <c r="AC54" t="s">
        <v>1510</v>
      </c>
      <c r="AD54" t="s">
        <v>1510</v>
      </c>
      <c r="AE54"/>
      <c r="AF54" s="662" t="s">
        <v>1510</v>
      </c>
      <c r="AG54" s="662" t="s">
        <v>1510</v>
      </c>
      <c r="AI54" s="662" t="s">
        <v>1510</v>
      </c>
      <c r="AM54" s="662" t="s">
        <v>1510</v>
      </c>
      <c r="AN54" s="662" t="s">
        <v>1510</v>
      </c>
      <c r="BK54" s="662" t="s">
        <v>1510</v>
      </c>
    </row>
    <row r="55" spans="27:79">
      <c r="AC55"/>
    </row>
    <row r="56" spans="27:79">
      <c r="AC56"/>
    </row>
    <row r="57" spans="27:79">
      <c r="AC57"/>
    </row>
  </sheetData>
  <mergeCells count="3">
    <mergeCell ref="B2:I2"/>
    <mergeCell ref="L2:N2"/>
    <mergeCell ref="R2:Y2"/>
  </mergeCells>
  <phoneticPr fontId="101"/>
  <printOptions horizontalCentered="1"/>
  <pageMargins left="0.11811023622047245" right="0.11811023622047245" top="0.39370078740157483" bottom="0.19685039370078741" header="0.11811023622047245" footer="0.11811023622047245"/>
  <pageSetup paperSize="9" scale="98" orientation="landscape" horizontalDpi="300" verticalDpi="300" r:id="rId1"/>
  <headerFooter>
    <oddFooter>&amp;LDigital Arts Inc.&amp;C&amp;P ページ&amp;R&amp;D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FA183"/>
  <sheetViews>
    <sheetView zoomScaleNormal="100" workbookViewId="0">
      <selection activeCell="J20" sqref="J20:L21"/>
    </sheetView>
  </sheetViews>
  <sheetFormatPr defaultColWidth="1.26953125" defaultRowHeight="7.5" customHeight="1"/>
  <cols>
    <col min="1" max="1" width="2.6328125" style="129" customWidth="1"/>
    <col min="2" max="6" width="1.26953125" style="129"/>
    <col min="7" max="7" width="1.26953125" style="129" customWidth="1"/>
    <col min="8" max="12" width="1.26953125" style="129"/>
    <col min="13" max="13" width="1.36328125" style="129" customWidth="1"/>
    <col min="14" max="57" width="1.26953125" style="129"/>
    <col min="58" max="58" width="1.26953125" style="129" customWidth="1"/>
    <col min="59" max="116" width="1.26953125" style="129"/>
    <col min="117" max="117" width="8.08984375" style="129" customWidth="1"/>
    <col min="118" max="156" width="1.26953125" style="129"/>
    <col min="157" max="158" width="1.26953125" style="129" customWidth="1"/>
    <col min="159" max="162" width="1.26953125" style="129"/>
    <col min="163" max="163" width="1.26953125" style="129" customWidth="1"/>
    <col min="164" max="16384" width="1.26953125" style="129"/>
  </cols>
  <sheetData>
    <row r="1" spans="1:157" s="270" customFormat="1" ht="7.5" customHeight="1">
      <c r="A1" s="2873" t="s">
        <v>1521</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3"/>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c r="BU1" s="2873"/>
      <c r="BV1" s="2873"/>
      <c r="BW1" s="2873"/>
      <c r="BX1" s="2873"/>
      <c r="BY1" s="2873"/>
      <c r="BZ1" s="2873"/>
      <c r="CA1" s="2873"/>
      <c r="CB1" s="2873"/>
      <c r="CC1" s="2873"/>
      <c r="CD1" s="2873"/>
      <c r="CE1" s="2873"/>
      <c r="CF1" s="2873"/>
      <c r="CG1" s="2873"/>
      <c r="CH1" s="2873"/>
      <c r="CI1" s="2873"/>
      <c r="CJ1" s="2873"/>
      <c r="CK1" s="2873"/>
      <c r="CL1" s="2873"/>
      <c r="CM1" s="2873"/>
      <c r="CN1" s="2873"/>
      <c r="CO1" s="2873"/>
      <c r="CP1" s="2873"/>
      <c r="CQ1" s="2873"/>
      <c r="CR1" s="2873"/>
      <c r="CS1" s="2873"/>
      <c r="CT1" s="2873"/>
      <c r="CU1" s="2873"/>
      <c r="CV1" s="2873"/>
      <c r="CW1" s="2873"/>
      <c r="CX1" s="2873"/>
      <c r="CY1" s="2873"/>
      <c r="CZ1" s="2873"/>
      <c r="DA1" s="2873"/>
      <c r="DB1" s="2873"/>
      <c r="DC1" s="2873"/>
      <c r="DD1" s="2873"/>
      <c r="DE1" s="2873"/>
      <c r="DF1" s="2873"/>
      <c r="DG1" s="2873"/>
      <c r="DH1" s="2873"/>
      <c r="DI1" s="2873"/>
      <c r="DJ1" s="2873"/>
      <c r="DK1" s="2873"/>
      <c r="DL1" s="2873"/>
      <c r="DM1" s="49"/>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row>
    <row r="2" spans="1:157" s="270" customFormat="1" ht="7.5" customHeight="1">
      <c r="A2" s="2873"/>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49"/>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row>
    <row r="3" spans="1:157" s="270" customFormat="1" ht="7.5" customHeight="1">
      <c r="A3" s="2873"/>
      <c r="B3" s="2873"/>
      <c r="C3" s="2873"/>
      <c r="D3" s="2873"/>
      <c r="E3" s="2873"/>
      <c r="F3" s="2873"/>
      <c r="G3" s="2873"/>
      <c r="H3" s="2873"/>
      <c r="I3" s="2873"/>
      <c r="J3" s="2873"/>
      <c r="K3" s="2873"/>
      <c r="L3" s="2873"/>
      <c r="M3" s="2873"/>
      <c r="N3" s="2873"/>
      <c r="O3" s="2873"/>
      <c r="P3" s="2873"/>
      <c r="Q3" s="2873"/>
      <c r="R3" s="2873"/>
      <c r="S3" s="2873"/>
      <c r="T3" s="2873"/>
      <c r="U3" s="2873"/>
      <c r="V3" s="2873"/>
      <c r="W3" s="2873"/>
      <c r="X3" s="2873"/>
      <c r="Y3" s="2873"/>
      <c r="Z3" s="2873"/>
      <c r="AA3" s="2873"/>
      <c r="AB3" s="2873"/>
      <c r="AC3" s="2873"/>
      <c r="AD3" s="2873"/>
      <c r="AE3" s="2873"/>
      <c r="AF3" s="2873"/>
      <c r="AG3" s="2873"/>
      <c r="AH3" s="2873"/>
      <c r="AI3" s="2873"/>
      <c r="AJ3" s="2873"/>
      <c r="AK3" s="2873"/>
      <c r="AL3" s="2873"/>
      <c r="AM3" s="2873"/>
      <c r="AN3" s="2873"/>
      <c r="AO3" s="2873"/>
      <c r="AP3" s="2873"/>
      <c r="AQ3" s="2873"/>
      <c r="AR3" s="2873"/>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c r="BP3" s="2873"/>
      <c r="BQ3" s="2873"/>
      <c r="BR3" s="2873"/>
      <c r="BS3" s="2873"/>
      <c r="BT3" s="2873"/>
      <c r="BU3" s="2873"/>
      <c r="BV3" s="2873"/>
      <c r="BW3" s="2873"/>
      <c r="BX3" s="2873"/>
      <c r="BY3" s="2873"/>
      <c r="BZ3" s="2873"/>
      <c r="CA3" s="2873"/>
      <c r="CB3" s="2873"/>
      <c r="CC3" s="2873"/>
      <c r="CD3" s="2873"/>
      <c r="CE3" s="2873"/>
      <c r="CF3" s="2873"/>
      <c r="CG3" s="2873"/>
      <c r="CH3" s="2873"/>
      <c r="CI3" s="2873"/>
      <c r="CJ3" s="2873"/>
      <c r="CK3" s="2873"/>
      <c r="CL3" s="2873"/>
      <c r="CM3" s="2873"/>
      <c r="CN3" s="2873"/>
      <c r="CO3" s="2873"/>
      <c r="CP3" s="2873"/>
      <c r="CQ3" s="2873"/>
      <c r="CR3" s="2873"/>
      <c r="CS3" s="2873"/>
      <c r="CT3" s="2873"/>
      <c r="CU3" s="2873"/>
      <c r="CV3" s="2873"/>
      <c r="CW3" s="2873"/>
      <c r="CX3" s="2873"/>
      <c r="CY3" s="2873"/>
      <c r="CZ3" s="2873"/>
      <c r="DA3" s="2873"/>
      <c r="DB3" s="2873"/>
      <c r="DC3" s="2873"/>
      <c r="DD3" s="2873"/>
      <c r="DE3" s="2873"/>
      <c r="DF3" s="2873"/>
      <c r="DG3" s="2873"/>
      <c r="DH3" s="2873"/>
      <c r="DI3" s="2873"/>
      <c r="DJ3" s="2873"/>
      <c r="DK3" s="2873"/>
      <c r="DL3" s="2873"/>
      <c r="DM3" s="49"/>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row>
    <row r="4" spans="1:157" ht="7.5" customHeight="1">
      <c r="A4" s="4899" t="s">
        <v>1034</v>
      </c>
      <c r="B4" s="4899"/>
      <c r="C4" s="4899"/>
      <c r="D4" s="4899"/>
      <c r="E4" s="4899"/>
      <c r="F4" s="4899"/>
      <c r="G4" s="4899"/>
      <c r="H4" s="4899"/>
      <c r="I4" s="4899"/>
      <c r="J4" s="4899"/>
      <c r="K4" s="4899"/>
      <c r="L4" s="4899"/>
      <c r="M4" s="4899"/>
      <c r="N4" s="4899"/>
      <c r="O4" s="4899"/>
      <c r="P4" s="4899"/>
      <c r="Q4" s="4899"/>
      <c r="R4" s="4899"/>
      <c r="S4" s="4899"/>
      <c r="T4" s="4899"/>
      <c r="U4" s="4899"/>
      <c r="V4" s="4899"/>
      <c r="W4" s="4899"/>
      <c r="X4" s="4899"/>
      <c r="Y4" s="4899"/>
      <c r="Z4" s="4899"/>
      <c r="AA4" s="4899"/>
      <c r="AB4" s="4899"/>
      <c r="AC4" s="4899"/>
      <c r="AD4" s="4899"/>
      <c r="AE4" s="4899"/>
      <c r="AF4" s="4899"/>
      <c r="AG4" s="4899"/>
      <c r="AH4" s="4899"/>
      <c r="AI4" s="4899"/>
      <c r="AJ4" s="4899"/>
      <c r="AK4" s="4899"/>
      <c r="AL4" s="4899"/>
      <c r="AM4" s="4899"/>
      <c r="AN4" s="4899"/>
      <c r="AO4" s="4899"/>
      <c r="AP4" s="4899"/>
      <c r="AQ4" s="4899"/>
      <c r="AR4" s="4899"/>
      <c r="AS4" s="4899"/>
      <c r="AT4" s="4899"/>
      <c r="AU4" s="4899"/>
      <c r="AV4" s="4899"/>
      <c r="AW4" s="4899"/>
      <c r="AX4" s="4899"/>
      <c r="AY4" s="4899"/>
      <c r="AZ4" s="4899"/>
      <c r="BA4" s="4899"/>
      <c r="BB4" s="4899"/>
      <c r="BC4" s="4899"/>
      <c r="BD4" s="3695" t="s">
        <v>671</v>
      </c>
      <c r="BE4" s="3695"/>
      <c r="BF4" s="3695"/>
      <c r="BG4" s="3695"/>
      <c r="BH4" s="3695"/>
      <c r="BI4" s="3695"/>
      <c r="BJ4" s="3695"/>
      <c r="BK4" s="3695"/>
      <c r="BL4" s="3695"/>
      <c r="BM4" s="3695"/>
      <c r="BN4" s="3695"/>
      <c r="BO4" s="3695"/>
      <c r="BP4" s="3695"/>
      <c r="BQ4" s="3695"/>
      <c r="BR4" s="3695"/>
      <c r="BS4" s="3695"/>
      <c r="BT4" s="3695"/>
      <c r="BU4" s="3695"/>
      <c r="BV4" s="3695"/>
      <c r="BW4" s="3695"/>
      <c r="BX4" s="3695"/>
      <c r="BY4" s="315"/>
      <c r="BZ4" s="315"/>
      <c r="CA4" s="315"/>
      <c r="CB4" s="315"/>
      <c r="CC4" s="315"/>
      <c r="CD4" s="315"/>
      <c r="CE4" s="315"/>
      <c r="CF4" s="315"/>
      <c r="CG4" s="315"/>
      <c r="CH4" s="31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row>
    <row r="5" spans="1:157" ht="7.5" customHeight="1">
      <c r="A5" s="4899"/>
      <c r="B5" s="4899"/>
      <c r="C5" s="4899"/>
      <c r="D5" s="4899"/>
      <c r="E5" s="4899"/>
      <c r="F5" s="4899"/>
      <c r="G5" s="4899"/>
      <c r="H5" s="4899"/>
      <c r="I5" s="4899"/>
      <c r="J5" s="4899"/>
      <c r="K5" s="4899"/>
      <c r="L5" s="4899"/>
      <c r="M5" s="4899"/>
      <c r="N5" s="4899"/>
      <c r="O5" s="4899"/>
      <c r="P5" s="4899"/>
      <c r="Q5" s="4899"/>
      <c r="R5" s="4899"/>
      <c r="S5" s="4899"/>
      <c r="T5" s="4899"/>
      <c r="U5" s="4899"/>
      <c r="V5" s="4899"/>
      <c r="W5" s="4899"/>
      <c r="X5" s="4899"/>
      <c r="Y5" s="4899"/>
      <c r="Z5" s="4899"/>
      <c r="AA5" s="4899"/>
      <c r="AB5" s="4899"/>
      <c r="AC5" s="4899"/>
      <c r="AD5" s="4899"/>
      <c r="AE5" s="4899"/>
      <c r="AF5" s="4899"/>
      <c r="AG5" s="4899"/>
      <c r="AH5" s="4899"/>
      <c r="AI5" s="4899"/>
      <c r="AJ5" s="4899"/>
      <c r="AK5" s="4899"/>
      <c r="AL5" s="4899"/>
      <c r="AM5" s="4899"/>
      <c r="AN5" s="4899"/>
      <c r="AO5" s="4899"/>
      <c r="AP5" s="4899"/>
      <c r="AQ5" s="4899"/>
      <c r="AR5" s="4899"/>
      <c r="AS5" s="4899"/>
      <c r="AT5" s="4899"/>
      <c r="AU5" s="4899"/>
      <c r="AV5" s="4899"/>
      <c r="AW5" s="4899"/>
      <c r="AX5" s="4899"/>
      <c r="AY5" s="4899"/>
      <c r="AZ5" s="4899"/>
      <c r="BA5" s="4899"/>
      <c r="BB5" s="4899"/>
      <c r="BC5" s="4899"/>
      <c r="BD5" s="3695"/>
      <c r="BE5" s="3695"/>
      <c r="BF5" s="3695"/>
      <c r="BG5" s="3695"/>
      <c r="BH5" s="3695"/>
      <c r="BI5" s="3695"/>
      <c r="BJ5" s="3695"/>
      <c r="BK5" s="3695"/>
      <c r="BL5" s="3695"/>
      <c r="BM5" s="3695"/>
      <c r="BN5" s="3695"/>
      <c r="BO5" s="3695"/>
      <c r="BP5" s="3695"/>
      <c r="BQ5" s="3695"/>
      <c r="BR5" s="3695"/>
      <c r="BS5" s="3695"/>
      <c r="BT5" s="3695"/>
      <c r="BU5" s="3695"/>
      <c r="BV5" s="3695"/>
      <c r="BW5" s="3695"/>
      <c r="BX5" s="3695"/>
      <c r="BY5" s="315"/>
      <c r="BZ5" s="315"/>
      <c r="CA5" s="315"/>
      <c r="CB5" s="315"/>
      <c r="CC5" s="315"/>
      <c r="CD5" s="315"/>
      <c r="CE5" s="315"/>
      <c r="CF5" s="315"/>
      <c r="CG5" s="315"/>
      <c r="CH5" s="315"/>
      <c r="DD5" s="128"/>
      <c r="DE5" s="128"/>
      <c r="DF5" s="128"/>
      <c r="DG5" s="128"/>
      <c r="DH5" s="128"/>
      <c r="DI5" s="128"/>
      <c r="DJ5" s="128"/>
      <c r="DK5" s="128"/>
      <c r="DL5" s="128"/>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row>
    <row r="6" spans="1:157" ht="7.5" customHeight="1">
      <c r="A6" s="4899"/>
      <c r="B6" s="4899"/>
      <c r="C6" s="4899"/>
      <c r="D6" s="4899"/>
      <c r="E6" s="4899"/>
      <c r="F6" s="4899"/>
      <c r="G6" s="4899"/>
      <c r="H6" s="4899"/>
      <c r="I6" s="4899"/>
      <c r="J6" s="4899"/>
      <c r="K6" s="4899"/>
      <c r="L6" s="4899"/>
      <c r="M6" s="4899"/>
      <c r="N6" s="4899"/>
      <c r="O6" s="4899"/>
      <c r="P6" s="4899"/>
      <c r="Q6" s="4899"/>
      <c r="R6" s="4899"/>
      <c r="S6" s="4899"/>
      <c r="T6" s="4899"/>
      <c r="U6" s="4899"/>
      <c r="V6" s="4899"/>
      <c r="W6" s="4899"/>
      <c r="X6" s="4899"/>
      <c r="Y6" s="4899"/>
      <c r="Z6" s="4899"/>
      <c r="AA6" s="4899"/>
      <c r="AB6" s="4899"/>
      <c r="AC6" s="4899"/>
      <c r="AD6" s="4899"/>
      <c r="AE6" s="4899"/>
      <c r="AF6" s="4899"/>
      <c r="AG6" s="4899"/>
      <c r="AH6" s="4899"/>
      <c r="AI6" s="4899"/>
      <c r="AJ6" s="4899"/>
      <c r="AK6" s="4899"/>
      <c r="AL6" s="4899"/>
      <c r="AM6" s="4899"/>
      <c r="AN6" s="4899"/>
      <c r="AO6" s="4899"/>
      <c r="AP6" s="4899"/>
      <c r="AQ6" s="4899"/>
      <c r="AR6" s="4899"/>
      <c r="AS6" s="4899"/>
      <c r="AT6" s="4899"/>
      <c r="AU6" s="4899"/>
      <c r="AV6" s="4899"/>
      <c r="AW6" s="4899"/>
      <c r="AX6" s="4899"/>
      <c r="AY6" s="4899"/>
      <c r="AZ6" s="4899"/>
      <c r="BA6" s="4899"/>
      <c r="BB6" s="4899"/>
      <c r="BC6" s="4899"/>
      <c r="BD6" s="3695"/>
      <c r="BE6" s="3695"/>
      <c r="BF6" s="3695"/>
      <c r="BG6" s="3695"/>
      <c r="BH6" s="3695"/>
      <c r="BI6" s="3695"/>
      <c r="BJ6" s="3695"/>
      <c r="BK6" s="3695"/>
      <c r="BL6" s="3695"/>
      <c r="BM6" s="3695"/>
      <c r="BN6" s="3695"/>
      <c r="BO6" s="3695"/>
      <c r="BP6" s="3695"/>
      <c r="BQ6" s="3695"/>
      <c r="BR6" s="3695"/>
      <c r="BS6" s="3695"/>
      <c r="BT6" s="3695"/>
      <c r="BU6" s="3695"/>
      <c r="BV6" s="3695"/>
      <c r="BW6" s="3695"/>
      <c r="BX6" s="3695"/>
      <c r="BY6" s="315"/>
      <c r="BZ6" s="315"/>
      <c r="CA6" s="315"/>
      <c r="CB6" s="315"/>
      <c r="CC6" s="315"/>
      <c r="CD6" s="315"/>
      <c r="CE6" s="315"/>
      <c r="CF6" s="315"/>
      <c r="CG6" s="315"/>
      <c r="CH6" s="315"/>
      <c r="DD6" s="128"/>
      <c r="DE6" s="128"/>
      <c r="DF6" s="128"/>
      <c r="DG6" s="128"/>
      <c r="DH6" s="128"/>
      <c r="DI6" s="128"/>
      <c r="DJ6" s="128"/>
      <c r="DK6" s="128"/>
      <c r="DL6" s="128"/>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row>
    <row r="7" spans="1:157" ht="7.5" customHeight="1">
      <c r="A7" s="128"/>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row>
    <row r="8" spans="1:157" ht="7.5" customHeight="1">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row>
    <row r="9" spans="1:157" ht="7.5" customHeight="1">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row>
    <row r="10" spans="1:157" ht="7.5" customHeight="1">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row>
    <row r="11" spans="1:157" ht="7.5" customHeight="1">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row>
    <row r="12" spans="1:157" ht="7.5" customHeight="1">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row>
    <row r="13" spans="1:157" ht="7.5" customHeight="1">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row>
    <row r="14" spans="1:157" ht="7.5" customHeight="1">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row>
    <row r="15" spans="1:157" ht="7.5" customHeight="1">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row>
    <row r="16" spans="1:157" ht="7.5" customHeight="1">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row>
    <row r="17" spans="1:157" ht="7.5" customHeight="1">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row>
    <row r="18" spans="1:157" ht="7.5" customHeight="1">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row>
    <row r="19" spans="1:157" ht="7.5" customHeight="1" thickBot="1">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row>
    <row r="20" spans="1:157" s="45" customFormat="1" ht="7.5" customHeight="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370"/>
      <c r="BJ20" s="370"/>
      <c r="BK20" s="370"/>
      <c r="BL20" s="370"/>
      <c r="BM20" s="370"/>
      <c r="BN20" s="370"/>
      <c r="BO20" s="370"/>
      <c r="BP20" s="370"/>
      <c r="BQ20" s="370"/>
      <c r="BR20" s="370"/>
      <c r="BS20" s="370"/>
      <c r="BT20" s="370"/>
      <c r="BU20" s="370"/>
      <c r="BV20" s="370"/>
      <c r="BW20" s="370"/>
      <c r="BX20" s="370"/>
      <c r="BY20" s="370"/>
      <c r="BZ20" s="370"/>
      <c r="CA20" s="370"/>
      <c r="CB20" s="370"/>
      <c r="CC20" s="377"/>
      <c r="CD20" s="377"/>
      <c r="CE20" s="377"/>
      <c r="CF20" s="377"/>
      <c r="CG20" s="377"/>
      <c r="CH20" s="377"/>
      <c r="CI20" s="377"/>
      <c r="CJ20" s="377"/>
      <c r="CK20" s="377"/>
      <c r="CL20" s="377"/>
      <c r="CM20" s="377"/>
      <c r="CN20" s="377"/>
      <c r="CO20" s="377"/>
      <c r="CP20" s="377"/>
      <c r="CQ20" s="377"/>
      <c r="CR20" s="377"/>
      <c r="CS20" s="377"/>
      <c r="CT20" s="377"/>
      <c r="CU20" s="377"/>
      <c r="CV20" s="377"/>
      <c r="CW20" s="377"/>
      <c r="CX20" s="377"/>
      <c r="CY20" s="377"/>
      <c r="CZ20" s="377"/>
      <c r="DA20" s="377"/>
      <c r="DB20" s="377"/>
      <c r="DC20" s="377"/>
      <c r="DD20" s="377"/>
      <c r="DE20" s="370"/>
      <c r="DF20" s="370"/>
      <c r="DG20" s="370"/>
      <c r="DH20" s="370"/>
      <c r="DI20" s="370"/>
      <c r="DJ20" s="370"/>
      <c r="DK20" s="370"/>
      <c r="DL20" s="46"/>
    </row>
    <row r="21" spans="1:157"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4895"/>
      <c r="AD21" s="4895"/>
      <c r="AE21" s="4896"/>
      <c r="AF21" s="4897"/>
      <c r="AG21" s="4898"/>
      <c r="AH21" s="4898"/>
      <c r="AI21" s="4898"/>
      <c r="AJ21" s="4898"/>
      <c r="AK21" s="4898"/>
      <c r="AL21" s="4898"/>
      <c r="AM21" s="4898"/>
      <c r="AN21" s="4898"/>
      <c r="AO21" s="4898"/>
      <c r="AP21" s="4898"/>
      <c r="AQ21" s="4898"/>
      <c r="AR21" s="4898"/>
      <c r="AS21" s="4898"/>
      <c r="AT21" s="4898"/>
      <c r="AU21" s="4898"/>
      <c r="AV21" s="4898"/>
      <c r="AW21" s="4898"/>
      <c r="AX21" s="4898"/>
      <c r="AY21" s="4898"/>
      <c r="AZ21" s="4898"/>
      <c r="BA21" s="4898"/>
      <c r="BB21" s="4898"/>
      <c r="BC21" s="4898"/>
      <c r="BD21" s="4898"/>
      <c r="BE21" s="4898"/>
      <c r="BF21" s="4898"/>
      <c r="BG21" s="44"/>
      <c r="BH21" s="44"/>
      <c r="BI21" s="370"/>
      <c r="BJ21" s="370"/>
      <c r="BK21" s="370"/>
      <c r="BL21" s="370"/>
      <c r="BM21" s="370"/>
      <c r="BN21" s="370"/>
      <c r="BO21" s="370"/>
      <c r="BP21" s="370"/>
      <c r="BQ21" s="370"/>
      <c r="BR21" s="370"/>
      <c r="BS21" s="370"/>
      <c r="BT21" s="370"/>
      <c r="BU21" s="370"/>
      <c r="BV21" s="370"/>
      <c r="BW21" s="370"/>
      <c r="BX21" s="370"/>
      <c r="BY21" s="370"/>
      <c r="BZ21" s="370"/>
      <c r="CA21" s="370"/>
      <c r="CB21" s="370"/>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0"/>
      <c r="DF21" s="370"/>
      <c r="DG21" s="370"/>
      <c r="DH21" s="370"/>
      <c r="DI21" s="370"/>
      <c r="DJ21" s="370"/>
      <c r="DK21" s="370"/>
      <c r="DL21" s="46"/>
    </row>
    <row r="22" spans="1:157" s="45" customFormat="1" ht="7.5" customHeight="1" thickTop="1">
      <c r="A22" s="44"/>
      <c r="B22" s="829" t="s">
        <v>168</v>
      </c>
      <c r="C22" s="830"/>
      <c r="D22" s="830"/>
      <c r="E22" s="830"/>
      <c r="F22" s="830"/>
      <c r="G22" s="830"/>
      <c r="H22" s="830"/>
      <c r="I22" s="830"/>
      <c r="J22" s="830"/>
      <c r="K22" s="830"/>
      <c r="L22" s="830"/>
      <c r="M22" s="830"/>
      <c r="N22" s="830"/>
      <c r="O22" s="830"/>
      <c r="P22" s="830"/>
      <c r="Q22" s="830"/>
      <c r="R22" s="830"/>
      <c r="S22" s="830"/>
      <c r="T22" s="830"/>
      <c r="U22" s="830"/>
      <c r="V22" s="830"/>
      <c r="W22" s="830"/>
      <c r="X22" s="830"/>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4476" t="s">
        <v>792</v>
      </c>
      <c r="BJ22" s="4477"/>
      <c r="BK22" s="4477"/>
      <c r="BL22" s="4477"/>
      <c r="BM22" s="4477"/>
      <c r="BN22" s="4477"/>
      <c r="BO22" s="4477"/>
      <c r="BP22" s="4477"/>
      <c r="BQ22" s="4477"/>
      <c r="BR22" s="4477"/>
      <c r="BS22" s="4477"/>
      <c r="BT22" s="4477"/>
      <c r="BU22" s="4477"/>
      <c r="BV22" s="4477"/>
      <c r="BW22" s="4477"/>
      <c r="BX22" s="4477"/>
      <c r="BY22" s="4477"/>
      <c r="BZ22" s="4477"/>
      <c r="CA22" s="4477"/>
      <c r="CB22" s="4477"/>
      <c r="CC22" s="4477"/>
      <c r="CD22" s="4477"/>
      <c r="CE22" s="4477"/>
      <c r="CF22" s="4477"/>
      <c r="CG22" s="4477"/>
      <c r="CH22" s="4477"/>
      <c r="CI22" s="4477"/>
      <c r="CJ22" s="4477"/>
      <c r="CK22" s="4477"/>
      <c r="CL22" s="4477"/>
      <c r="CM22" s="4477"/>
      <c r="CN22" s="4477"/>
      <c r="CO22" s="4477"/>
      <c r="CP22" s="4477"/>
      <c r="CQ22" s="4477"/>
      <c r="CR22" s="4477"/>
      <c r="CS22" s="4477"/>
      <c r="CT22" s="4477"/>
      <c r="CU22" s="4477"/>
      <c r="CV22" s="4477"/>
      <c r="CW22" s="4477"/>
      <c r="CX22" s="4477"/>
      <c r="CY22" s="4477"/>
      <c r="CZ22" s="4477"/>
      <c r="DA22" s="4477"/>
      <c r="DB22" s="4477"/>
      <c r="DC22" s="4477"/>
      <c r="DD22" s="4477"/>
      <c r="DE22" s="4477"/>
      <c r="DF22" s="4477"/>
      <c r="DG22" s="4477"/>
      <c r="DH22" s="4477"/>
      <c r="DI22" s="4477"/>
      <c r="DJ22" s="4477"/>
      <c r="DK22" s="4478"/>
      <c r="DL22" s="47"/>
    </row>
    <row r="23" spans="1:157"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4479"/>
      <c r="BJ23" s="4480"/>
      <c r="BK23" s="4480"/>
      <c r="BL23" s="4480"/>
      <c r="BM23" s="4480"/>
      <c r="BN23" s="4480"/>
      <c r="BO23" s="4480"/>
      <c r="BP23" s="4480"/>
      <c r="BQ23" s="4480"/>
      <c r="BR23" s="4480"/>
      <c r="BS23" s="4480"/>
      <c r="BT23" s="4480"/>
      <c r="BU23" s="4480"/>
      <c r="BV23" s="4480"/>
      <c r="BW23" s="4480"/>
      <c r="BX23" s="4480"/>
      <c r="BY23" s="4480"/>
      <c r="BZ23" s="4480"/>
      <c r="CA23" s="4480"/>
      <c r="CB23" s="4480"/>
      <c r="CC23" s="4480"/>
      <c r="CD23" s="4480"/>
      <c r="CE23" s="4480"/>
      <c r="CF23" s="4480"/>
      <c r="CG23" s="4480"/>
      <c r="CH23" s="4480"/>
      <c r="CI23" s="4480"/>
      <c r="CJ23" s="4480"/>
      <c r="CK23" s="4480"/>
      <c r="CL23" s="4480"/>
      <c r="CM23" s="4480"/>
      <c r="CN23" s="4480"/>
      <c r="CO23" s="4480"/>
      <c r="CP23" s="4480"/>
      <c r="CQ23" s="4480"/>
      <c r="CR23" s="4480"/>
      <c r="CS23" s="4480"/>
      <c r="CT23" s="4480"/>
      <c r="CU23" s="4480"/>
      <c r="CV23" s="4480"/>
      <c r="CW23" s="4480"/>
      <c r="CX23" s="4480"/>
      <c r="CY23" s="4480"/>
      <c r="CZ23" s="4480"/>
      <c r="DA23" s="4480"/>
      <c r="DB23" s="4480"/>
      <c r="DC23" s="4480"/>
      <c r="DD23" s="4480"/>
      <c r="DE23" s="4480"/>
      <c r="DF23" s="4480"/>
      <c r="DG23" s="4480"/>
      <c r="DH23" s="4480"/>
      <c r="DI23" s="4480"/>
      <c r="DJ23" s="4480"/>
      <c r="DK23" s="4481"/>
      <c r="DL23" s="47"/>
    </row>
    <row r="24" spans="1:157" s="45" customFormat="1" ht="7.5" customHeight="1" thickBot="1">
      <c r="A24" s="44"/>
      <c r="B24" s="4900"/>
      <c r="C24" s="4901"/>
      <c r="D24" s="4901"/>
      <c r="E24" s="4901"/>
      <c r="F24" s="4901"/>
      <c r="G24" s="4901"/>
      <c r="H24" s="4901"/>
      <c r="I24" s="4901"/>
      <c r="J24" s="4901"/>
      <c r="K24" s="4901"/>
      <c r="L24" s="4901"/>
      <c r="M24" s="4901"/>
      <c r="N24" s="4901"/>
      <c r="O24" s="4901"/>
      <c r="P24" s="4901"/>
      <c r="Q24" s="4901"/>
      <c r="R24" s="4901"/>
      <c r="S24" s="4901"/>
      <c r="T24" s="4901"/>
      <c r="U24" s="4901"/>
      <c r="V24" s="4901"/>
      <c r="W24" s="4901"/>
      <c r="X24" s="4901"/>
      <c r="Y24" s="223"/>
      <c r="Z24" s="4874"/>
      <c r="AA24" s="4874"/>
      <c r="AB24" s="4874"/>
      <c r="AC24" s="4874"/>
      <c r="AD24" s="4874"/>
      <c r="AE24" s="4874"/>
      <c r="AF24" s="4874"/>
      <c r="AG24" s="4874"/>
      <c r="AH24" s="4874"/>
      <c r="AI24" s="4874"/>
      <c r="AJ24" s="4874"/>
      <c r="AK24" s="4874"/>
      <c r="AL24" s="4874"/>
      <c r="AM24" s="4874"/>
      <c r="AN24" s="4874"/>
      <c r="AO24" s="4874"/>
      <c r="AP24" s="4874"/>
      <c r="AQ24" s="4874"/>
      <c r="AR24" s="4874"/>
      <c r="AS24" s="4874"/>
      <c r="AT24" s="4874"/>
      <c r="AU24" s="4874"/>
      <c r="AV24" s="4874"/>
      <c r="AW24" s="4874"/>
      <c r="AX24" s="4874"/>
      <c r="AY24" s="4874"/>
      <c r="AZ24" s="4874"/>
      <c r="BA24" s="4874"/>
      <c r="BB24" s="4874"/>
      <c r="BC24" s="4874"/>
      <c r="BD24" s="4874"/>
      <c r="BE24" s="4874"/>
      <c r="BF24" s="4875"/>
      <c r="BG24" s="534"/>
      <c r="BH24" s="44"/>
      <c r="BI24" s="866" t="s">
        <v>72</v>
      </c>
      <c r="BJ24" s="867"/>
      <c r="BK24" s="867"/>
      <c r="BL24" s="867"/>
      <c r="BM24" s="868"/>
      <c r="BN24" s="4510"/>
      <c r="BO24" s="4511"/>
      <c r="BP24" s="4511"/>
      <c r="BQ24" s="4511"/>
      <c r="BR24" s="4511"/>
      <c r="BS24" s="4511"/>
      <c r="BT24" s="4511"/>
      <c r="BU24" s="4511"/>
      <c r="BV24" s="4511"/>
      <c r="BW24" s="4511"/>
      <c r="BX24" s="4511"/>
      <c r="BY24" s="4511"/>
      <c r="BZ24" s="4511"/>
      <c r="CA24" s="4511"/>
      <c r="CB24" s="4511"/>
      <c r="CC24" s="4511"/>
      <c r="CD24" s="4511"/>
      <c r="CE24" s="4511"/>
      <c r="CF24" s="4511"/>
      <c r="CG24" s="4511"/>
      <c r="CH24" s="4511"/>
      <c r="CI24" s="4511"/>
      <c r="CJ24" s="4511"/>
      <c r="CK24" s="4511"/>
      <c r="CL24" s="4511"/>
      <c r="CM24" s="4511"/>
      <c r="CN24" s="4511"/>
      <c r="CO24" s="4511"/>
      <c r="CP24" s="4511"/>
      <c r="CQ24" s="4511"/>
      <c r="CR24" s="4511"/>
      <c r="CS24" s="4511"/>
      <c r="CT24" s="4511"/>
      <c r="CU24" s="4512"/>
      <c r="CV24" s="800" t="s">
        <v>512</v>
      </c>
      <c r="CW24" s="800"/>
      <c r="CX24" s="800"/>
      <c r="CY24" s="800"/>
      <c r="CZ24" s="4501"/>
      <c r="DA24" s="4502"/>
      <c r="DB24" s="4502"/>
      <c r="DC24" s="4502"/>
      <c r="DD24" s="4502"/>
      <c r="DE24" s="4502"/>
      <c r="DF24" s="4502"/>
      <c r="DG24" s="4502"/>
      <c r="DH24" s="4502"/>
      <c r="DI24" s="4502"/>
      <c r="DJ24" s="4502"/>
      <c r="DK24" s="4503"/>
      <c r="DL24" s="147"/>
      <c r="DM24" s="147"/>
    </row>
    <row r="25" spans="1:157" s="45" customFormat="1" ht="7.5" customHeight="1" thickTop="1">
      <c r="A25" s="48"/>
      <c r="B25" s="2910" t="s">
        <v>566</v>
      </c>
      <c r="C25" s="2911"/>
      <c r="D25" s="2911"/>
      <c r="E25" s="2911"/>
      <c r="F25" s="2912"/>
      <c r="G25" s="4876"/>
      <c r="H25" s="4877"/>
      <c r="I25" s="4877"/>
      <c r="J25" s="4877"/>
      <c r="K25" s="4877"/>
      <c r="L25" s="4877"/>
      <c r="M25" s="4877"/>
      <c r="N25" s="4877"/>
      <c r="O25" s="4877"/>
      <c r="P25" s="4877"/>
      <c r="Q25" s="4877"/>
      <c r="R25" s="4877"/>
      <c r="S25" s="4877"/>
      <c r="T25" s="4877"/>
      <c r="U25" s="4877"/>
      <c r="V25" s="4877"/>
      <c r="W25" s="4877"/>
      <c r="X25" s="4877"/>
      <c r="Y25" s="4877"/>
      <c r="Z25" s="4877"/>
      <c r="AA25" s="4877"/>
      <c r="AB25" s="4877"/>
      <c r="AC25" s="4877"/>
      <c r="AD25" s="4878"/>
      <c r="AE25" s="4882" t="s">
        <v>170</v>
      </c>
      <c r="AF25" s="2920"/>
      <c r="AG25" s="2920"/>
      <c r="AH25" s="2920"/>
      <c r="AI25" s="4883"/>
      <c r="AJ25" s="2922"/>
      <c r="AK25" s="2923"/>
      <c r="AL25" s="2923"/>
      <c r="AM25" s="2923"/>
      <c r="AN25" s="2923"/>
      <c r="AO25" s="2923"/>
      <c r="AP25" s="2923"/>
      <c r="AQ25" s="2923"/>
      <c r="AR25" s="2923"/>
      <c r="AS25" s="2923"/>
      <c r="AT25" s="2923"/>
      <c r="AU25" s="2923"/>
      <c r="AV25" s="2923"/>
      <c r="AW25" s="2923"/>
      <c r="AX25" s="2923"/>
      <c r="AY25" s="2923"/>
      <c r="AZ25" s="2923"/>
      <c r="BA25" s="2923"/>
      <c r="BB25" s="2923"/>
      <c r="BC25" s="2923"/>
      <c r="BD25" s="2923"/>
      <c r="BE25" s="2923"/>
      <c r="BF25" s="2924"/>
      <c r="BG25" s="534"/>
      <c r="BH25" s="48"/>
      <c r="BI25" s="4886" t="s">
        <v>794</v>
      </c>
      <c r="BJ25" s="4887"/>
      <c r="BK25" s="4887"/>
      <c r="BL25" s="4887"/>
      <c r="BM25" s="4888"/>
      <c r="BN25" s="4472"/>
      <c r="BO25" s="4473"/>
      <c r="BP25" s="4473"/>
      <c r="BQ25" s="4473"/>
      <c r="BR25" s="4473"/>
      <c r="BS25" s="4473"/>
      <c r="BT25" s="4473"/>
      <c r="BU25" s="4473"/>
      <c r="BV25" s="4473"/>
      <c r="BW25" s="4473"/>
      <c r="BX25" s="4513"/>
      <c r="BY25" s="4514"/>
      <c r="BZ25" s="4514"/>
      <c r="CA25" s="4514"/>
      <c r="CB25" s="4514"/>
      <c r="CC25" s="4514"/>
      <c r="CD25" s="4514"/>
      <c r="CE25" s="4514"/>
      <c r="CF25" s="4514"/>
      <c r="CG25" s="4514"/>
      <c r="CH25" s="4514"/>
      <c r="CI25" s="4514"/>
      <c r="CJ25" s="4514"/>
      <c r="CK25" s="4514"/>
      <c r="CL25" s="4514"/>
      <c r="CM25" s="4517"/>
      <c r="CN25" s="4513"/>
      <c r="CO25" s="4514"/>
      <c r="CP25" s="4514"/>
      <c r="CQ25" s="4514"/>
      <c r="CR25" s="4514"/>
      <c r="CS25" s="4514"/>
      <c r="CT25" s="4514"/>
      <c r="CU25" s="4515"/>
      <c r="CV25" s="4893"/>
      <c r="CW25" s="4893"/>
      <c r="CX25" s="4893"/>
      <c r="CY25" s="4893"/>
      <c r="CZ25" s="4504"/>
      <c r="DA25" s="4505"/>
      <c r="DB25" s="4505"/>
      <c r="DC25" s="4505"/>
      <c r="DD25" s="4505"/>
      <c r="DE25" s="4505"/>
      <c r="DF25" s="4505"/>
      <c r="DG25" s="4505"/>
      <c r="DH25" s="4505"/>
      <c r="DI25" s="4505"/>
      <c r="DJ25" s="4505"/>
      <c r="DK25" s="4506"/>
      <c r="DL25" s="147"/>
      <c r="DM25" s="147"/>
    </row>
    <row r="26" spans="1:157" s="45" customFormat="1" ht="7.5" customHeight="1" thickBot="1">
      <c r="A26" s="48"/>
      <c r="B26" s="2913"/>
      <c r="C26" s="2914"/>
      <c r="D26" s="2914"/>
      <c r="E26" s="2914"/>
      <c r="F26" s="2915"/>
      <c r="G26" s="4879"/>
      <c r="H26" s="4880"/>
      <c r="I26" s="4880"/>
      <c r="J26" s="4880"/>
      <c r="K26" s="4880"/>
      <c r="L26" s="4880"/>
      <c r="M26" s="4880"/>
      <c r="N26" s="4880"/>
      <c r="O26" s="4880"/>
      <c r="P26" s="4880"/>
      <c r="Q26" s="4880"/>
      <c r="R26" s="4880"/>
      <c r="S26" s="4880"/>
      <c r="T26" s="4880"/>
      <c r="U26" s="4880"/>
      <c r="V26" s="4880"/>
      <c r="W26" s="4880"/>
      <c r="X26" s="4880"/>
      <c r="Y26" s="4880"/>
      <c r="Z26" s="4880"/>
      <c r="AA26" s="4880"/>
      <c r="AB26" s="4880"/>
      <c r="AC26" s="4880"/>
      <c r="AD26" s="4881"/>
      <c r="AE26" s="4884"/>
      <c r="AF26" s="2921"/>
      <c r="AG26" s="2921"/>
      <c r="AH26" s="2921"/>
      <c r="AI26" s="4885"/>
      <c r="AJ26" s="2925"/>
      <c r="AK26" s="2926"/>
      <c r="AL26" s="2926"/>
      <c r="AM26" s="2926"/>
      <c r="AN26" s="2926"/>
      <c r="AO26" s="2926"/>
      <c r="AP26" s="2926"/>
      <c r="AQ26" s="2926"/>
      <c r="AR26" s="2926"/>
      <c r="AS26" s="2926"/>
      <c r="AT26" s="2926"/>
      <c r="AU26" s="2926"/>
      <c r="AV26" s="2926"/>
      <c r="AW26" s="2926"/>
      <c r="AX26" s="2926"/>
      <c r="AY26" s="2926"/>
      <c r="AZ26" s="2926"/>
      <c r="BA26" s="2926"/>
      <c r="BB26" s="2926"/>
      <c r="BC26" s="2926"/>
      <c r="BD26" s="2926"/>
      <c r="BE26" s="2926"/>
      <c r="BF26" s="2927"/>
      <c r="BG26" s="48"/>
      <c r="BH26" s="48"/>
      <c r="BI26" s="4889"/>
      <c r="BJ26" s="4890"/>
      <c r="BK26" s="4890"/>
      <c r="BL26" s="4890"/>
      <c r="BM26" s="4891"/>
      <c r="BN26" s="4474"/>
      <c r="BO26" s="4475"/>
      <c r="BP26" s="4475"/>
      <c r="BQ26" s="4475"/>
      <c r="BR26" s="4475"/>
      <c r="BS26" s="4475"/>
      <c r="BT26" s="4475"/>
      <c r="BU26" s="4475"/>
      <c r="BV26" s="4475"/>
      <c r="BW26" s="4475"/>
      <c r="BX26" s="4507"/>
      <c r="BY26" s="4508"/>
      <c r="BZ26" s="4508"/>
      <c r="CA26" s="4508"/>
      <c r="CB26" s="4508"/>
      <c r="CC26" s="4508"/>
      <c r="CD26" s="4508"/>
      <c r="CE26" s="4508"/>
      <c r="CF26" s="4508"/>
      <c r="CG26" s="4508"/>
      <c r="CH26" s="4508"/>
      <c r="CI26" s="4508"/>
      <c r="CJ26" s="4508"/>
      <c r="CK26" s="4508"/>
      <c r="CL26" s="4508"/>
      <c r="CM26" s="4518"/>
      <c r="CN26" s="4507"/>
      <c r="CO26" s="4508"/>
      <c r="CP26" s="4508"/>
      <c r="CQ26" s="4508"/>
      <c r="CR26" s="4508"/>
      <c r="CS26" s="4508"/>
      <c r="CT26" s="4508"/>
      <c r="CU26" s="4516"/>
      <c r="CV26" s="803"/>
      <c r="CW26" s="803"/>
      <c r="CX26" s="803"/>
      <c r="CY26" s="803"/>
      <c r="CZ26" s="4507"/>
      <c r="DA26" s="4508"/>
      <c r="DB26" s="4508"/>
      <c r="DC26" s="4508"/>
      <c r="DD26" s="4508"/>
      <c r="DE26" s="4508"/>
      <c r="DF26" s="4508"/>
      <c r="DG26" s="4508"/>
      <c r="DH26" s="4508"/>
      <c r="DI26" s="4508"/>
      <c r="DJ26" s="4508"/>
      <c r="DK26" s="4509"/>
      <c r="DL26" s="147"/>
      <c r="DM26" s="147"/>
      <c r="DN26" s="49"/>
      <c r="DO26" s="49"/>
    </row>
    <row r="27" spans="1:157"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857" t="s">
        <v>75</v>
      </c>
      <c r="BJ27" s="858"/>
      <c r="BK27" s="858"/>
      <c r="BL27" s="858"/>
      <c r="BM27" s="859"/>
      <c r="BN27" s="3127" t="s">
        <v>73</v>
      </c>
      <c r="BO27" s="3128"/>
      <c r="BP27" s="3128"/>
      <c r="BQ27" s="3128"/>
      <c r="BR27" s="3128"/>
      <c r="BS27" s="3129"/>
      <c r="BT27" s="3133"/>
      <c r="BU27" s="3134"/>
      <c r="BV27" s="3134"/>
      <c r="BW27" s="3134"/>
      <c r="BX27" s="3134"/>
      <c r="BY27" s="3134"/>
      <c r="BZ27" s="3134"/>
      <c r="CA27" s="3134"/>
      <c r="CB27" s="3134"/>
      <c r="CC27" s="3134"/>
      <c r="CD27" s="3135"/>
      <c r="CE27" s="3127" t="s">
        <v>11</v>
      </c>
      <c r="CF27" s="3128"/>
      <c r="CG27" s="3128"/>
      <c r="CH27" s="3128"/>
      <c r="CI27" s="3128"/>
      <c r="CJ27" s="3129"/>
      <c r="CK27" s="3133"/>
      <c r="CL27" s="3134"/>
      <c r="CM27" s="3134"/>
      <c r="CN27" s="3134"/>
      <c r="CO27" s="3134"/>
      <c r="CP27" s="3134"/>
      <c r="CQ27" s="3134"/>
      <c r="CR27" s="3134"/>
      <c r="CS27" s="3134"/>
      <c r="CT27" s="3134"/>
      <c r="CU27" s="3135"/>
      <c r="CV27" s="799" t="s">
        <v>74</v>
      </c>
      <c r="CW27" s="800"/>
      <c r="CX27" s="800"/>
      <c r="CY27" s="800"/>
      <c r="CZ27" s="800"/>
      <c r="DA27" s="801"/>
      <c r="DB27" s="4489"/>
      <c r="DC27" s="4490"/>
      <c r="DD27" s="4490"/>
      <c r="DE27" s="4490"/>
      <c r="DF27" s="4490"/>
      <c r="DG27" s="4490"/>
      <c r="DH27" s="4490"/>
      <c r="DI27" s="4490"/>
      <c r="DJ27" s="4490"/>
      <c r="DK27" s="4491"/>
      <c r="DL27" s="147"/>
      <c r="DM27" s="147"/>
      <c r="DN27" s="49"/>
      <c r="DO27" s="49"/>
    </row>
    <row r="28" spans="1:157" s="45" customFormat="1" ht="7.5" customHeight="1" thickTop="1">
      <c r="A28" s="48"/>
      <c r="B28" s="4476" t="s">
        <v>892</v>
      </c>
      <c r="C28" s="4477"/>
      <c r="D28" s="4477"/>
      <c r="E28" s="4477"/>
      <c r="F28" s="4477"/>
      <c r="G28" s="4477"/>
      <c r="H28" s="4477"/>
      <c r="I28" s="4477"/>
      <c r="J28" s="4477"/>
      <c r="K28" s="4477"/>
      <c r="L28" s="4477"/>
      <c r="M28" s="4477"/>
      <c r="N28" s="4477"/>
      <c r="O28" s="4477"/>
      <c r="P28" s="4477"/>
      <c r="Q28" s="4477"/>
      <c r="R28" s="4477"/>
      <c r="S28" s="4477"/>
      <c r="T28" s="4477"/>
      <c r="U28" s="4477"/>
      <c r="V28" s="4477"/>
      <c r="W28" s="4477"/>
      <c r="X28" s="4477"/>
      <c r="Y28" s="4477"/>
      <c r="Z28" s="4477"/>
      <c r="AA28" s="4477"/>
      <c r="AB28" s="4477"/>
      <c r="AC28" s="4477"/>
      <c r="AD28" s="4477"/>
      <c r="AE28" s="4477"/>
      <c r="AF28" s="4477"/>
      <c r="AG28" s="4477"/>
      <c r="AH28" s="4477"/>
      <c r="AI28" s="4477"/>
      <c r="AJ28" s="4477"/>
      <c r="AK28" s="4477"/>
      <c r="AL28" s="4477"/>
      <c r="AM28" s="4477"/>
      <c r="AN28" s="4477"/>
      <c r="AO28" s="4477"/>
      <c r="AP28" s="4477"/>
      <c r="AQ28" s="4477"/>
      <c r="AR28" s="4477"/>
      <c r="AS28" s="4477"/>
      <c r="AT28" s="4477"/>
      <c r="AU28" s="4477"/>
      <c r="AV28" s="4477"/>
      <c r="AW28" s="4477"/>
      <c r="AX28" s="4477"/>
      <c r="AY28" s="4477"/>
      <c r="AZ28" s="4477"/>
      <c r="BA28" s="4477"/>
      <c r="BB28" s="4477"/>
      <c r="BC28" s="4477"/>
      <c r="BD28" s="4477"/>
      <c r="BE28" s="4477"/>
      <c r="BF28" s="4478"/>
      <c r="BG28" s="48"/>
      <c r="BH28" s="48"/>
      <c r="BI28" s="860"/>
      <c r="BJ28" s="861"/>
      <c r="BK28" s="861"/>
      <c r="BL28" s="861"/>
      <c r="BM28" s="862"/>
      <c r="BN28" s="3130"/>
      <c r="BO28" s="3131"/>
      <c r="BP28" s="3131"/>
      <c r="BQ28" s="3131"/>
      <c r="BR28" s="3131"/>
      <c r="BS28" s="3132"/>
      <c r="BT28" s="3136"/>
      <c r="BU28" s="3137"/>
      <c r="BV28" s="3137"/>
      <c r="BW28" s="3137"/>
      <c r="BX28" s="3137"/>
      <c r="BY28" s="3137"/>
      <c r="BZ28" s="3137"/>
      <c r="CA28" s="3137"/>
      <c r="CB28" s="3137"/>
      <c r="CC28" s="3137"/>
      <c r="CD28" s="3138"/>
      <c r="CE28" s="3130"/>
      <c r="CF28" s="3131"/>
      <c r="CG28" s="3131"/>
      <c r="CH28" s="3131"/>
      <c r="CI28" s="3131"/>
      <c r="CJ28" s="3132"/>
      <c r="CK28" s="3136"/>
      <c r="CL28" s="3137"/>
      <c r="CM28" s="3137"/>
      <c r="CN28" s="3137"/>
      <c r="CO28" s="3137"/>
      <c r="CP28" s="3137"/>
      <c r="CQ28" s="3137"/>
      <c r="CR28" s="3137"/>
      <c r="CS28" s="3137"/>
      <c r="CT28" s="3137"/>
      <c r="CU28" s="3138"/>
      <c r="CV28" s="802"/>
      <c r="CW28" s="803"/>
      <c r="CX28" s="803"/>
      <c r="CY28" s="803"/>
      <c r="CZ28" s="803"/>
      <c r="DA28" s="804"/>
      <c r="DB28" s="4492"/>
      <c r="DC28" s="4493"/>
      <c r="DD28" s="4493"/>
      <c r="DE28" s="4493"/>
      <c r="DF28" s="4493"/>
      <c r="DG28" s="4493"/>
      <c r="DH28" s="4493"/>
      <c r="DI28" s="4493"/>
      <c r="DJ28" s="4493"/>
      <c r="DK28" s="4494"/>
      <c r="DL28" s="147"/>
      <c r="DM28" s="147"/>
      <c r="DN28" s="49"/>
      <c r="DO28" s="49"/>
    </row>
    <row r="29" spans="1:157" s="45" customFormat="1" ht="7.5" customHeight="1">
      <c r="A29" s="48"/>
      <c r="B29" s="4479"/>
      <c r="C29" s="4480"/>
      <c r="D29" s="4480"/>
      <c r="E29" s="4480"/>
      <c r="F29" s="4480"/>
      <c r="G29" s="4480"/>
      <c r="H29" s="4480"/>
      <c r="I29" s="4480"/>
      <c r="J29" s="4480"/>
      <c r="K29" s="4480"/>
      <c r="L29" s="4480"/>
      <c r="M29" s="4480"/>
      <c r="N29" s="4480"/>
      <c r="O29" s="4480"/>
      <c r="P29" s="4480"/>
      <c r="Q29" s="4480"/>
      <c r="R29" s="4480"/>
      <c r="S29" s="4480"/>
      <c r="T29" s="4480"/>
      <c r="U29" s="4480"/>
      <c r="V29" s="4480"/>
      <c r="W29" s="4480"/>
      <c r="X29" s="4480"/>
      <c r="Y29" s="4480"/>
      <c r="Z29" s="4480"/>
      <c r="AA29" s="4480"/>
      <c r="AB29" s="4480"/>
      <c r="AC29" s="4480"/>
      <c r="AD29" s="4480"/>
      <c r="AE29" s="4480"/>
      <c r="AF29" s="4480"/>
      <c r="AG29" s="4480"/>
      <c r="AH29" s="4480"/>
      <c r="AI29" s="4480"/>
      <c r="AJ29" s="4480"/>
      <c r="AK29" s="4480"/>
      <c r="AL29" s="4480"/>
      <c r="AM29" s="4480"/>
      <c r="AN29" s="4480"/>
      <c r="AO29" s="4480"/>
      <c r="AP29" s="4480"/>
      <c r="AQ29" s="4480"/>
      <c r="AR29" s="4480"/>
      <c r="AS29" s="4480"/>
      <c r="AT29" s="4480"/>
      <c r="AU29" s="4480"/>
      <c r="AV29" s="4480"/>
      <c r="AW29" s="4480"/>
      <c r="AX29" s="4480"/>
      <c r="AY29" s="4480"/>
      <c r="AZ29" s="4480"/>
      <c r="BA29" s="4480"/>
      <c r="BB29" s="4480"/>
      <c r="BC29" s="4480"/>
      <c r="BD29" s="4480"/>
      <c r="BE29" s="4480"/>
      <c r="BF29" s="4481"/>
      <c r="BG29" s="48"/>
      <c r="BH29" s="48"/>
      <c r="BI29" s="860"/>
      <c r="BJ29" s="861"/>
      <c r="BK29" s="861"/>
      <c r="BL29" s="861"/>
      <c r="BM29" s="862"/>
      <c r="BN29" s="799" t="s">
        <v>76</v>
      </c>
      <c r="BO29" s="800"/>
      <c r="BP29" s="800"/>
      <c r="BQ29" s="800"/>
      <c r="BR29" s="800"/>
      <c r="BS29" s="801"/>
      <c r="BT29" s="793"/>
      <c r="BU29" s="794"/>
      <c r="BV29" s="794"/>
      <c r="BW29" s="794"/>
      <c r="BX29" s="794"/>
      <c r="BY29" s="794"/>
      <c r="BZ29" s="794"/>
      <c r="CA29" s="794"/>
      <c r="CB29" s="794"/>
      <c r="CC29" s="794"/>
      <c r="CD29" s="794"/>
      <c r="CE29" s="794"/>
      <c r="CF29" s="794"/>
      <c r="CG29" s="794"/>
      <c r="CH29" s="794"/>
      <c r="CI29" s="794"/>
      <c r="CJ29" s="794"/>
      <c r="CK29" s="794"/>
      <c r="CL29" s="794"/>
      <c r="CM29" s="795"/>
      <c r="CN29" s="799" t="s">
        <v>77</v>
      </c>
      <c r="CO29" s="800"/>
      <c r="CP29" s="800"/>
      <c r="CQ29" s="800"/>
      <c r="CR29" s="800"/>
      <c r="CS29" s="801"/>
      <c r="CT29" s="4495"/>
      <c r="CU29" s="4496"/>
      <c r="CV29" s="4496"/>
      <c r="CW29" s="4496"/>
      <c r="CX29" s="4496"/>
      <c r="CY29" s="4496"/>
      <c r="CZ29" s="4496"/>
      <c r="DA29" s="4496"/>
      <c r="DB29" s="4496"/>
      <c r="DC29" s="4496"/>
      <c r="DD29" s="4496"/>
      <c r="DE29" s="4496"/>
      <c r="DF29" s="4496"/>
      <c r="DG29" s="4496"/>
      <c r="DH29" s="4496"/>
      <c r="DI29" s="4496"/>
      <c r="DJ29" s="4496"/>
      <c r="DK29" s="4497"/>
      <c r="DL29" s="147"/>
      <c r="DM29" s="147"/>
      <c r="DN29" s="49"/>
      <c r="DO29" s="49"/>
    </row>
    <row r="30" spans="1:157" s="45" customFormat="1" ht="7.5" customHeight="1" thickBot="1">
      <c r="A30" s="48"/>
      <c r="B30" s="1090" t="s">
        <v>72</v>
      </c>
      <c r="C30" s="1091"/>
      <c r="D30" s="1091"/>
      <c r="E30" s="1091"/>
      <c r="F30" s="1092"/>
      <c r="G30" s="3139"/>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0"/>
      <c r="AK30" s="3140"/>
      <c r="AL30" s="3140"/>
      <c r="AM30" s="3140"/>
      <c r="AN30" s="3140"/>
      <c r="AO30" s="3140"/>
      <c r="AP30" s="3140"/>
      <c r="AQ30" s="3140"/>
      <c r="AR30" s="3140"/>
      <c r="AS30" s="3140"/>
      <c r="AT30" s="3140"/>
      <c r="AU30" s="3140"/>
      <c r="AV30" s="3140"/>
      <c r="AW30" s="3140"/>
      <c r="AX30" s="3140"/>
      <c r="AY30" s="3140"/>
      <c r="AZ30" s="3140"/>
      <c r="BA30" s="3140"/>
      <c r="BB30" s="3140"/>
      <c r="BC30" s="3140"/>
      <c r="BD30" s="3140"/>
      <c r="BE30" s="3140"/>
      <c r="BF30" s="3141"/>
      <c r="BG30" s="48"/>
      <c r="BH30" s="48"/>
      <c r="BI30" s="4482"/>
      <c r="BJ30" s="4483"/>
      <c r="BK30" s="4483"/>
      <c r="BL30" s="4483"/>
      <c r="BM30" s="4484"/>
      <c r="BN30" s="3686"/>
      <c r="BO30" s="3687"/>
      <c r="BP30" s="3687"/>
      <c r="BQ30" s="3687"/>
      <c r="BR30" s="3687"/>
      <c r="BS30" s="4485"/>
      <c r="BT30" s="4486"/>
      <c r="BU30" s="4487"/>
      <c r="BV30" s="4487"/>
      <c r="BW30" s="4487"/>
      <c r="BX30" s="4487"/>
      <c r="BY30" s="4487"/>
      <c r="BZ30" s="4487"/>
      <c r="CA30" s="4487"/>
      <c r="CB30" s="4487"/>
      <c r="CC30" s="4487"/>
      <c r="CD30" s="4487"/>
      <c r="CE30" s="4487"/>
      <c r="CF30" s="4487"/>
      <c r="CG30" s="4487"/>
      <c r="CH30" s="4487"/>
      <c r="CI30" s="4487"/>
      <c r="CJ30" s="4487"/>
      <c r="CK30" s="4487"/>
      <c r="CL30" s="4487"/>
      <c r="CM30" s="4488"/>
      <c r="CN30" s="3686"/>
      <c r="CO30" s="3687"/>
      <c r="CP30" s="3687"/>
      <c r="CQ30" s="3687"/>
      <c r="CR30" s="3687"/>
      <c r="CS30" s="4485"/>
      <c r="CT30" s="4498"/>
      <c r="CU30" s="4499"/>
      <c r="CV30" s="4499"/>
      <c r="CW30" s="4499"/>
      <c r="CX30" s="4499"/>
      <c r="CY30" s="4499"/>
      <c r="CZ30" s="4499"/>
      <c r="DA30" s="4499"/>
      <c r="DB30" s="4499"/>
      <c r="DC30" s="4499"/>
      <c r="DD30" s="4499"/>
      <c r="DE30" s="4499"/>
      <c r="DF30" s="4499"/>
      <c r="DG30" s="4499"/>
      <c r="DH30" s="4499"/>
      <c r="DI30" s="4499"/>
      <c r="DJ30" s="4499"/>
      <c r="DK30" s="4500"/>
      <c r="DL30" s="147"/>
      <c r="DM30" s="147"/>
    </row>
    <row r="31" spans="1:157" s="45" customFormat="1" ht="7.5" customHeight="1" thickTop="1" thickBot="1">
      <c r="A31" s="48"/>
      <c r="B31" s="1093" t="s">
        <v>794</v>
      </c>
      <c r="C31" s="1094"/>
      <c r="D31" s="1094"/>
      <c r="E31" s="1094"/>
      <c r="F31" s="1095"/>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368"/>
      <c r="BJ31" s="368"/>
      <c r="BK31" s="368"/>
      <c r="BL31" s="368"/>
      <c r="BM31" s="368"/>
      <c r="BN31" s="532"/>
      <c r="BO31" s="532"/>
      <c r="BP31" s="532"/>
      <c r="BQ31" s="532"/>
      <c r="BR31" s="532"/>
      <c r="BS31" s="532"/>
      <c r="BT31" s="532"/>
      <c r="BU31" s="532"/>
      <c r="BV31" s="532"/>
      <c r="BW31" s="532"/>
      <c r="BX31" s="532"/>
      <c r="BY31" s="532"/>
      <c r="BZ31" s="532"/>
      <c r="CA31" s="532"/>
      <c r="CB31" s="532"/>
      <c r="CC31" s="532"/>
      <c r="CD31" s="532"/>
      <c r="CE31" s="532"/>
      <c r="CF31" s="532"/>
      <c r="CG31" s="532"/>
      <c r="CH31" s="532"/>
      <c r="CI31" s="532"/>
      <c r="CJ31" s="532"/>
      <c r="CK31" s="368"/>
      <c r="CL31" s="368"/>
      <c r="CM31" s="368"/>
      <c r="CN31" s="368"/>
      <c r="CO31" s="368"/>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369"/>
      <c r="DL31" s="50"/>
    </row>
    <row r="32" spans="1:157" s="45" customFormat="1" ht="7.5" customHeight="1" thickTop="1">
      <c r="A32" s="48"/>
      <c r="B32" s="1096"/>
      <c r="C32" s="1097"/>
      <c r="D32" s="1097"/>
      <c r="E32" s="1097"/>
      <c r="F32" s="1098"/>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783" t="s">
        <v>564</v>
      </c>
      <c r="BJ32" s="784"/>
      <c r="BK32" s="784"/>
      <c r="BL32" s="784"/>
      <c r="BM32" s="784"/>
      <c r="BN32" s="784"/>
      <c r="BO32" s="784"/>
      <c r="BP32" s="784"/>
      <c r="BQ32" s="784"/>
      <c r="BR32" s="784"/>
      <c r="BS32" s="784"/>
      <c r="BT32" s="784"/>
      <c r="BU32" s="784"/>
      <c r="BV32" s="784"/>
      <c r="BW32" s="784"/>
      <c r="BX32" s="784"/>
      <c r="BY32" s="784"/>
      <c r="BZ32" s="784"/>
      <c r="CA32" s="784"/>
      <c r="CB32" s="784"/>
      <c r="CC32" s="4458" t="s">
        <v>902</v>
      </c>
      <c r="CD32" s="4459"/>
      <c r="CE32" s="4459"/>
      <c r="CF32" s="4459"/>
      <c r="CG32" s="4459"/>
      <c r="CH32" s="4459"/>
      <c r="CI32" s="4459"/>
      <c r="CJ32" s="4459"/>
      <c r="CK32" s="4459"/>
      <c r="CL32" s="4459"/>
      <c r="CM32" s="4459"/>
      <c r="CN32" s="4459"/>
      <c r="CO32" s="4459"/>
      <c r="CP32" s="4459"/>
      <c r="CQ32" s="4459"/>
      <c r="CR32" s="4459"/>
      <c r="CS32" s="4459"/>
      <c r="CT32" s="4459"/>
      <c r="CU32" s="4459"/>
      <c r="CV32" s="4459"/>
      <c r="CW32" s="4459"/>
      <c r="CX32" s="4459"/>
      <c r="CY32" s="4459"/>
      <c r="CZ32" s="4459"/>
      <c r="DA32" s="4459"/>
      <c r="DB32" s="4459"/>
      <c r="DC32" s="4459"/>
      <c r="DD32" s="4460"/>
      <c r="DE32" s="875"/>
      <c r="DF32" s="875"/>
      <c r="DG32" s="875"/>
      <c r="DH32" s="875"/>
      <c r="DI32" s="875"/>
      <c r="DJ32" s="875"/>
      <c r="DK32" s="876"/>
      <c r="DL32" s="51"/>
    </row>
    <row r="33" spans="1:116" s="45" customFormat="1" ht="7.5" customHeight="1">
      <c r="A33" s="48"/>
      <c r="B33" s="1117" t="s">
        <v>75</v>
      </c>
      <c r="C33" s="1118"/>
      <c r="D33" s="1118"/>
      <c r="E33" s="1118"/>
      <c r="F33" s="1119"/>
      <c r="G33" s="3127" t="s">
        <v>73</v>
      </c>
      <c r="H33" s="3128"/>
      <c r="I33" s="3128"/>
      <c r="J33" s="3128"/>
      <c r="K33" s="3128"/>
      <c r="L33" s="3129"/>
      <c r="M33" s="3133"/>
      <c r="N33" s="3134"/>
      <c r="O33" s="3134"/>
      <c r="P33" s="3134"/>
      <c r="Q33" s="3134"/>
      <c r="R33" s="3134"/>
      <c r="S33" s="3134"/>
      <c r="T33" s="3134"/>
      <c r="U33" s="3134"/>
      <c r="V33" s="3134"/>
      <c r="W33" s="3135"/>
      <c r="X33" s="3127" t="s">
        <v>11</v>
      </c>
      <c r="Y33" s="3128"/>
      <c r="Z33" s="3128"/>
      <c r="AA33" s="3128"/>
      <c r="AB33" s="3128"/>
      <c r="AC33" s="3129"/>
      <c r="AD33" s="3133"/>
      <c r="AE33" s="3134"/>
      <c r="AF33" s="3134"/>
      <c r="AG33" s="3134"/>
      <c r="AH33" s="3134"/>
      <c r="AI33" s="3134"/>
      <c r="AJ33" s="3134"/>
      <c r="AK33" s="3134"/>
      <c r="AL33" s="3134"/>
      <c r="AM33" s="3134"/>
      <c r="AN33" s="3135"/>
      <c r="AO33" s="3127" t="s">
        <v>74</v>
      </c>
      <c r="AP33" s="3128"/>
      <c r="AQ33" s="3128"/>
      <c r="AR33" s="3128"/>
      <c r="AS33" s="3128"/>
      <c r="AT33" s="3129"/>
      <c r="AU33" s="3133"/>
      <c r="AV33" s="3134"/>
      <c r="AW33" s="3134"/>
      <c r="AX33" s="3134"/>
      <c r="AY33" s="3134"/>
      <c r="AZ33" s="3134"/>
      <c r="BA33" s="3134"/>
      <c r="BB33" s="3134"/>
      <c r="BC33" s="3134"/>
      <c r="BD33" s="3134"/>
      <c r="BE33" s="3134"/>
      <c r="BF33" s="3142"/>
      <c r="BG33" s="48"/>
      <c r="BH33" s="48"/>
      <c r="BI33" s="785"/>
      <c r="BJ33" s="786"/>
      <c r="BK33" s="786"/>
      <c r="BL33" s="786"/>
      <c r="BM33" s="786"/>
      <c r="BN33" s="786"/>
      <c r="BO33" s="786"/>
      <c r="BP33" s="786"/>
      <c r="BQ33" s="786"/>
      <c r="BR33" s="786"/>
      <c r="BS33" s="786"/>
      <c r="BT33" s="786"/>
      <c r="BU33" s="786"/>
      <c r="BV33" s="786"/>
      <c r="BW33" s="786"/>
      <c r="BX33" s="786"/>
      <c r="BY33" s="786"/>
      <c r="BZ33" s="786"/>
      <c r="CA33" s="786"/>
      <c r="CB33" s="786"/>
      <c r="CC33" s="4461"/>
      <c r="CD33" s="4462"/>
      <c r="CE33" s="4462"/>
      <c r="CF33" s="4462"/>
      <c r="CG33" s="4462"/>
      <c r="CH33" s="4462"/>
      <c r="CI33" s="4462"/>
      <c r="CJ33" s="4462"/>
      <c r="CK33" s="4462"/>
      <c r="CL33" s="4462"/>
      <c r="CM33" s="4462"/>
      <c r="CN33" s="4462"/>
      <c r="CO33" s="4462"/>
      <c r="CP33" s="4462"/>
      <c r="CQ33" s="4462"/>
      <c r="CR33" s="4462"/>
      <c r="CS33" s="4462"/>
      <c r="CT33" s="4462"/>
      <c r="CU33" s="4462"/>
      <c r="CV33" s="4462"/>
      <c r="CW33" s="4462"/>
      <c r="CX33" s="4462"/>
      <c r="CY33" s="4462"/>
      <c r="CZ33" s="4462"/>
      <c r="DA33" s="4462"/>
      <c r="DB33" s="4462"/>
      <c r="DC33" s="4462"/>
      <c r="DD33" s="4463"/>
      <c r="DE33" s="877"/>
      <c r="DF33" s="877"/>
      <c r="DG33" s="877"/>
      <c r="DH33" s="877"/>
      <c r="DI33" s="877"/>
      <c r="DJ33" s="877"/>
      <c r="DK33" s="878"/>
      <c r="DL33" s="51"/>
    </row>
    <row r="34" spans="1:116" s="45" customFormat="1" ht="7.5" customHeight="1">
      <c r="A34" s="48"/>
      <c r="B34" s="1120"/>
      <c r="C34" s="1121"/>
      <c r="D34" s="1121"/>
      <c r="E34" s="1121"/>
      <c r="F34" s="1122"/>
      <c r="G34" s="3130"/>
      <c r="H34" s="3131"/>
      <c r="I34" s="3131"/>
      <c r="J34" s="3131"/>
      <c r="K34" s="3131"/>
      <c r="L34" s="3132"/>
      <c r="M34" s="3136"/>
      <c r="N34" s="3137"/>
      <c r="O34" s="3137"/>
      <c r="P34" s="3137"/>
      <c r="Q34" s="3137"/>
      <c r="R34" s="3137"/>
      <c r="S34" s="3137"/>
      <c r="T34" s="3137"/>
      <c r="U34" s="3137"/>
      <c r="V34" s="3137"/>
      <c r="W34" s="3138"/>
      <c r="X34" s="3130"/>
      <c r="Y34" s="3131"/>
      <c r="Z34" s="3131"/>
      <c r="AA34" s="3131"/>
      <c r="AB34" s="3131"/>
      <c r="AC34" s="3132"/>
      <c r="AD34" s="3136"/>
      <c r="AE34" s="3137"/>
      <c r="AF34" s="3137"/>
      <c r="AG34" s="3137"/>
      <c r="AH34" s="3137"/>
      <c r="AI34" s="3137"/>
      <c r="AJ34" s="3137"/>
      <c r="AK34" s="3137"/>
      <c r="AL34" s="3137"/>
      <c r="AM34" s="3137"/>
      <c r="AN34" s="3138"/>
      <c r="AO34" s="3130"/>
      <c r="AP34" s="3131"/>
      <c r="AQ34" s="3131"/>
      <c r="AR34" s="3131"/>
      <c r="AS34" s="3131"/>
      <c r="AT34" s="3132"/>
      <c r="AU34" s="3136"/>
      <c r="AV34" s="3137"/>
      <c r="AW34" s="3137"/>
      <c r="AX34" s="3137"/>
      <c r="AY34" s="3137"/>
      <c r="AZ34" s="3137"/>
      <c r="BA34" s="3137"/>
      <c r="BB34" s="3137"/>
      <c r="BC34" s="3137"/>
      <c r="BD34" s="3137"/>
      <c r="BE34" s="3137"/>
      <c r="BF34" s="3143"/>
      <c r="BG34" s="48"/>
      <c r="BH34" s="48"/>
      <c r="BI34" s="1012" t="s">
        <v>3</v>
      </c>
      <c r="BJ34" s="800"/>
      <c r="BK34" s="800"/>
      <c r="BL34" s="800"/>
      <c r="BM34" s="3685"/>
      <c r="BN34" s="963"/>
      <c r="BO34" s="964"/>
      <c r="BP34" s="964"/>
      <c r="BQ34" s="964"/>
      <c r="BR34" s="964"/>
      <c r="BS34" s="964"/>
      <c r="BT34" s="964"/>
      <c r="BU34" s="964"/>
      <c r="BV34" s="964"/>
      <c r="BW34" s="964"/>
      <c r="BX34" s="964"/>
      <c r="BY34" s="964"/>
      <c r="BZ34" s="964"/>
      <c r="CA34" s="964"/>
      <c r="CB34" s="964"/>
      <c r="CC34" s="964"/>
      <c r="CD34" s="964"/>
      <c r="CE34" s="964"/>
      <c r="CF34" s="964"/>
      <c r="CG34" s="964"/>
      <c r="CH34" s="964"/>
      <c r="CI34" s="964"/>
      <c r="CJ34" s="964"/>
      <c r="CK34" s="964"/>
      <c r="CL34" s="964"/>
      <c r="CM34" s="964"/>
      <c r="CN34" s="964"/>
      <c r="CO34" s="964"/>
      <c r="CP34" s="964"/>
      <c r="CQ34" s="964"/>
      <c r="CR34" s="964"/>
      <c r="CS34" s="964"/>
      <c r="CT34" s="964"/>
      <c r="CU34" s="964"/>
      <c r="CV34" s="964"/>
      <c r="CW34" s="964"/>
      <c r="CX34" s="964"/>
      <c r="CY34" s="964"/>
      <c r="CZ34" s="964"/>
      <c r="DA34" s="964"/>
      <c r="DB34" s="964"/>
      <c r="DC34" s="964"/>
      <c r="DD34" s="964"/>
      <c r="DE34" s="964"/>
      <c r="DF34" s="964"/>
      <c r="DG34" s="964"/>
      <c r="DH34" s="964"/>
      <c r="DI34" s="964"/>
      <c r="DJ34" s="964"/>
      <c r="DK34" s="965"/>
      <c r="DL34" s="51"/>
    </row>
    <row r="35" spans="1:116" s="45" customFormat="1" ht="7.5" customHeight="1">
      <c r="A35" s="48"/>
      <c r="B35" s="1120"/>
      <c r="C35" s="1121"/>
      <c r="D35" s="1121"/>
      <c r="E35" s="1121"/>
      <c r="F35" s="1122"/>
      <c r="G35" s="3127" t="s">
        <v>76</v>
      </c>
      <c r="H35" s="3128"/>
      <c r="I35" s="3128"/>
      <c r="J35" s="3128"/>
      <c r="K35" s="3128"/>
      <c r="L35" s="3129"/>
      <c r="M35" s="793"/>
      <c r="N35" s="794"/>
      <c r="O35" s="794"/>
      <c r="P35" s="794"/>
      <c r="Q35" s="794"/>
      <c r="R35" s="794"/>
      <c r="S35" s="794"/>
      <c r="T35" s="794"/>
      <c r="U35" s="794"/>
      <c r="V35" s="794"/>
      <c r="W35" s="794"/>
      <c r="X35" s="794"/>
      <c r="Y35" s="794"/>
      <c r="Z35" s="794"/>
      <c r="AA35" s="794"/>
      <c r="AB35" s="794"/>
      <c r="AC35" s="794"/>
      <c r="AD35" s="794"/>
      <c r="AE35" s="794"/>
      <c r="AF35" s="795"/>
      <c r="AG35" s="3127" t="s">
        <v>77</v>
      </c>
      <c r="AH35" s="3128"/>
      <c r="AI35" s="3128"/>
      <c r="AJ35" s="3128"/>
      <c r="AK35" s="3128"/>
      <c r="AL35" s="3129"/>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4892"/>
      <c r="BJ35" s="4893"/>
      <c r="BK35" s="4893"/>
      <c r="BL35" s="4893"/>
      <c r="BM35" s="4894"/>
      <c r="BN35" s="4439"/>
      <c r="BO35" s="4440"/>
      <c r="BP35" s="4440"/>
      <c r="BQ35" s="4440"/>
      <c r="BR35" s="4440"/>
      <c r="BS35" s="4440"/>
      <c r="BT35" s="4440"/>
      <c r="BU35" s="4440"/>
      <c r="BV35" s="4440"/>
      <c r="BW35" s="4440"/>
      <c r="BX35" s="4440"/>
      <c r="BY35" s="4440"/>
      <c r="BZ35" s="4440"/>
      <c r="CA35" s="4440"/>
      <c r="CB35" s="4440"/>
      <c r="CC35" s="4440"/>
      <c r="CD35" s="4440"/>
      <c r="CE35" s="4440"/>
      <c r="CF35" s="4440"/>
      <c r="CG35" s="4440"/>
      <c r="CH35" s="4440"/>
      <c r="CI35" s="4440"/>
      <c r="CJ35" s="4440"/>
      <c r="CK35" s="4440"/>
      <c r="CL35" s="4440"/>
      <c r="CM35" s="4440"/>
      <c r="CN35" s="4440"/>
      <c r="CO35" s="4440"/>
      <c r="CP35" s="4440"/>
      <c r="CQ35" s="4440"/>
      <c r="CR35" s="4440"/>
      <c r="CS35" s="4440"/>
      <c r="CT35" s="4440"/>
      <c r="CU35" s="4440"/>
      <c r="CV35" s="4440"/>
      <c r="CW35" s="4440"/>
      <c r="CX35" s="4440"/>
      <c r="CY35" s="4440"/>
      <c r="CZ35" s="4440"/>
      <c r="DA35" s="4440"/>
      <c r="DB35" s="4440"/>
      <c r="DC35" s="4440"/>
      <c r="DD35" s="4440"/>
      <c r="DE35" s="4440"/>
      <c r="DF35" s="4440"/>
      <c r="DG35" s="4440"/>
      <c r="DH35" s="4440"/>
      <c r="DI35" s="4440"/>
      <c r="DJ35" s="4440"/>
      <c r="DK35" s="4443"/>
      <c r="DL35" s="48"/>
    </row>
    <row r="36" spans="1:116" s="45" customFormat="1" ht="7.5" customHeight="1">
      <c r="A36" s="48"/>
      <c r="B36" s="1123"/>
      <c r="C36" s="1124"/>
      <c r="D36" s="1124"/>
      <c r="E36" s="1124"/>
      <c r="F36" s="1125"/>
      <c r="G36" s="3130"/>
      <c r="H36" s="3131"/>
      <c r="I36" s="3131"/>
      <c r="J36" s="3131"/>
      <c r="K36" s="3131"/>
      <c r="L36" s="3132"/>
      <c r="M36" s="796"/>
      <c r="N36" s="797"/>
      <c r="O36" s="797"/>
      <c r="P36" s="797"/>
      <c r="Q36" s="797"/>
      <c r="R36" s="797"/>
      <c r="S36" s="797"/>
      <c r="T36" s="797"/>
      <c r="U36" s="797"/>
      <c r="V36" s="797"/>
      <c r="W36" s="797"/>
      <c r="X36" s="797"/>
      <c r="Y36" s="797"/>
      <c r="Z36" s="797"/>
      <c r="AA36" s="797"/>
      <c r="AB36" s="797"/>
      <c r="AC36" s="797"/>
      <c r="AD36" s="797"/>
      <c r="AE36" s="797"/>
      <c r="AF36" s="798"/>
      <c r="AG36" s="3130"/>
      <c r="AH36" s="3131"/>
      <c r="AI36" s="3131"/>
      <c r="AJ36" s="3131"/>
      <c r="AK36" s="3131"/>
      <c r="AL36" s="3132"/>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857" t="s">
        <v>75</v>
      </c>
      <c r="BJ36" s="858"/>
      <c r="BK36" s="858"/>
      <c r="BL36" s="858"/>
      <c r="BM36" s="859"/>
      <c r="BN36" s="799" t="s">
        <v>73</v>
      </c>
      <c r="BO36" s="800"/>
      <c r="BP36" s="800"/>
      <c r="BQ36" s="800"/>
      <c r="BR36" s="800"/>
      <c r="BS36" s="801"/>
      <c r="BT36" s="793"/>
      <c r="BU36" s="794"/>
      <c r="BV36" s="794"/>
      <c r="BW36" s="794"/>
      <c r="BX36" s="794"/>
      <c r="BY36" s="794"/>
      <c r="BZ36" s="794"/>
      <c r="CA36" s="794"/>
      <c r="CB36" s="794"/>
      <c r="CC36" s="794"/>
      <c r="CD36" s="795"/>
      <c r="CE36" s="799" t="s">
        <v>11</v>
      </c>
      <c r="CF36" s="800"/>
      <c r="CG36" s="800"/>
      <c r="CH36" s="800"/>
      <c r="CI36" s="800"/>
      <c r="CJ36" s="801"/>
      <c r="CK36" s="793"/>
      <c r="CL36" s="794"/>
      <c r="CM36" s="794"/>
      <c r="CN36" s="794"/>
      <c r="CO36" s="794"/>
      <c r="CP36" s="794"/>
      <c r="CQ36" s="794"/>
      <c r="CR36" s="794"/>
      <c r="CS36" s="794"/>
      <c r="CT36" s="794"/>
      <c r="CU36" s="795"/>
      <c r="CV36" s="799" t="s">
        <v>74</v>
      </c>
      <c r="CW36" s="800"/>
      <c r="CX36" s="800"/>
      <c r="CY36" s="800"/>
      <c r="CZ36" s="800"/>
      <c r="DA36" s="801"/>
      <c r="DB36" s="4489"/>
      <c r="DC36" s="4490"/>
      <c r="DD36" s="4490"/>
      <c r="DE36" s="4490"/>
      <c r="DF36" s="4490"/>
      <c r="DG36" s="4490"/>
      <c r="DH36" s="4490"/>
      <c r="DI36" s="4490"/>
      <c r="DJ36" s="4490"/>
      <c r="DK36" s="4491"/>
      <c r="DL36" s="44"/>
    </row>
    <row r="37" spans="1:116" s="45" customFormat="1" ht="7.5" customHeight="1">
      <c r="A37" s="48"/>
      <c r="B37" s="1138" t="s">
        <v>795</v>
      </c>
      <c r="C37" s="1139"/>
      <c r="D37" s="1139"/>
      <c r="E37" s="1139"/>
      <c r="F37" s="1140"/>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3162" t="s">
        <v>72</v>
      </c>
      <c r="AC37" s="3162"/>
      <c r="AD37" s="3162"/>
      <c r="AE37" s="3162"/>
      <c r="AF37" s="3163"/>
      <c r="AG37" s="3164"/>
      <c r="AH37" s="3145"/>
      <c r="AI37" s="3145"/>
      <c r="AJ37" s="3145"/>
      <c r="AK37" s="3145"/>
      <c r="AL37" s="3145"/>
      <c r="AM37" s="3145"/>
      <c r="AN37" s="3145"/>
      <c r="AO37" s="3145"/>
      <c r="AP37" s="3145"/>
      <c r="AQ37" s="3145"/>
      <c r="AR37" s="3145"/>
      <c r="AS37" s="3145"/>
      <c r="AT37" s="3144"/>
      <c r="AU37" s="3145"/>
      <c r="AV37" s="3145"/>
      <c r="AW37" s="3145"/>
      <c r="AX37" s="3145"/>
      <c r="AY37" s="3145"/>
      <c r="AZ37" s="3145"/>
      <c r="BA37" s="3145"/>
      <c r="BB37" s="3145"/>
      <c r="BC37" s="3145"/>
      <c r="BD37" s="3145"/>
      <c r="BE37" s="3145"/>
      <c r="BF37" s="3146"/>
      <c r="BG37" s="48"/>
      <c r="BH37" s="48"/>
      <c r="BI37" s="860"/>
      <c r="BJ37" s="861"/>
      <c r="BK37" s="861"/>
      <c r="BL37" s="861"/>
      <c r="BM37" s="862"/>
      <c r="BN37" s="802"/>
      <c r="BO37" s="803"/>
      <c r="BP37" s="803"/>
      <c r="BQ37" s="803"/>
      <c r="BR37" s="803"/>
      <c r="BS37" s="804"/>
      <c r="BT37" s="796"/>
      <c r="BU37" s="797"/>
      <c r="BV37" s="797"/>
      <c r="BW37" s="797"/>
      <c r="BX37" s="797"/>
      <c r="BY37" s="797"/>
      <c r="BZ37" s="797"/>
      <c r="CA37" s="797"/>
      <c r="CB37" s="797"/>
      <c r="CC37" s="797"/>
      <c r="CD37" s="798"/>
      <c r="CE37" s="802"/>
      <c r="CF37" s="803"/>
      <c r="CG37" s="803"/>
      <c r="CH37" s="803"/>
      <c r="CI37" s="803"/>
      <c r="CJ37" s="804"/>
      <c r="CK37" s="796"/>
      <c r="CL37" s="797"/>
      <c r="CM37" s="797"/>
      <c r="CN37" s="797"/>
      <c r="CO37" s="797"/>
      <c r="CP37" s="797"/>
      <c r="CQ37" s="797"/>
      <c r="CR37" s="797"/>
      <c r="CS37" s="797"/>
      <c r="CT37" s="797"/>
      <c r="CU37" s="798"/>
      <c r="CV37" s="802"/>
      <c r="CW37" s="803"/>
      <c r="CX37" s="803"/>
      <c r="CY37" s="803"/>
      <c r="CZ37" s="803"/>
      <c r="DA37" s="804"/>
      <c r="DB37" s="4492"/>
      <c r="DC37" s="4493"/>
      <c r="DD37" s="4493"/>
      <c r="DE37" s="4493"/>
      <c r="DF37" s="4493"/>
      <c r="DG37" s="4493"/>
      <c r="DH37" s="4493"/>
      <c r="DI37" s="4493"/>
      <c r="DJ37" s="4493"/>
      <c r="DK37" s="4494"/>
      <c r="DL37" s="44"/>
    </row>
    <row r="38" spans="1:116" s="45" customFormat="1" ht="7.5" customHeight="1">
      <c r="A38" s="48"/>
      <c r="B38" s="1141"/>
      <c r="C38" s="1142"/>
      <c r="D38" s="1142"/>
      <c r="E38" s="1142"/>
      <c r="F38" s="1143"/>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3147" t="s">
        <v>797</v>
      </c>
      <c r="AC38" s="3148"/>
      <c r="AD38" s="3148"/>
      <c r="AE38" s="3148"/>
      <c r="AF38" s="3149"/>
      <c r="AG38" s="3151"/>
      <c r="AH38" s="3152"/>
      <c r="AI38" s="3152"/>
      <c r="AJ38" s="3152"/>
      <c r="AK38" s="3152"/>
      <c r="AL38" s="3152"/>
      <c r="AM38" s="3152"/>
      <c r="AN38" s="3152"/>
      <c r="AO38" s="3152"/>
      <c r="AP38" s="3152"/>
      <c r="AQ38" s="3152"/>
      <c r="AR38" s="3152"/>
      <c r="AS38" s="3152"/>
      <c r="AT38" s="3155"/>
      <c r="AU38" s="3156"/>
      <c r="AV38" s="3156"/>
      <c r="AW38" s="3156"/>
      <c r="AX38" s="3156"/>
      <c r="AY38" s="3156"/>
      <c r="AZ38" s="3156"/>
      <c r="BA38" s="3156"/>
      <c r="BB38" s="3156"/>
      <c r="BC38" s="3156"/>
      <c r="BD38" s="3156"/>
      <c r="BE38" s="3156"/>
      <c r="BF38" s="3157"/>
      <c r="BG38" s="48"/>
      <c r="BH38" s="48"/>
      <c r="BI38" s="860"/>
      <c r="BJ38" s="861"/>
      <c r="BK38" s="861"/>
      <c r="BL38" s="861"/>
      <c r="BM38" s="862"/>
      <c r="BN38" s="799" t="s">
        <v>76</v>
      </c>
      <c r="BO38" s="800"/>
      <c r="BP38" s="800"/>
      <c r="BQ38" s="800"/>
      <c r="BR38" s="800"/>
      <c r="BS38" s="801"/>
      <c r="BT38" s="793"/>
      <c r="BU38" s="794"/>
      <c r="BV38" s="794"/>
      <c r="BW38" s="794"/>
      <c r="BX38" s="794"/>
      <c r="BY38" s="794"/>
      <c r="BZ38" s="794"/>
      <c r="CA38" s="794"/>
      <c r="CB38" s="794"/>
      <c r="CC38" s="794"/>
      <c r="CD38" s="794"/>
      <c r="CE38" s="794"/>
      <c r="CF38" s="794"/>
      <c r="CG38" s="794"/>
      <c r="CH38" s="794"/>
      <c r="CI38" s="794"/>
      <c r="CJ38" s="794"/>
      <c r="CK38" s="794"/>
      <c r="CL38" s="794"/>
      <c r="CM38" s="795"/>
      <c r="CN38" s="799" t="s">
        <v>77</v>
      </c>
      <c r="CO38" s="800"/>
      <c r="CP38" s="800"/>
      <c r="CQ38" s="800"/>
      <c r="CR38" s="800"/>
      <c r="CS38" s="801"/>
      <c r="CT38" s="4495"/>
      <c r="CU38" s="4496"/>
      <c r="CV38" s="4496"/>
      <c r="CW38" s="4496"/>
      <c r="CX38" s="4496"/>
      <c r="CY38" s="4496"/>
      <c r="CZ38" s="4496"/>
      <c r="DA38" s="4496"/>
      <c r="DB38" s="4496"/>
      <c r="DC38" s="4496"/>
      <c r="DD38" s="4496"/>
      <c r="DE38" s="4496"/>
      <c r="DF38" s="4496"/>
      <c r="DG38" s="4496"/>
      <c r="DH38" s="4496"/>
      <c r="DI38" s="4496"/>
      <c r="DJ38" s="4496"/>
      <c r="DK38" s="4497"/>
      <c r="DL38" s="44"/>
    </row>
    <row r="39" spans="1:116" s="45" customFormat="1" ht="7.5" customHeight="1">
      <c r="A39" s="48"/>
      <c r="B39" s="1144"/>
      <c r="C39" s="1145"/>
      <c r="D39" s="1145"/>
      <c r="E39" s="1145"/>
      <c r="F39" s="1146"/>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3150"/>
      <c r="AC39" s="1145"/>
      <c r="AD39" s="1145"/>
      <c r="AE39" s="1145"/>
      <c r="AF39" s="1146"/>
      <c r="AG39" s="3153"/>
      <c r="AH39" s="3154"/>
      <c r="AI39" s="3154"/>
      <c r="AJ39" s="3154"/>
      <c r="AK39" s="3154"/>
      <c r="AL39" s="3154"/>
      <c r="AM39" s="3154"/>
      <c r="AN39" s="3154"/>
      <c r="AO39" s="3154"/>
      <c r="AP39" s="3154"/>
      <c r="AQ39" s="3154"/>
      <c r="AR39" s="3154"/>
      <c r="AS39" s="3154"/>
      <c r="AT39" s="3158"/>
      <c r="AU39" s="3154"/>
      <c r="AV39" s="3154"/>
      <c r="AW39" s="3154"/>
      <c r="AX39" s="3154"/>
      <c r="AY39" s="3154"/>
      <c r="AZ39" s="3154"/>
      <c r="BA39" s="3154"/>
      <c r="BB39" s="3154"/>
      <c r="BC39" s="3154"/>
      <c r="BD39" s="3154"/>
      <c r="BE39" s="3154"/>
      <c r="BF39" s="3159"/>
      <c r="BG39" s="48"/>
      <c r="BH39" s="48"/>
      <c r="BI39" s="863"/>
      <c r="BJ39" s="864"/>
      <c r="BK39" s="864"/>
      <c r="BL39" s="864"/>
      <c r="BM39" s="865"/>
      <c r="BN39" s="802"/>
      <c r="BO39" s="803"/>
      <c r="BP39" s="803"/>
      <c r="BQ39" s="803"/>
      <c r="BR39" s="803"/>
      <c r="BS39" s="804"/>
      <c r="BT39" s="796"/>
      <c r="BU39" s="797"/>
      <c r="BV39" s="797"/>
      <c r="BW39" s="797"/>
      <c r="BX39" s="797"/>
      <c r="BY39" s="797"/>
      <c r="BZ39" s="797"/>
      <c r="CA39" s="797"/>
      <c r="CB39" s="797"/>
      <c r="CC39" s="797"/>
      <c r="CD39" s="797"/>
      <c r="CE39" s="797"/>
      <c r="CF39" s="797"/>
      <c r="CG39" s="797"/>
      <c r="CH39" s="797"/>
      <c r="CI39" s="797"/>
      <c r="CJ39" s="797"/>
      <c r="CK39" s="797"/>
      <c r="CL39" s="797"/>
      <c r="CM39" s="798"/>
      <c r="CN39" s="802"/>
      <c r="CO39" s="803"/>
      <c r="CP39" s="803"/>
      <c r="CQ39" s="803"/>
      <c r="CR39" s="803"/>
      <c r="CS39" s="804"/>
      <c r="CT39" s="4521"/>
      <c r="CU39" s="4522"/>
      <c r="CV39" s="4522"/>
      <c r="CW39" s="4522"/>
      <c r="CX39" s="4522"/>
      <c r="CY39" s="4522"/>
      <c r="CZ39" s="4522"/>
      <c r="DA39" s="4522"/>
      <c r="DB39" s="4522"/>
      <c r="DC39" s="4522"/>
      <c r="DD39" s="4522"/>
      <c r="DE39" s="4522"/>
      <c r="DF39" s="4522"/>
      <c r="DG39" s="4522"/>
      <c r="DH39" s="4522"/>
      <c r="DI39" s="4522"/>
      <c r="DJ39" s="4522"/>
      <c r="DK39" s="4523"/>
      <c r="DL39" s="44"/>
    </row>
    <row r="40" spans="1:116" s="45" customFormat="1" ht="7.5" customHeight="1">
      <c r="A40" s="48"/>
      <c r="B40" s="1138" t="s">
        <v>570</v>
      </c>
      <c r="C40" s="1139"/>
      <c r="D40" s="1139"/>
      <c r="E40" s="1139"/>
      <c r="F40" s="1140"/>
      <c r="G40" s="3165"/>
      <c r="H40" s="3166"/>
      <c r="I40" s="3166"/>
      <c r="J40" s="3166"/>
      <c r="K40" s="3166"/>
      <c r="L40" s="3166"/>
      <c r="M40" s="3166"/>
      <c r="N40" s="3166"/>
      <c r="O40" s="3166"/>
      <c r="P40" s="3166"/>
      <c r="Q40" s="3166"/>
      <c r="R40" s="3166"/>
      <c r="S40" s="3166"/>
      <c r="T40" s="3166"/>
      <c r="U40" s="3166"/>
      <c r="V40" s="3166"/>
      <c r="W40" s="3166"/>
      <c r="X40" s="3166"/>
      <c r="Y40" s="3166"/>
      <c r="Z40" s="3166"/>
      <c r="AA40" s="3167"/>
      <c r="AB40" s="3127" t="s">
        <v>569</v>
      </c>
      <c r="AC40" s="1139"/>
      <c r="AD40" s="1139"/>
      <c r="AE40" s="1139"/>
      <c r="AF40" s="1140"/>
      <c r="AG40" s="3172"/>
      <c r="AH40" s="3173"/>
      <c r="AI40" s="3173"/>
      <c r="AJ40" s="3173"/>
      <c r="AK40" s="3173"/>
      <c r="AL40" s="3173"/>
      <c r="AM40" s="3173"/>
      <c r="AN40" s="3173"/>
      <c r="AO40" s="3173"/>
      <c r="AP40" s="3173"/>
      <c r="AQ40" s="3173"/>
      <c r="AR40" s="3173"/>
      <c r="AS40" s="3173"/>
      <c r="AT40" s="3173"/>
      <c r="AU40" s="3173"/>
      <c r="AV40" s="3173"/>
      <c r="AW40" s="3173"/>
      <c r="AX40" s="3173"/>
      <c r="AY40" s="3173"/>
      <c r="AZ40" s="3173"/>
      <c r="BA40" s="3173"/>
      <c r="BB40" s="3173"/>
      <c r="BC40" s="3173"/>
      <c r="BD40" s="3173"/>
      <c r="BE40" s="3173"/>
      <c r="BF40" s="3174"/>
      <c r="BG40" s="48"/>
      <c r="BH40" s="48"/>
      <c r="BI40" s="1012" t="s">
        <v>567</v>
      </c>
      <c r="BJ40" s="800"/>
      <c r="BK40" s="800"/>
      <c r="BL40" s="800"/>
      <c r="BM40" s="3685"/>
      <c r="BN40" s="950"/>
      <c r="BO40" s="951"/>
      <c r="BP40" s="951"/>
      <c r="BQ40" s="951"/>
      <c r="BR40" s="951"/>
      <c r="BS40" s="951"/>
      <c r="BT40" s="951"/>
      <c r="BU40" s="951"/>
      <c r="BV40" s="951"/>
      <c r="BW40" s="951"/>
      <c r="BX40" s="951"/>
      <c r="BY40" s="951"/>
      <c r="BZ40" s="951"/>
      <c r="CA40" s="951"/>
      <c r="CB40" s="951"/>
      <c r="CC40" s="951"/>
      <c r="CD40" s="951"/>
      <c r="CE40" s="951"/>
      <c r="CF40" s="951"/>
      <c r="CG40" s="951"/>
      <c r="CH40" s="951"/>
      <c r="CI40" s="951"/>
      <c r="CJ40" s="952"/>
      <c r="CK40" s="799" t="s">
        <v>266</v>
      </c>
      <c r="CL40" s="800"/>
      <c r="CM40" s="800"/>
      <c r="CN40" s="800"/>
      <c r="CO40" s="3685"/>
      <c r="CP40" s="954"/>
      <c r="CQ40" s="955"/>
      <c r="CR40" s="955"/>
      <c r="CS40" s="955"/>
      <c r="CT40" s="955"/>
      <c r="CU40" s="955"/>
      <c r="CV40" s="955"/>
      <c r="CW40" s="955"/>
      <c r="CX40" s="955"/>
      <c r="CY40" s="955"/>
      <c r="CZ40" s="955"/>
      <c r="DA40" s="955"/>
      <c r="DB40" s="955"/>
      <c r="DC40" s="955"/>
      <c r="DD40" s="955"/>
      <c r="DE40" s="955"/>
      <c r="DF40" s="955"/>
      <c r="DG40" s="955"/>
      <c r="DH40" s="955"/>
      <c r="DI40" s="955"/>
      <c r="DJ40" s="955"/>
      <c r="DK40" s="956"/>
      <c r="DL40" s="44"/>
    </row>
    <row r="41" spans="1:116" s="45" customFormat="1" ht="7.5" customHeight="1" thickBot="1">
      <c r="A41" s="48"/>
      <c r="B41" s="1147"/>
      <c r="C41" s="1148"/>
      <c r="D41" s="1148"/>
      <c r="E41" s="1148"/>
      <c r="F41" s="1149"/>
      <c r="G41" s="3168"/>
      <c r="H41" s="3169"/>
      <c r="I41" s="3169"/>
      <c r="J41" s="3169"/>
      <c r="K41" s="3169"/>
      <c r="L41" s="3169"/>
      <c r="M41" s="3169"/>
      <c r="N41" s="3169"/>
      <c r="O41" s="3169"/>
      <c r="P41" s="3169"/>
      <c r="Q41" s="3169"/>
      <c r="R41" s="3169"/>
      <c r="S41" s="3169"/>
      <c r="T41" s="3169"/>
      <c r="U41" s="3169"/>
      <c r="V41" s="3169"/>
      <c r="W41" s="3169"/>
      <c r="X41" s="3169"/>
      <c r="Y41" s="3169"/>
      <c r="Z41" s="3169"/>
      <c r="AA41" s="3170"/>
      <c r="AB41" s="3171"/>
      <c r="AC41" s="1148"/>
      <c r="AD41" s="1148"/>
      <c r="AE41" s="1148"/>
      <c r="AF41" s="1149"/>
      <c r="AG41" s="3175"/>
      <c r="AH41" s="3176"/>
      <c r="AI41" s="3176"/>
      <c r="AJ41" s="3176"/>
      <c r="AK41" s="3176"/>
      <c r="AL41" s="3176"/>
      <c r="AM41" s="3176"/>
      <c r="AN41" s="3176"/>
      <c r="AO41" s="3176"/>
      <c r="AP41" s="3176"/>
      <c r="AQ41" s="3176"/>
      <c r="AR41" s="3176"/>
      <c r="AS41" s="3176"/>
      <c r="AT41" s="3176"/>
      <c r="AU41" s="3176"/>
      <c r="AV41" s="3176"/>
      <c r="AW41" s="3176"/>
      <c r="AX41" s="3176"/>
      <c r="AY41" s="3176"/>
      <c r="AZ41" s="3176"/>
      <c r="BA41" s="3176"/>
      <c r="BB41" s="3176"/>
      <c r="BC41" s="3176"/>
      <c r="BD41" s="3176"/>
      <c r="BE41" s="3176"/>
      <c r="BF41" s="3177"/>
      <c r="BG41" s="48"/>
      <c r="BH41" s="48"/>
      <c r="BI41" s="4708"/>
      <c r="BJ41" s="803"/>
      <c r="BK41" s="803"/>
      <c r="BL41" s="803"/>
      <c r="BM41" s="4709"/>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2"/>
      <c r="CK41" s="802"/>
      <c r="CL41" s="803"/>
      <c r="CM41" s="803"/>
      <c r="CN41" s="803"/>
      <c r="CO41" s="4709"/>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row>
    <row r="42" spans="1:116" s="45" customFormat="1" ht="7.5" customHeight="1" thickTop="1">
      <c r="A42" s="48"/>
      <c r="B42" s="4847" t="s">
        <v>78</v>
      </c>
      <c r="C42" s="4848"/>
      <c r="D42" s="4848"/>
      <c r="E42" s="4848"/>
      <c r="F42" s="4849"/>
      <c r="G42" s="4856" t="s">
        <v>1130</v>
      </c>
      <c r="H42" s="4857"/>
      <c r="I42" s="4857"/>
      <c r="J42" s="4857"/>
      <c r="K42" s="4857"/>
      <c r="L42" s="4857"/>
      <c r="M42" s="4857"/>
      <c r="N42" s="4857"/>
      <c r="O42" s="4857"/>
      <c r="P42" s="4857"/>
      <c r="Q42" s="4857"/>
      <c r="R42" s="4857"/>
      <c r="S42" s="4857"/>
      <c r="T42" s="4857"/>
      <c r="U42" s="4857"/>
      <c r="V42" s="4857"/>
      <c r="W42" s="4857"/>
      <c r="X42" s="4857"/>
      <c r="Y42" s="4857"/>
      <c r="Z42" s="4857"/>
      <c r="AA42" s="4857"/>
      <c r="AB42" s="4857"/>
      <c r="AC42" s="4857"/>
      <c r="AD42" s="4857"/>
      <c r="AE42" s="4857"/>
      <c r="AF42" s="4857"/>
      <c r="AG42" s="4857"/>
      <c r="AH42" s="4857"/>
      <c r="AI42" s="4857"/>
      <c r="AJ42" s="4857"/>
      <c r="AK42" s="4857"/>
      <c r="AL42" s="4857"/>
      <c r="AM42" s="4857"/>
      <c r="AN42" s="4857"/>
      <c r="AO42" s="4857"/>
      <c r="AP42" s="4857"/>
      <c r="AQ42" s="4857"/>
      <c r="AR42" s="4857"/>
      <c r="AS42" s="4857"/>
      <c r="AT42" s="4857"/>
      <c r="AU42" s="4857"/>
      <c r="AV42" s="4857"/>
      <c r="AW42" s="4857"/>
      <c r="AX42" s="4857"/>
      <c r="AY42" s="4858"/>
      <c r="AZ42" s="4865" t="s">
        <v>79</v>
      </c>
      <c r="BA42" s="4866"/>
      <c r="BB42" s="4866"/>
      <c r="BC42" s="4866"/>
      <c r="BD42" s="4866"/>
      <c r="BE42" s="4866"/>
      <c r="BF42" s="4867"/>
      <c r="BG42" s="48"/>
      <c r="BH42" s="48"/>
      <c r="BI42" s="1012" t="s">
        <v>570</v>
      </c>
      <c r="BJ42" s="800"/>
      <c r="BK42" s="800"/>
      <c r="BL42" s="800"/>
      <c r="BM42" s="3685"/>
      <c r="BN42" s="896"/>
      <c r="BO42" s="897"/>
      <c r="BP42" s="897"/>
      <c r="BQ42" s="897"/>
      <c r="BR42" s="897"/>
      <c r="BS42" s="897"/>
      <c r="BT42" s="897"/>
      <c r="BU42" s="897"/>
      <c r="BV42" s="897"/>
      <c r="BW42" s="897"/>
      <c r="BX42" s="897"/>
      <c r="BY42" s="897"/>
      <c r="BZ42" s="897"/>
      <c r="CA42" s="897"/>
      <c r="CB42" s="897"/>
      <c r="CC42" s="897"/>
      <c r="CD42" s="897"/>
      <c r="CE42" s="897"/>
      <c r="CF42" s="897"/>
      <c r="CG42" s="897"/>
      <c r="CH42" s="897"/>
      <c r="CI42" s="897"/>
      <c r="CJ42" s="898"/>
      <c r="CK42" s="902" t="s">
        <v>569</v>
      </c>
      <c r="CL42" s="836"/>
      <c r="CM42" s="836"/>
      <c r="CN42" s="836"/>
      <c r="CO42" s="837"/>
      <c r="CP42" s="904"/>
      <c r="CQ42" s="905"/>
      <c r="CR42" s="905"/>
      <c r="CS42" s="905"/>
      <c r="CT42" s="905"/>
      <c r="CU42" s="905"/>
      <c r="CV42" s="905"/>
      <c r="CW42" s="905"/>
      <c r="CX42" s="905"/>
      <c r="CY42" s="905"/>
      <c r="CZ42" s="905"/>
      <c r="DA42" s="905"/>
      <c r="DB42" s="905"/>
      <c r="DC42" s="905"/>
      <c r="DD42" s="905"/>
      <c r="DE42" s="905"/>
      <c r="DF42" s="905"/>
      <c r="DG42" s="905"/>
      <c r="DH42" s="905"/>
      <c r="DI42" s="905"/>
      <c r="DJ42" s="905"/>
      <c r="DK42" s="906"/>
      <c r="DL42" s="50"/>
    </row>
    <row r="43" spans="1:116" s="45" customFormat="1" ht="7.5" customHeight="1" thickBot="1">
      <c r="A43" s="48"/>
      <c r="B43" s="4850"/>
      <c r="C43" s="4851"/>
      <c r="D43" s="4851"/>
      <c r="E43" s="4851"/>
      <c r="F43" s="4852"/>
      <c r="G43" s="4859"/>
      <c r="H43" s="4860"/>
      <c r="I43" s="4860"/>
      <c r="J43" s="4860"/>
      <c r="K43" s="4860"/>
      <c r="L43" s="4860"/>
      <c r="M43" s="4860"/>
      <c r="N43" s="4860"/>
      <c r="O43" s="4860"/>
      <c r="P43" s="4860"/>
      <c r="Q43" s="4860"/>
      <c r="R43" s="4860"/>
      <c r="S43" s="4860"/>
      <c r="T43" s="4860"/>
      <c r="U43" s="4860"/>
      <c r="V43" s="4860"/>
      <c r="W43" s="4860"/>
      <c r="X43" s="4860"/>
      <c r="Y43" s="4860"/>
      <c r="Z43" s="4860"/>
      <c r="AA43" s="4860"/>
      <c r="AB43" s="4860"/>
      <c r="AC43" s="4860"/>
      <c r="AD43" s="4860"/>
      <c r="AE43" s="4860"/>
      <c r="AF43" s="4860"/>
      <c r="AG43" s="4860"/>
      <c r="AH43" s="4860"/>
      <c r="AI43" s="4860"/>
      <c r="AJ43" s="4860"/>
      <c r="AK43" s="4860"/>
      <c r="AL43" s="4860"/>
      <c r="AM43" s="4860"/>
      <c r="AN43" s="4860"/>
      <c r="AO43" s="4860"/>
      <c r="AP43" s="4860"/>
      <c r="AQ43" s="4860"/>
      <c r="AR43" s="4860"/>
      <c r="AS43" s="4860"/>
      <c r="AT43" s="4860"/>
      <c r="AU43" s="4860"/>
      <c r="AV43" s="4860"/>
      <c r="AW43" s="4860"/>
      <c r="AX43" s="4860"/>
      <c r="AY43" s="4861"/>
      <c r="AZ43" s="4868"/>
      <c r="BA43" s="4869"/>
      <c r="BB43" s="4869"/>
      <c r="BC43" s="4869"/>
      <c r="BD43" s="4869"/>
      <c r="BE43" s="4869"/>
      <c r="BF43" s="4870"/>
      <c r="BG43" s="48"/>
      <c r="BH43" s="48"/>
      <c r="BI43" s="4844"/>
      <c r="BJ43" s="4845"/>
      <c r="BK43" s="4845"/>
      <c r="BL43" s="4845"/>
      <c r="BM43" s="4846"/>
      <c r="BN43" s="899"/>
      <c r="BO43" s="900"/>
      <c r="BP43" s="900"/>
      <c r="BQ43" s="900"/>
      <c r="BR43" s="900"/>
      <c r="BS43" s="900"/>
      <c r="BT43" s="900"/>
      <c r="BU43" s="900"/>
      <c r="BV43" s="900"/>
      <c r="BW43" s="900"/>
      <c r="BX43" s="900"/>
      <c r="BY43" s="900"/>
      <c r="BZ43" s="900"/>
      <c r="CA43" s="900"/>
      <c r="CB43" s="900"/>
      <c r="CC43" s="900"/>
      <c r="CD43" s="900"/>
      <c r="CE43" s="900"/>
      <c r="CF43" s="900"/>
      <c r="CG43" s="900"/>
      <c r="CH43" s="900"/>
      <c r="CI43" s="900"/>
      <c r="CJ43" s="901"/>
      <c r="CK43" s="903"/>
      <c r="CL43" s="873"/>
      <c r="CM43" s="873"/>
      <c r="CN43" s="873"/>
      <c r="CO43" s="874"/>
      <c r="CP43" s="907"/>
      <c r="CQ43" s="908"/>
      <c r="CR43" s="908"/>
      <c r="CS43" s="908"/>
      <c r="CT43" s="908"/>
      <c r="CU43" s="908"/>
      <c r="CV43" s="908"/>
      <c r="CW43" s="908"/>
      <c r="CX43" s="908"/>
      <c r="CY43" s="908"/>
      <c r="CZ43" s="908"/>
      <c r="DA43" s="908"/>
      <c r="DB43" s="908"/>
      <c r="DC43" s="908"/>
      <c r="DD43" s="908"/>
      <c r="DE43" s="908"/>
      <c r="DF43" s="908"/>
      <c r="DG43" s="908"/>
      <c r="DH43" s="908"/>
      <c r="DI43" s="908"/>
      <c r="DJ43" s="908"/>
      <c r="DK43" s="909"/>
      <c r="DL43" s="52"/>
    </row>
    <row r="44" spans="1:116" s="45" customFormat="1" ht="7.5" customHeight="1" thickBot="1">
      <c r="A44" s="44"/>
      <c r="B44" s="4853"/>
      <c r="C44" s="4854"/>
      <c r="D44" s="4854"/>
      <c r="E44" s="4854"/>
      <c r="F44" s="4855"/>
      <c r="G44" s="4862"/>
      <c r="H44" s="4863"/>
      <c r="I44" s="4863"/>
      <c r="J44" s="4863"/>
      <c r="K44" s="4863"/>
      <c r="L44" s="4863"/>
      <c r="M44" s="4863"/>
      <c r="N44" s="4863"/>
      <c r="O44" s="4863"/>
      <c r="P44" s="4863"/>
      <c r="Q44" s="4863"/>
      <c r="R44" s="4863"/>
      <c r="S44" s="4863"/>
      <c r="T44" s="4863"/>
      <c r="U44" s="4863"/>
      <c r="V44" s="4863"/>
      <c r="W44" s="4863"/>
      <c r="X44" s="4863"/>
      <c r="Y44" s="4863"/>
      <c r="Z44" s="4863"/>
      <c r="AA44" s="4863"/>
      <c r="AB44" s="4863"/>
      <c r="AC44" s="4863"/>
      <c r="AD44" s="4863"/>
      <c r="AE44" s="4863"/>
      <c r="AF44" s="4863"/>
      <c r="AG44" s="4863"/>
      <c r="AH44" s="4863"/>
      <c r="AI44" s="4863"/>
      <c r="AJ44" s="4863"/>
      <c r="AK44" s="4863"/>
      <c r="AL44" s="4863"/>
      <c r="AM44" s="4863"/>
      <c r="AN44" s="4863"/>
      <c r="AO44" s="4863"/>
      <c r="AP44" s="4863"/>
      <c r="AQ44" s="4863"/>
      <c r="AR44" s="4863"/>
      <c r="AS44" s="4863"/>
      <c r="AT44" s="4863"/>
      <c r="AU44" s="4863"/>
      <c r="AV44" s="4863"/>
      <c r="AW44" s="4863"/>
      <c r="AX44" s="4863"/>
      <c r="AY44" s="4864"/>
      <c r="AZ44" s="4871"/>
      <c r="BA44" s="4872"/>
      <c r="BB44" s="4872"/>
      <c r="BC44" s="4872"/>
      <c r="BD44" s="4872"/>
      <c r="BE44" s="4872"/>
      <c r="BF44" s="4873"/>
      <c r="BI44" s="400"/>
      <c r="BJ44" s="368"/>
      <c r="BK44" s="368"/>
      <c r="BL44" s="368"/>
      <c r="BM44" s="368"/>
      <c r="BN44" s="530"/>
      <c r="BO44" s="530"/>
      <c r="BP44" s="530"/>
      <c r="BQ44" s="530"/>
      <c r="BR44" s="530"/>
      <c r="BS44" s="530"/>
      <c r="BT44" s="530"/>
      <c r="BU44" s="530"/>
      <c r="BV44" s="530"/>
      <c r="BW44" s="530"/>
      <c r="BX44" s="530"/>
      <c r="BY44" s="530"/>
      <c r="BZ44" s="530"/>
      <c r="CA44" s="530"/>
      <c r="CB44" s="530"/>
      <c r="CC44" s="530"/>
      <c r="CD44" s="530"/>
      <c r="CE44" s="530"/>
      <c r="CF44" s="530"/>
      <c r="CG44" s="530"/>
      <c r="CH44" s="530"/>
      <c r="CI44" s="530"/>
      <c r="CJ44" s="530"/>
      <c r="CK44" s="530"/>
      <c r="CL44" s="530"/>
      <c r="CM44" s="530"/>
      <c r="CN44" s="530"/>
      <c r="CO44" s="530"/>
      <c r="CP44" s="530"/>
      <c r="CQ44" s="530"/>
      <c r="CR44" s="530"/>
      <c r="CS44" s="530"/>
      <c r="CT44" s="530"/>
      <c r="CU44" s="530"/>
      <c r="CV44" s="530"/>
      <c r="CW44" s="530"/>
      <c r="CX44" s="530"/>
      <c r="CY44" s="530"/>
      <c r="CZ44" s="530"/>
      <c r="DA44" s="530"/>
      <c r="DB44" s="530"/>
      <c r="DC44" s="530"/>
      <c r="DD44" s="530"/>
      <c r="DE44" s="530"/>
      <c r="DF44" s="530"/>
      <c r="DG44" s="530"/>
      <c r="DH44" s="530"/>
      <c r="DI44" s="530"/>
      <c r="DJ44" s="530"/>
      <c r="DK44" s="531"/>
      <c r="DL44" s="44"/>
    </row>
    <row r="45" spans="1:116" s="45" customFormat="1" ht="7.5" customHeight="1" thickTop="1">
      <c r="A45" s="48"/>
      <c r="B45" s="4842" t="s">
        <v>893</v>
      </c>
      <c r="C45" s="4842"/>
      <c r="D45" s="4842"/>
      <c r="E45" s="4842"/>
      <c r="F45" s="4842"/>
      <c r="G45" s="4842"/>
      <c r="H45" s="4842"/>
      <c r="I45" s="4842"/>
      <c r="J45" s="4842"/>
      <c r="K45" s="4842"/>
      <c r="L45" s="4842"/>
      <c r="M45" s="4842"/>
      <c r="N45" s="4842"/>
      <c r="O45" s="4842"/>
      <c r="P45" s="4842"/>
      <c r="Q45" s="4842"/>
      <c r="R45" s="4842"/>
      <c r="S45" s="4842"/>
      <c r="T45" s="4842"/>
      <c r="U45" s="4842"/>
      <c r="V45" s="4842"/>
      <c r="W45" s="4842"/>
      <c r="X45" s="4842"/>
      <c r="Y45" s="4842"/>
      <c r="Z45" s="4842"/>
      <c r="AA45" s="4842"/>
      <c r="AB45" s="4842"/>
      <c r="AC45" s="4842"/>
      <c r="AD45" s="4842"/>
      <c r="AE45" s="4842"/>
      <c r="AF45" s="4842"/>
      <c r="AG45" s="4842"/>
      <c r="AH45" s="4842"/>
      <c r="AI45" s="4842"/>
      <c r="AJ45" s="4842"/>
      <c r="AK45" s="4842"/>
      <c r="AL45" s="4842"/>
      <c r="AM45" s="4842"/>
      <c r="AN45" s="4842"/>
      <c r="AO45" s="4842"/>
      <c r="AP45" s="4842"/>
      <c r="AQ45" s="4842"/>
      <c r="AR45" s="4842"/>
      <c r="AS45" s="4842"/>
      <c r="AT45" s="4842"/>
      <c r="AU45" s="4842"/>
      <c r="AV45" s="4842"/>
      <c r="AW45" s="4842"/>
      <c r="AX45" s="4842"/>
      <c r="AY45" s="4842"/>
      <c r="AZ45" s="4842"/>
      <c r="BA45" s="4842"/>
      <c r="BB45" s="4842"/>
      <c r="BC45" s="4842"/>
      <c r="BD45" s="4842"/>
      <c r="BG45" s="48"/>
      <c r="BH45" s="48"/>
      <c r="BI45" s="975" t="s">
        <v>565</v>
      </c>
      <c r="BJ45" s="976"/>
      <c r="BK45" s="976"/>
      <c r="BL45" s="976"/>
      <c r="BM45" s="976"/>
      <c r="BN45" s="976"/>
      <c r="BO45" s="976"/>
      <c r="BP45" s="976"/>
      <c r="BQ45" s="976"/>
      <c r="BR45" s="976"/>
      <c r="BS45" s="976"/>
      <c r="BT45" s="976"/>
      <c r="BU45" s="976"/>
      <c r="BV45" s="976"/>
      <c r="BW45" s="976"/>
      <c r="BX45" s="976"/>
      <c r="BY45" s="976"/>
      <c r="BZ45" s="976"/>
      <c r="CA45" s="976"/>
      <c r="CB45" s="976"/>
      <c r="CC45" s="4528" t="s">
        <v>902</v>
      </c>
      <c r="CD45" s="4529"/>
      <c r="CE45" s="4529"/>
      <c r="CF45" s="4529"/>
      <c r="CG45" s="4529"/>
      <c r="CH45" s="4529"/>
      <c r="CI45" s="4529"/>
      <c r="CJ45" s="4529"/>
      <c r="CK45" s="4529"/>
      <c r="CL45" s="4529"/>
      <c r="CM45" s="4529"/>
      <c r="CN45" s="4529"/>
      <c r="CO45" s="4529"/>
      <c r="CP45" s="4529"/>
      <c r="CQ45" s="4529"/>
      <c r="CR45" s="4529"/>
      <c r="CS45" s="4529"/>
      <c r="CT45" s="4529"/>
      <c r="CU45" s="4529"/>
      <c r="CV45" s="4529"/>
      <c r="CW45" s="4529"/>
      <c r="CX45" s="4529"/>
      <c r="CY45" s="4529"/>
      <c r="CZ45" s="4529"/>
      <c r="DA45" s="4529"/>
      <c r="DB45" s="4529"/>
      <c r="DC45" s="4529"/>
      <c r="DD45" s="4530"/>
      <c r="DE45" s="980"/>
      <c r="DF45" s="980"/>
      <c r="DG45" s="980"/>
      <c r="DH45" s="980"/>
      <c r="DI45" s="980"/>
      <c r="DJ45" s="980"/>
      <c r="DK45" s="981"/>
      <c r="DL45" s="52"/>
    </row>
    <row r="46" spans="1:116" s="45" customFormat="1" ht="7.5" customHeight="1" thickBot="1">
      <c r="A46" s="48"/>
      <c r="B46" s="4843"/>
      <c r="C46" s="4843"/>
      <c r="D46" s="4843"/>
      <c r="E46" s="4843"/>
      <c r="F46" s="4843"/>
      <c r="G46" s="4843"/>
      <c r="H46" s="4843"/>
      <c r="I46" s="4843"/>
      <c r="J46" s="4843"/>
      <c r="K46" s="4843"/>
      <c r="L46" s="4843"/>
      <c r="M46" s="4843"/>
      <c r="N46" s="4843"/>
      <c r="O46" s="4843"/>
      <c r="P46" s="4843"/>
      <c r="Q46" s="4843"/>
      <c r="R46" s="4843"/>
      <c r="S46" s="4843"/>
      <c r="T46" s="4843"/>
      <c r="U46" s="4843"/>
      <c r="V46" s="4843"/>
      <c r="W46" s="4843"/>
      <c r="X46" s="4843"/>
      <c r="Y46" s="4843"/>
      <c r="Z46" s="4843"/>
      <c r="AA46" s="4843"/>
      <c r="AB46" s="4843"/>
      <c r="AC46" s="4843"/>
      <c r="AD46" s="4843"/>
      <c r="AE46" s="4843"/>
      <c r="AF46" s="4843"/>
      <c r="AG46" s="4843"/>
      <c r="AH46" s="4843"/>
      <c r="AI46" s="4843"/>
      <c r="AJ46" s="4843"/>
      <c r="AK46" s="4843"/>
      <c r="AL46" s="4843"/>
      <c r="AM46" s="4843"/>
      <c r="AN46" s="4843"/>
      <c r="AO46" s="4843"/>
      <c r="AP46" s="4843"/>
      <c r="AQ46" s="4843"/>
      <c r="AR46" s="4843"/>
      <c r="AS46" s="4843"/>
      <c r="AT46" s="4843"/>
      <c r="AU46" s="4843"/>
      <c r="AV46" s="4843"/>
      <c r="AW46" s="4843"/>
      <c r="AX46" s="4843"/>
      <c r="AY46" s="4843"/>
      <c r="AZ46" s="4843"/>
      <c r="BA46" s="4843"/>
      <c r="BB46" s="4843"/>
      <c r="BC46" s="4843"/>
      <c r="BD46" s="4843"/>
      <c r="BG46" s="48"/>
      <c r="BH46" s="48"/>
      <c r="BI46" s="785"/>
      <c r="BJ46" s="786"/>
      <c r="BK46" s="786"/>
      <c r="BL46" s="786"/>
      <c r="BM46" s="786"/>
      <c r="BN46" s="786"/>
      <c r="BO46" s="786"/>
      <c r="BP46" s="786"/>
      <c r="BQ46" s="786"/>
      <c r="BR46" s="786"/>
      <c r="BS46" s="786"/>
      <c r="BT46" s="786"/>
      <c r="BU46" s="786"/>
      <c r="BV46" s="786"/>
      <c r="BW46" s="786"/>
      <c r="BX46" s="786"/>
      <c r="BY46" s="786"/>
      <c r="BZ46" s="786"/>
      <c r="CA46" s="786"/>
      <c r="CB46" s="786"/>
      <c r="CC46" s="4461"/>
      <c r="CD46" s="4462"/>
      <c r="CE46" s="4462"/>
      <c r="CF46" s="4462"/>
      <c r="CG46" s="4462"/>
      <c r="CH46" s="4462"/>
      <c r="CI46" s="4462"/>
      <c r="CJ46" s="4462"/>
      <c r="CK46" s="4462"/>
      <c r="CL46" s="4462"/>
      <c r="CM46" s="4462"/>
      <c r="CN46" s="4462"/>
      <c r="CO46" s="4462"/>
      <c r="CP46" s="4462"/>
      <c r="CQ46" s="4462"/>
      <c r="CR46" s="4462"/>
      <c r="CS46" s="4462"/>
      <c r="CT46" s="4462"/>
      <c r="CU46" s="4462"/>
      <c r="CV46" s="4462"/>
      <c r="CW46" s="4462"/>
      <c r="CX46" s="4462"/>
      <c r="CY46" s="4462"/>
      <c r="CZ46" s="4462"/>
      <c r="DA46" s="4462"/>
      <c r="DB46" s="4462"/>
      <c r="DC46" s="4462"/>
      <c r="DD46" s="4463"/>
      <c r="DE46" s="877"/>
      <c r="DF46" s="877"/>
      <c r="DG46" s="877"/>
      <c r="DH46" s="877"/>
      <c r="DI46" s="877"/>
      <c r="DJ46" s="877"/>
      <c r="DK46" s="878"/>
      <c r="DL46" s="52"/>
    </row>
    <row r="47" spans="1:116" s="45" customFormat="1" ht="7.5" customHeight="1" thickTop="1">
      <c r="A47" s="48"/>
      <c r="B47" s="4446" t="s">
        <v>894</v>
      </c>
      <c r="C47" s="4447"/>
      <c r="D47" s="4447"/>
      <c r="E47" s="4447"/>
      <c r="F47" s="4447"/>
      <c r="G47" s="4447"/>
      <c r="H47" s="4447"/>
      <c r="I47" s="4447"/>
      <c r="J47" s="4447"/>
      <c r="K47" s="4447"/>
      <c r="L47" s="4447"/>
      <c r="M47" s="4447"/>
      <c r="N47" s="4447"/>
      <c r="O47" s="4447"/>
      <c r="P47" s="4447"/>
      <c r="Q47" s="4447"/>
      <c r="R47" s="4447"/>
      <c r="S47" s="4447"/>
      <c r="T47" s="4447"/>
      <c r="U47" s="4447"/>
      <c r="V47" s="4447"/>
      <c r="W47" s="4447"/>
      <c r="X47" s="4447"/>
      <c r="Y47" s="4447"/>
      <c r="Z47" s="4447"/>
      <c r="AA47" s="4447"/>
      <c r="AB47" s="4447"/>
      <c r="AC47" s="4447"/>
      <c r="AD47" s="4447"/>
      <c r="AE47" s="4447"/>
      <c r="AF47" s="4447"/>
      <c r="AG47" s="4447"/>
      <c r="AH47" s="4447"/>
      <c r="AI47" s="4447"/>
      <c r="AJ47" s="4447"/>
      <c r="AK47" s="4448"/>
      <c r="AL47" s="2851"/>
      <c r="AM47" s="2852"/>
      <c r="AN47" s="2852"/>
      <c r="AO47" s="2852"/>
      <c r="AP47" s="2852"/>
      <c r="AQ47" s="2852"/>
      <c r="AR47" s="2852"/>
      <c r="AS47" s="2852"/>
      <c r="AT47" s="2852"/>
      <c r="AU47" s="2852"/>
      <c r="AV47" s="2852"/>
      <c r="AW47" s="2852"/>
      <c r="AX47" s="2852"/>
      <c r="AY47" s="2852"/>
      <c r="AZ47" s="2852"/>
      <c r="BA47" s="2852"/>
      <c r="BB47" s="2852"/>
      <c r="BC47" s="2852"/>
      <c r="BD47" s="2852"/>
      <c r="BE47" s="2852"/>
      <c r="BF47" s="2853"/>
      <c r="BG47" s="48"/>
      <c r="BH47" s="48"/>
      <c r="BI47" s="3693" t="s">
        <v>568</v>
      </c>
      <c r="BJ47" s="3691"/>
      <c r="BK47" s="3691"/>
      <c r="BL47" s="3691"/>
      <c r="BM47" s="3692"/>
      <c r="BN47" s="963"/>
      <c r="BO47" s="964"/>
      <c r="BP47" s="964"/>
      <c r="BQ47" s="964"/>
      <c r="BR47" s="964"/>
      <c r="BS47" s="964"/>
      <c r="BT47" s="964"/>
      <c r="BU47" s="964"/>
      <c r="BV47" s="964"/>
      <c r="BW47" s="964"/>
      <c r="BX47" s="964"/>
      <c r="BY47" s="964"/>
      <c r="BZ47" s="964"/>
      <c r="CA47" s="964"/>
      <c r="CB47" s="964"/>
      <c r="CC47" s="964"/>
      <c r="CD47" s="964"/>
      <c r="CE47" s="964"/>
      <c r="CF47" s="964"/>
      <c r="CG47" s="964"/>
      <c r="CH47" s="964"/>
      <c r="CI47" s="964"/>
      <c r="CJ47" s="964"/>
      <c r="CK47" s="964"/>
      <c r="CL47" s="964"/>
      <c r="CM47" s="964"/>
      <c r="CN47" s="964"/>
      <c r="CO47" s="964"/>
      <c r="CP47" s="964"/>
      <c r="CQ47" s="964"/>
      <c r="CR47" s="964"/>
      <c r="CS47" s="964"/>
      <c r="CT47" s="964"/>
      <c r="CU47" s="964"/>
      <c r="CV47" s="964"/>
      <c r="CW47" s="964"/>
      <c r="CX47" s="964"/>
      <c r="CY47" s="964"/>
      <c r="CZ47" s="964"/>
      <c r="DA47" s="964"/>
      <c r="DB47" s="964"/>
      <c r="DC47" s="964"/>
      <c r="DD47" s="964"/>
      <c r="DE47" s="964"/>
      <c r="DF47" s="964"/>
      <c r="DG47" s="964"/>
      <c r="DH47" s="964"/>
      <c r="DI47" s="964"/>
      <c r="DJ47" s="964"/>
      <c r="DK47" s="965"/>
      <c r="DL47" s="44"/>
    </row>
    <row r="48" spans="1:116" s="45" customFormat="1" ht="7.5" customHeight="1">
      <c r="A48" s="48"/>
      <c r="B48" s="4449"/>
      <c r="C48" s="4450"/>
      <c r="D48" s="4450"/>
      <c r="E48" s="4450"/>
      <c r="F48" s="4450"/>
      <c r="G48" s="4450"/>
      <c r="H48" s="4450"/>
      <c r="I48" s="4450"/>
      <c r="J48" s="4450"/>
      <c r="K48" s="4450"/>
      <c r="L48" s="4450"/>
      <c r="M48" s="4450"/>
      <c r="N48" s="4450"/>
      <c r="O48" s="4450"/>
      <c r="P48" s="4450"/>
      <c r="Q48" s="4450"/>
      <c r="R48" s="4450"/>
      <c r="S48" s="4450"/>
      <c r="T48" s="4450"/>
      <c r="U48" s="4450"/>
      <c r="V48" s="4450"/>
      <c r="W48" s="4450"/>
      <c r="X48" s="4450"/>
      <c r="Y48" s="4450"/>
      <c r="Z48" s="4450"/>
      <c r="AA48" s="4450"/>
      <c r="AB48" s="4450"/>
      <c r="AC48" s="4450"/>
      <c r="AD48" s="4450"/>
      <c r="AE48" s="4450"/>
      <c r="AF48" s="4450"/>
      <c r="AG48" s="4450"/>
      <c r="AH48" s="4450"/>
      <c r="AI48" s="4450"/>
      <c r="AJ48" s="4450"/>
      <c r="AK48" s="4451"/>
      <c r="AL48" s="802"/>
      <c r="AM48" s="803"/>
      <c r="AN48" s="803"/>
      <c r="AO48" s="803"/>
      <c r="AP48" s="803"/>
      <c r="AQ48" s="803"/>
      <c r="AR48" s="803"/>
      <c r="AS48" s="803"/>
      <c r="AT48" s="803"/>
      <c r="AU48" s="803"/>
      <c r="AV48" s="803"/>
      <c r="AW48" s="803"/>
      <c r="AX48" s="803"/>
      <c r="AY48" s="803"/>
      <c r="AZ48" s="803"/>
      <c r="BA48" s="803"/>
      <c r="BB48" s="803"/>
      <c r="BC48" s="803"/>
      <c r="BD48" s="803"/>
      <c r="BE48" s="803"/>
      <c r="BF48" s="2854"/>
      <c r="BG48" s="48"/>
      <c r="BH48" s="48"/>
      <c r="BI48" s="3693"/>
      <c r="BJ48" s="3691"/>
      <c r="BK48" s="3691"/>
      <c r="BL48" s="3691"/>
      <c r="BM48" s="3692"/>
      <c r="BN48" s="966"/>
      <c r="BO48" s="967"/>
      <c r="BP48" s="967"/>
      <c r="BQ48" s="967"/>
      <c r="BR48" s="967"/>
      <c r="BS48" s="967"/>
      <c r="BT48" s="967"/>
      <c r="BU48" s="967"/>
      <c r="BV48" s="967"/>
      <c r="BW48" s="967"/>
      <c r="BX48" s="967"/>
      <c r="BY48" s="967"/>
      <c r="BZ48" s="967"/>
      <c r="CA48" s="967"/>
      <c r="CB48" s="967"/>
      <c r="CC48" s="967"/>
      <c r="CD48" s="967"/>
      <c r="CE48" s="967"/>
      <c r="CF48" s="967"/>
      <c r="CG48" s="967"/>
      <c r="CH48" s="967"/>
      <c r="CI48" s="967"/>
      <c r="CJ48" s="967"/>
      <c r="CK48" s="967"/>
      <c r="CL48" s="967"/>
      <c r="CM48" s="967"/>
      <c r="CN48" s="967"/>
      <c r="CO48" s="967"/>
      <c r="CP48" s="967"/>
      <c r="CQ48" s="967"/>
      <c r="CR48" s="967"/>
      <c r="CS48" s="967"/>
      <c r="CT48" s="967"/>
      <c r="CU48" s="967"/>
      <c r="CV48" s="967"/>
      <c r="CW48" s="967"/>
      <c r="CX48" s="967"/>
      <c r="CY48" s="967"/>
      <c r="CZ48" s="967"/>
      <c r="DA48" s="967"/>
      <c r="DB48" s="967"/>
      <c r="DC48" s="967"/>
      <c r="DD48" s="967"/>
      <c r="DE48" s="967"/>
      <c r="DF48" s="967"/>
      <c r="DG48" s="967"/>
      <c r="DH48" s="967"/>
      <c r="DI48" s="967"/>
      <c r="DJ48" s="967"/>
      <c r="DK48" s="968"/>
    </row>
    <row r="49" spans="1:149" s="45" customFormat="1" ht="7.5" customHeight="1">
      <c r="A49" s="48"/>
      <c r="B49" s="1090" t="s">
        <v>72</v>
      </c>
      <c r="C49" s="1091"/>
      <c r="D49" s="1091"/>
      <c r="E49" s="1091"/>
      <c r="F49" s="1092"/>
      <c r="G49" s="3139"/>
      <c r="H49" s="3140"/>
      <c r="I49" s="3140"/>
      <c r="J49" s="3140"/>
      <c r="K49" s="3140"/>
      <c r="L49" s="3140"/>
      <c r="M49" s="3140"/>
      <c r="N49" s="3140"/>
      <c r="O49" s="3140"/>
      <c r="P49" s="3140"/>
      <c r="Q49" s="3140"/>
      <c r="R49" s="3140"/>
      <c r="S49" s="3140"/>
      <c r="T49" s="3140"/>
      <c r="U49" s="3140"/>
      <c r="V49" s="3140"/>
      <c r="W49" s="3140"/>
      <c r="X49" s="3140"/>
      <c r="Y49" s="3140"/>
      <c r="Z49" s="3140"/>
      <c r="AA49" s="3140"/>
      <c r="AB49" s="3140"/>
      <c r="AC49" s="3140"/>
      <c r="AD49" s="3140"/>
      <c r="AE49" s="3140"/>
      <c r="AF49" s="3140"/>
      <c r="AG49" s="3140"/>
      <c r="AH49" s="3140"/>
      <c r="AI49" s="3140"/>
      <c r="AJ49" s="3140"/>
      <c r="AK49" s="3140"/>
      <c r="AL49" s="3140"/>
      <c r="AM49" s="3140"/>
      <c r="AN49" s="3140"/>
      <c r="AO49" s="3140"/>
      <c r="AP49" s="3140"/>
      <c r="AQ49" s="3140"/>
      <c r="AR49" s="3140"/>
      <c r="AS49" s="3140"/>
      <c r="AT49" s="3140"/>
      <c r="AU49" s="3140"/>
      <c r="AV49" s="3140"/>
      <c r="AW49" s="3140"/>
      <c r="AX49" s="3140"/>
      <c r="AY49" s="3140"/>
      <c r="AZ49" s="3140"/>
      <c r="BA49" s="3140"/>
      <c r="BB49" s="3140"/>
      <c r="BC49" s="3140"/>
      <c r="BD49" s="3140"/>
      <c r="BE49" s="3140"/>
      <c r="BF49" s="3141"/>
      <c r="BG49" s="48"/>
      <c r="BH49" s="48"/>
      <c r="BI49" s="857" t="s">
        <v>75</v>
      </c>
      <c r="BJ49" s="858"/>
      <c r="BK49" s="858"/>
      <c r="BL49" s="858"/>
      <c r="BM49" s="859"/>
      <c r="BN49" s="799" t="s">
        <v>73</v>
      </c>
      <c r="BO49" s="800"/>
      <c r="BP49" s="800"/>
      <c r="BQ49" s="800"/>
      <c r="BR49" s="800"/>
      <c r="BS49" s="801"/>
      <c r="BT49" s="793"/>
      <c r="BU49" s="794"/>
      <c r="BV49" s="794"/>
      <c r="BW49" s="794"/>
      <c r="BX49" s="794"/>
      <c r="BY49" s="794"/>
      <c r="BZ49" s="794"/>
      <c r="CA49" s="794"/>
      <c r="CB49" s="794"/>
      <c r="CC49" s="794"/>
      <c r="CD49" s="795"/>
      <c r="CE49" s="799" t="s">
        <v>11</v>
      </c>
      <c r="CF49" s="800"/>
      <c r="CG49" s="800"/>
      <c r="CH49" s="800"/>
      <c r="CI49" s="800"/>
      <c r="CJ49" s="801"/>
      <c r="CK49" s="793"/>
      <c r="CL49" s="794"/>
      <c r="CM49" s="794"/>
      <c r="CN49" s="794"/>
      <c r="CO49" s="794"/>
      <c r="CP49" s="794"/>
      <c r="CQ49" s="794"/>
      <c r="CR49" s="794"/>
      <c r="CS49" s="794"/>
      <c r="CT49" s="794"/>
      <c r="CU49" s="795"/>
      <c r="CV49" s="799" t="s">
        <v>74</v>
      </c>
      <c r="CW49" s="800"/>
      <c r="CX49" s="800"/>
      <c r="CY49" s="800"/>
      <c r="CZ49" s="800"/>
      <c r="DA49" s="801"/>
      <c r="DB49" s="4489"/>
      <c r="DC49" s="4490"/>
      <c r="DD49" s="4490"/>
      <c r="DE49" s="4490"/>
      <c r="DF49" s="4490"/>
      <c r="DG49" s="4490"/>
      <c r="DH49" s="4490"/>
      <c r="DI49" s="4490"/>
      <c r="DJ49" s="4490"/>
      <c r="DK49" s="4491"/>
    </row>
    <row r="50" spans="1:149" s="45" customFormat="1" ht="7.5" customHeight="1">
      <c r="A50" s="48"/>
      <c r="B50" s="1093" t="s">
        <v>794</v>
      </c>
      <c r="C50" s="1094"/>
      <c r="D50" s="1094"/>
      <c r="E50" s="1094"/>
      <c r="F50" s="1095"/>
      <c r="G50" s="916"/>
      <c r="H50" s="917"/>
      <c r="I50" s="917"/>
      <c r="J50" s="917"/>
      <c r="K50" s="917"/>
      <c r="L50" s="917"/>
      <c r="M50" s="917"/>
      <c r="N50" s="917"/>
      <c r="O50" s="917"/>
      <c r="P50" s="917"/>
      <c r="Q50" s="920"/>
      <c r="R50" s="920"/>
      <c r="S50" s="920"/>
      <c r="T50" s="920"/>
      <c r="U50" s="920"/>
      <c r="V50" s="920"/>
      <c r="W50" s="920"/>
      <c r="X50" s="920"/>
      <c r="Y50" s="920"/>
      <c r="Z50" s="920"/>
      <c r="AA50" s="920"/>
      <c r="AB50" s="920"/>
      <c r="AC50" s="920"/>
      <c r="AD50" s="920"/>
      <c r="AE50" s="920"/>
      <c r="AF50" s="920"/>
      <c r="AG50" s="920"/>
      <c r="AH50" s="920"/>
      <c r="AI50" s="920"/>
      <c r="AJ50" s="920"/>
      <c r="AK50" s="920"/>
      <c r="AL50" s="920"/>
      <c r="AM50" s="920"/>
      <c r="AN50" s="920"/>
      <c r="AO50" s="920"/>
      <c r="AP50" s="920"/>
      <c r="AQ50" s="920"/>
      <c r="AR50" s="920"/>
      <c r="AS50" s="920"/>
      <c r="AT50" s="920"/>
      <c r="AU50" s="920"/>
      <c r="AV50" s="920"/>
      <c r="AW50" s="920"/>
      <c r="AX50" s="920"/>
      <c r="AY50" s="920"/>
      <c r="AZ50" s="922"/>
      <c r="BA50" s="923"/>
      <c r="BB50" s="923"/>
      <c r="BC50" s="923"/>
      <c r="BD50" s="923"/>
      <c r="BE50" s="923"/>
      <c r="BF50" s="924"/>
      <c r="BG50" s="48"/>
      <c r="BH50" s="48"/>
      <c r="BI50" s="860"/>
      <c r="BJ50" s="861"/>
      <c r="BK50" s="861"/>
      <c r="BL50" s="861"/>
      <c r="BM50" s="862"/>
      <c r="BN50" s="802"/>
      <c r="BO50" s="803"/>
      <c r="BP50" s="803"/>
      <c r="BQ50" s="803"/>
      <c r="BR50" s="803"/>
      <c r="BS50" s="804"/>
      <c r="BT50" s="796"/>
      <c r="BU50" s="797"/>
      <c r="BV50" s="797"/>
      <c r="BW50" s="797"/>
      <c r="BX50" s="797"/>
      <c r="BY50" s="797"/>
      <c r="BZ50" s="797"/>
      <c r="CA50" s="797"/>
      <c r="CB50" s="797"/>
      <c r="CC50" s="797"/>
      <c r="CD50" s="798"/>
      <c r="CE50" s="802"/>
      <c r="CF50" s="803"/>
      <c r="CG50" s="803"/>
      <c r="CH50" s="803"/>
      <c r="CI50" s="803"/>
      <c r="CJ50" s="804"/>
      <c r="CK50" s="796"/>
      <c r="CL50" s="797"/>
      <c r="CM50" s="797"/>
      <c r="CN50" s="797"/>
      <c r="CO50" s="797"/>
      <c r="CP50" s="797"/>
      <c r="CQ50" s="797"/>
      <c r="CR50" s="797"/>
      <c r="CS50" s="797"/>
      <c r="CT50" s="797"/>
      <c r="CU50" s="798"/>
      <c r="CV50" s="802"/>
      <c r="CW50" s="803"/>
      <c r="CX50" s="803"/>
      <c r="CY50" s="803"/>
      <c r="CZ50" s="803"/>
      <c r="DA50" s="804"/>
      <c r="DB50" s="4492"/>
      <c r="DC50" s="4493"/>
      <c r="DD50" s="4493"/>
      <c r="DE50" s="4493"/>
      <c r="DF50" s="4493"/>
      <c r="DG50" s="4493"/>
      <c r="DH50" s="4493"/>
      <c r="DI50" s="4493"/>
      <c r="DJ50" s="4493"/>
      <c r="DK50" s="4494"/>
      <c r="DL50" s="44"/>
      <c r="DM50" s="49"/>
      <c r="DN50" s="49"/>
      <c r="DO50" s="274"/>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row>
    <row r="51" spans="1:149" s="45" customFormat="1" ht="7.5" customHeight="1">
      <c r="A51" s="48"/>
      <c r="B51" s="1096"/>
      <c r="C51" s="1097"/>
      <c r="D51" s="1097"/>
      <c r="E51" s="1097"/>
      <c r="F51" s="1098"/>
      <c r="G51" s="918"/>
      <c r="H51" s="919"/>
      <c r="I51" s="919"/>
      <c r="J51" s="919"/>
      <c r="K51" s="919"/>
      <c r="L51" s="919"/>
      <c r="M51" s="919"/>
      <c r="N51" s="919"/>
      <c r="O51" s="919"/>
      <c r="P51" s="919"/>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21"/>
      <c r="AO51" s="921"/>
      <c r="AP51" s="921"/>
      <c r="AQ51" s="921"/>
      <c r="AR51" s="921"/>
      <c r="AS51" s="921"/>
      <c r="AT51" s="921"/>
      <c r="AU51" s="921"/>
      <c r="AV51" s="921"/>
      <c r="AW51" s="921"/>
      <c r="AX51" s="921"/>
      <c r="AY51" s="921"/>
      <c r="AZ51" s="925"/>
      <c r="BA51" s="926"/>
      <c r="BB51" s="926"/>
      <c r="BC51" s="926"/>
      <c r="BD51" s="926"/>
      <c r="BE51" s="926"/>
      <c r="BF51" s="927"/>
      <c r="BG51" s="48"/>
      <c r="BH51" s="48"/>
      <c r="BI51" s="860"/>
      <c r="BJ51" s="861"/>
      <c r="BK51" s="861"/>
      <c r="BL51" s="861"/>
      <c r="BM51" s="862"/>
      <c r="BN51" s="799" t="s">
        <v>76</v>
      </c>
      <c r="BO51" s="800"/>
      <c r="BP51" s="800"/>
      <c r="BQ51" s="800"/>
      <c r="BR51" s="800"/>
      <c r="BS51" s="801"/>
      <c r="BT51" s="793"/>
      <c r="BU51" s="794"/>
      <c r="BV51" s="794"/>
      <c r="BW51" s="794"/>
      <c r="BX51" s="794"/>
      <c r="BY51" s="794"/>
      <c r="BZ51" s="794"/>
      <c r="CA51" s="794"/>
      <c r="CB51" s="794"/>
      <c r="CC51" s="794"/>
      <c r="CD51" s="794"/>
      <c r="CE51" s="794"/>
      <c r="CF51" s="794"/>
      <c r="CG51" s="794"/>
      <c r="CH51" s="794"/>
      <c r="CI51" s="794"/>
      <c r="CJ51" s="794"/>
      <c r="CK51" s="794"/>
      <c r="CL51" s="794"/>
      <c r="CM51" s="795"/>
      <c r="CN51" s="799" t="s">
        <v>77</v>
      </c>
      <c r="CO51" s="800"/>
      <c r="CP51" s="800"/>
      <c r="CQ51" s="800"/>
      <c r="CR51" s="800"/>
      <c r="CS51" s="801"/>
      <c r="CT51" s="4495"/>
      <c r="CU51" s="4496"/>
      <c r="CV51" s="4496"/>
      <c r="CW51" s="4496"/>
      <c r="CX51" s="4496"/>
      <c r="CY51" s="4496"/>
      <c r="CZ51" s="4496"/>
      <c r="DA51" s="4496"/>
      <c r="DB51" s="4496"/>
      <c r="DC51" s="4496"/>
      <c r="DD51" s="4496"/>
      <c r="DE51" s="4496"/>
      <c r="DF51" s="4496"/>
      <c r="DG51" s="4496"/>
      <c r="DH51" s="4496"/>
      <c r="DI51" s="4496"/>
      <c r="DJ51" s="4496"/>
      <c r="DK51" s="4497"/>
      <c r="DL51" s="44"/>
      <c r="DM51" s="49"/>
      <c r="DN51" s="49"/>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row>
    <row r="52" spans="1:149" s="45" customFormat="1" ht="7.5" customHeight="1">
      <c r="A52" s="48"/>
      <c r="B52" s="1117" t="s">
        <v>75</v>
      </c>
      <c r="C52" s="1118"/>
      <c r="D52" s="1118"/>
      <c r="E52" s="1118"/>
      <c r="F52" s="1119"/>
      <c r="G52" s="3127" t="s">
        <v>73</v>
      </c>
      <c r="H52" s="3128"/>
      <c r="I52" s="3128"/>
      <c r="J52" s="3128"/>
      <c r="K52" s="3128"/>
      <c r="L52" s="3129"/>
      <c r="M52" s="3133"/>
      <c r="N52" s="3134"/>
      <c r="O52" s="3134"/>
      <c r="P52" s="3134"/>
      <c r="Q52" s="3134"/>
      <c r="R52" s="3134"/>
      <c r="S52" s="3134"/>
      <c r="T52" s="3134"/>
      <c r="U52" s="3134"/>
      <c r="V52" s="3134"/>
      <c r="W52" s="3135"/>
      <c r="X52" s="3127" t="s">
        <v>11</v>
      </c>
      <c r="Y52" s="3128"/>
      <c r="Z52" s="3128"/>
      <c r="AA52" s="3128"/>
      <c r="AB52" s="3128"/>
      <c r="AC52" s="3129"/>
      <c r="AD52" s="3133"/>
      <c r="AE52" s="3134"/>
      <c r="AF52" s="3134"/>
      <c r="AG52" s="3134"/>
      <c r="AH52" s="3134"/>
      <c r="AI52" s="3134"/>
      <c r="AJ52" s="3134"/>
      <c r="AK52" s="3134"/>
      <c r="AL52" s="3134"/>
      <c r="AM52" s="3134"/>
      <c r="AN52" s="3135"/>
      <c r="AO52" s="3127" t="s">
        <v>74</v>
      </c>
      <c r="AP52" s="3128"/>
      <c r="AQ52" s="3128"/>
      <c r="AR52" s="3128"/>
      <c r="AS52" s="3128"/>
      <c r="AT52" s="3129"/>
      <c r="AU52" s="3133"/>
      <c r="AV52" s="3134"/>
      <c r="AW52" s="3134"/>
      <c r="AX52" s="3134"/>
      <c r="AY52" s="3134"/>
      <c r="AZ52" s="3134"/>
      <c r="BA52" s="3134"/>
      <c r="BB52" s="3134"/>
      <c r="BC52" s="3134"/>
      <c r="BD52" s="3134"/>
      <c r="BE52" s="3134"/>
      <c r="BF52" s="3142"/>
      <c r="BG52" s="48"/>
      <c r="BH52" s="48"/>
      <c r="BI52" s="863"/>
      <c r="BJ52" s="864"/>
      <c r="BK52" s="864"/>
      <c r="BL52" s="864"/>
      <c r="BM52" s="865"/>
      <c r="BN52" s="802"/>
      <c r="BO52" s="803"/>
      <c r="BP52" s="803"/>
      <c r="BQ52" s="803"/>
      <c r="BR52" s="803"/>
      <c r="BS52" s="804"/>
      <c r="BT52" s="796"/>
      <c r="BU52" s="797"/>
      <c r="BV52" s="797"/>
      <c r="BW52" s="797"/>
      <c r="BX52" s="797"/>
      <c r="BY52" s="797"/>
      <c r="BZ52" s="797"/>
      <c r="CA52" s="797"/>
      <c r="CB52" s="797"/>
      <c r="CC52" s="797"/>
      <c r="CD52" s="797"/>
      <c r="CE52" s="797"/>
      <c r="CF52" s="797"/>
      <c r="CG52" s="797"/>
      <c r="CH52" s="797"/>
      <c r="CI52" s="797"/>
      <c r="CJ52" s="797"/>
      <c r="CK52" s="797"/>
      <c r="CL52" s="797"/>
      <c r="CM52" s="798"/>
      <c r="CN52" s="802"/>
      <c r="CO52" s="803"/>
      <c r="CP52" s="803"/>
      <c r="CQ52" s="803"/>
      <c r="CR52" s="803"/>
      <c r="CS52" s="804"/>
      <c r="CT52" s="4521"/>
      <c r="CU52" s="4522"/>
      <c r="CV52" s="4522"/>
      <c r="CW52" s="4522"/>
      <c r="CX52" s="4522"/>
      <c r="CY52" s="4522"/>
      <c r="CZ52" s="4522"/>
      <c r="DA52" s="4522"/>
      <c r="DB52" s="4522"/>
      <c r="DC52" s="4522"/>
      <c r="DD52" s="4522"/>
      <c r="DE52" s="4522"/>
      <c r="DF52" s="4522"/>
      <c r="DG52" s="4522"/>
      <c r="DH52" s="4522"/>
      <c r="DI52" s="4522"/>
      <c r="DJ52" s="4522"/>
      <c r="DK52" s="4523"/>
      <c r="DL52" s="50"/>
      <c r="DM52" s="49"/>
      <c r="DN52" s="49"/>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row>
    <row r="53" spans="1:149" s="45" customFormat="1" ht="7.5" customHeight="1">
      <c r="A53" s="48"/>
      <c r="B53" s="1120"/>
      <c r="C53" s="1121"/>
      <c r="D53" s="1121"/>
      <c r="E53" s="1121"/>
      <c r="F53" s="1122"/>
      <c r="G53" s="3130"/>
      <c r="H53" s="3131"/>
      <c r="I53" s="3131"/>
      <c r="J53" s="3131"/>
      <c r="K53" s="3131"/>
      <c r="L53" s="3132"/>
      <c r="M53" s="3136"/>
      <c r="N53" s="3137"/>
      <c r="O53" s="3137"/>
      <c r="P53" s="3137"/>
      <c r="Q53" s="3137"/>
      <c r="R53" s="3137"/>
      <c r="S53" s="3137"/>
      <c r="T53" s="3137"/>
      <c r="U53" s="3137"/>
      <c r="V53" s="3137"/>
      <c r="W53" s="3138"/>
      <c r="X53" s="3130"/>
      <c r="Y53" s="3131"/>
      <c r="Z53" s="3131"/>
      <c r="AA53" s="3131"/>
      <c r="AB53" s="3131"/>
      <c r="AC53" s="3132"/>
      <c r="AD53" s="3136"/>
      <c r="AE53" s="3137"/>
      <c r="AF53" s="3137"/>
      <c r="AG53" s="3137"/>
      <c r="AH53" s="3137"/>
      <c r="AI53" s="3137"/>
      <c r="AJ53" s="3137"/>
      <c r="AK53" s="3137"/>
      <c r="AL53" s="3137"/>
      <c r="AM53" s="3137"/>
      <c r="AN53" s="3138"/>
      <c r="AO53" s="3130"/>
      <c r="AP53" s="3131"/>
      <c r="AQ53" s="3131"/>
      <c r="AR53" s="3131"/>
      <c r="AS53" s="3131"/>
      <c r="AT53" s="3132"/>
      <c r="AU53" s="3136"/>
      <c r="AV53" s="3137"/>
      <c r="AW53" s="3137"/>
      <c r="AX53" s="3137"/>
      <c r="AY53" s="3137"/>
      <c r="AZ53" s="3137"/>
      <c r="BA53" s="3137"/>
      <c r="BB53" s="3137"/>
      <c r="BC53" s="3137"/>
      <c r="BD53" s="3137"/>
      <c r="BE53" s="3137"/>
      <c r="BF53" s="3143"/>
      <c r="BG53" s="48"/>
      <c r="BH53" s="48"/>
      <c r="BI53" s="4708" t="s">
        <v>567</v>
      </c>
      <c r="BJ53" s="803"/>
      <c r="BK53" s="803"/>
      <c r="BL53" s="803"/>
      <c r="BM53" s="4709"/>
      <c r="BN53" s="966"/>
      <c r="BO53" s="967"/>
      <c r="BP53" s="967"/>
      <c r="BQ53" s="967"/>
      <c r="BR53" s="967"/>
      <c r="BS53" s="967"/>
      <c r="BT53" s="967"/>
      <c r="BU53" s="967"/>
      <c r="BV53" s="967"/>
      <c r="BW53" s="967"/>
      <c r="BX53" s="967"/>
      <c r="BY53" s="967"/>
      <c r="BZ53" s="967"/>
      <c r="CA53" s="967"/>
      <c r="CB53" s="967"/>
      <c r="CC53" s="967"/>
      <c r="CD53" s="967"/>
      <c r="CE53" s="967"/>
      <c r="CF53" s="967"/>
      <c r="CG53" s="967"/>
      <c r="CH53" s="967"/>
      <c r="CI53" s="967"/>
      <c r="CJ53" s="967"/>
      <c r="CK53" s="802" t="s">
        <v>266</v>
      </c>
      <c r="CL53" s="803"/>
      <c r="CM53" s="803"/>
      <c r="CN53" s="803"/>
      <c r="CO53" s="4709"/>
      <c r="CP53" s="4710"/>
      <c r="CQ53" s="4711"/>
      <c r="CR53" s="4711"/>
      <c r="CS53" s="4711"/>
      <c r="CT53" s="4711"/>
      <c r="CU53" s="4711"/>
      <c r="CV53" s="4711"/>
      <c r="CW53" s="4711"/>
      <c r="CX53" s="4711"/>
      <c r="CY53" s="4711"/>
      <c r="CZ53" s="4711"/>
      <c r="DA53" s="4711"/>
      <c r="DB53" s="4711"/>
      <c r="DC53" s="4711"/>
      <c r="DD53" s="4711"/>
      <c r="DE53" s="4711"/>
      <c r="DF53" s="4711"/>
      <c r="DG53" s="4711"/>
      <c r="DH53" s="4711"/>
      <c r="DI53" s="4711"/>
      <c r="DJ53" s="4711"/>
      <c r="DK53" s="4712"/>
      <c r="DL53" s="50"/>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row>
    <row r="54" spans="1:149" s="45" customFormat="1" ht="7.5" customHeight="1">
      <c r="A54" s="48"/>
      <c r="B54" s="1120"/>
      <c r="C54" s="1121"/>
      <c r="D54" s="1121"/>
      <c r="E54" s="1121"/>
      <c r="F54" s="1122"/>
      <c r="G54" s="3127" t="s">
        <v>76</v>
      </c>
      <c r="H54" s="3128"/>
      <c r="I54" s="3128"/>
      <c r="J54" s="3128"/>
      <c r="K54" s="3128"/>
      <c r="L54" s="3129"/>
      <c r="M54" s="793"/>
      <c r="N54" s="794"/>
      <c r="O54" s="794"/>
      <c r="P54" s="794"/>
      <c r="Q54" s="794"/>
      <c r="R54" s="794"/>
      <c r="S54" s="794"/>
      <c r="T54" s="794"/>
      <c r="U54" s="794"/>
      <c r="V54" s="794"/>
      <c r="W54" s="794"/>
      <c r="X54" s="794"/>
      <c r="Y54" s="794"/>
      <c r="Z54" s="794"/>
      <c r="AA54" s="794"/>
      <c r="AB54" s="794"/>
      <c r="AC54" s="794"/>
      <c r="AD54" s="794"/>
      <c r="AE54" s="794"/>
      <c r="AF54" s="795"/>
      <c r="AG54" s="3127" t="s">
        <v>77</v>
      </c>
      <c r="AH54" s="3128"/>
      <c r="AI54" s="3128"/>
      <c r="AJ54" s="3128"/>
      <c r="AK54" s="3128"/>
      <c r="AL54" s="3129"/>
      <c r="AM54" s="928"/>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3693"/>
      <c r="BJ54" s="3691"/>
      <c r="BK54" s="3691"/>
      <c r="BL54" s="3691"/>
      <c r="BM54" s="3692"/>
      <c r="BN54" s="950"/>
      <c r="BO54" s="951"/>
      <c r="BP54" s="951"/>
      <c r="BQ54" s="951"/>
      <c r="BR54" s="951"/>
      <c r="BS54" s="951"/>
      <c r="BT54" s="951"/>
      <c r="BU54" s="951"/>
      <c r="BV54" s="951"/>
      <c r="BW54" s="951"/>
      <c r="BX54" s="951"/>
      <c r="BY54" s="951"/>
      <c r="BZ54" s="951"/>
      <c r="CA54" s="951"/>
      <c r="CB54" s="951"/>
      <c r="CC54" s="951"/>
      <c r="CD54" s="951"/>
      <c r="CE54" s="951"/>
      <c r="CF54" s="951"/>
      <c r="CG54" s="951"/>
      <c r="CH54" s="951"/>
      <c r="CI54" s="951"/>
      <c r="CJ54" s="951"/>
      <c r="CK54" s="3690"/>
      <c r="CL54" s="3691"/>
      <c r="CM54" s="3691"/>
      <c r="CN54" s="3691"/>
      <c r="CO54" s="3692"/>
      <c r="CP54" s="954"/>
      <c r="CQ54" s="955"/>
      <c r="CR54" s="955"/>
      <c r="CS54" s="955"/>
      <c r="CT54" s="955"/>
      <c r="CU54" s="955"/>
      <c r="CV54" s="955"/>
      <c r="CW54" s="955"/>
      <c r="CX54" s="955"/>
      <c r="CY54" s="955"/>
      <c r="CZ54" s="955"/>
      <c r="DA54" s="955"/>
      <c r="DB54" s="955"/>
      <c r="DC54" s="955"/>
      <c r="DD54" s="955"/>
      <c r="DE54" s="955"/>
      <c r="DF54" s="955"/>
      <c r="DG54" s="955"/>
      <c r="DH54" s="955"/>
      <c r="DI54" s="955"/>
      <c r="DJ54" s="955"/>
      <c r="DK54" s="956"/>
      <c r="DL54" s="52"/>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row>
    <row r="55" spans="1:149" s="45" customFormat="1" ht="7.5" customHeight="1">
      <c r="A55" s="48"/>
      <c r="B55" s="1123"/>
      <c r="C55" s="1124"/>
      <c r="D55" s="1124"/>
      <c r="E55" s="1124"/>
      <c r="F55" s="1125"/>
      <c r="G55" s="3130"/>
      <c r="H55" s="3131"/>
      <c r="I55" s="3131"/>
      <c r="J55" s="3131"/>
      <c r="K55" s="3131"/>
      <c r="L55" s="3132"/>
      <c r="M55" s="796"/>
      <c r="N55" s="797"/>
      <c r="O55" s="797"/>
      <c r="P55" s="797"/>
      <c r="Q55" s="797"/>
      <c r="R55" s="797"/>
      <c r="S55" s="797"/>
      <c r="T55" s="797"/>
      <c r="U55" s="797"/>
      <c r="V55" s="797"/>
      <c r="W55" s="797"/>
      <c r="X55" s="797"/>
      <c r="Y55" s="797"/>
      <c r="Z55" s="797"/>
      <c r="AA55" s="797"/>
      <c r="AB55" s="797"/>
      <c r="AC55" s="797"/>
      <c r="AD55" s="797"/>
      <c r="AE55" s="797"/>
      <c r="AF55" s="798"/>
      <c r="AG55" s="3130"/>
      <c r="AH55" s="3131"/>
      <c r="AI55" s="3131"/>
      <c r="AJ55" s="3131"/>
      <c r="AK55" s="3131"/>
      <c r="AL55" s="3132"/>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012" t="s">
        <v>570</v>
      </c>
      <c r="BJ55" s="800"/>
      <c r="BK55" s="800"/>
      <c r="BL55" s="800"/>
      <c r="BM55" s="3685"/>
      <c r="BN55" s="989"/>
      <c r="BO55" s="990"/>
      <c r="BP55" s="990"/>
      <c r="BQ55" s="990"/>
      <c r="BR55" s="990"/>
      <c r="BS55" s="990"/>
      <c r="BT55" s="990"/>
      <c r="BU55" s="990"/>
      <c r="BV55" s="990"/>
      <c r="BW55" s="990"/>
      <c r="BX55" s="990"/>
      <c r="BY55" s="990"/>
      <c r="BZ55" s="990"/>
      <c r="CA55" s="990"/>
      <c r="CB55" s="990"/>
      <c r="CC55" s="990"/>
      <c r="CD55" s="990"/>
      <c r="CE55" s="990"/>
      <c r="CF55" s="990"/>
      <c r="CG55" s="990"/>
      <c r="CH55" s="990"/>
      <c r="CI55" s="990"/>
      <c r="CJ55" s="991"/>
      <c r="CK55" s="799" t="s">
        <v>569</v>
      </c>
      <c r="CL55" s="800"/>
      <c r="CM55" s="800"/>
      <c r="CN55" s="800"/>
      <c r="CO55" s="3685"/>
      <c r="CP55" s="996"/>
      <c r="CQ55" s="997"/>
      <c r="CR55" s="997"/>
      <c r="CS55" s="997"/>
      <c r="CT55" s="997"/>
      <c r="CU55" s="997"/>
      <c r="CV55" s="997"/>
      <c r="CW55" s="997"/>
      <c r="CX55" s="997"/>
      <c r="CY55" s="997"/>
      <c r="CZ55" s="997"/>
      <c r="DA55" s="997"/>
      <c r="DB55" s="997"/>
      <c r="DC55" s="997"/>
      <c r="DD55" s="997"/>
      <c r="DE55" s="997"/>
      <c r="DF55" s="997"/>
      <c r="DG55" s="997"/>
      <c r="DH55" s="997"/>
      <c r="DI55" s="997"/>
      <c r="DJ55" s="997"/>
      <c r="DK55" s="998"/>
      <c r="DL55" s="52"/>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row>
    <row r="56" spans="1:149" s="45" customFormat="1" ht="7.5" customHeight="1" thickBot="1">
      <c r="A56" s="48"/>
      <c r="B56" s="1138" t="s">
        <v>795</v>
      </c>
      <c r="C56" s="1139"/>
      <c r="D56" s="1139"/>
      <c r="E56" s="1139"/>
      <c r="F56" s="1140"/>
      <c r="G56" s="1021"/>
      <c r="H56" s="1022"/>
      <c r="I56" s="1022"/>
      <c r="J56" s="1022"/>
      <c r="K56" s="1022"/>
      <c r="L56" s="1022"/>
      <c r="M56" s="1022"/>
      <c r="N56" s="1022"/>
      <c r="O56" s="1022"/>
      <c r="P56" s="1022"/>
      <c r="Q56" s="1022"/>
      <c r="R56" s="1022"/>
      <c r="S56" s="1022"/>
      <c r="T56" s="1022"/>
      <c r="U56" s="1022"/>
      <c r="V56" s="1022"/>
      <c r="W56" s="1022"/>
      <c r="X56" s="1022"/>
      <c r="Y56" s="1022"/>
      <c r="Z56" s="1022"/>
      <c r="AA56" s="1023"/>
      <c r="AB56" s="3162" t="s">
        <v>72</v>
      </c>
      <c r="AC56" s="3162"/>
      <c r="AD56" s="3162"/>
      <c r="AE56" s="3162"/>
      <c r="AF56" s="3163"/>
      <c r="AG56" s="3164"/>
      <c r="AH56" s="3145"/>
      <c r="AI56" s="3145"/>
      <c r="AJ56" s="3145"/>
      <c r="AK56" s="3145"/>
      <c r="AL56" s="3145"/>
      <c r="AM56" s="3145"/>
      <c r="AN56" s="3145"/>
      <c r="AO56" s="3145"/>
      <c r="AP56" s="3145"/>
      <c r="AQ56" s="3145"/>
      <c r="AR56" s="3145"/>
      <c r="AS56" s="3145"/>
      <c r="AT56" s="3144"/>
      <c r="AU56" s="3145"/>
      <c r="AV56" s="3145"/>
      <c r="AW56" s="3145"/>
      <c r="AX56" s="3145"/>
      <c r="AY56" s="3145"/>
      <c r="AZ56" s="3145"/>
      <c r="BA56" s="3145"/>
      <c r="BB56" s="3145"/>
      <c r="BC56" s="3145"/>
      <c r="BD56" s="3145"/>
      <c r="BE56" s="3145"/>
      <c r="BF56" s="3146"/>
      <c r="BG56" s="48"/>
      <c r="BH56" s="48"/>
      <c r="BI56" s="3689"/>
      <c r="BJ56" s="3687"/>
      <c r="BK56" s="3687"/>
      <c r="BL56" s="3687"/>
      <c r="BM56" s="3688"/>
      <c r="BN56" s="992"/>
      <c r="BO56" s="993"/>
      <c r="BP56" s="993"/>
      <c r="BQ56" s="993"/>
      <c r="BR56" s="993"/>
      <c r="BS56" s="993"/>
      <c r="BT56" s="993"/>
      <c r="BU56" s="993"/>
      <c r="BV56" s="993"/>
      <c r="BW56" s="993"/>
      <c r="BX56" s="993"/>
      <c r="BY56" s="993"/>
      <c r="BZ56" s="993"/>
      <c r="CA56" s="993"/>
      <c r="CB56" s="993"/>
      <c r="CC56" s="993"/>
      <c r="CD56" s="993"/>
      <c r="CE56" s="993"/>
      <c r="CF56" s="993"/>
      <c r="CG56" s="993"/>
      <c r="CH56" s="993"/>
      <c r="CI56" s="993"/>
      <c r="CJ56" s="994"/>
      <c r="CK56" s="3686"/>
      <c r="CL56" s="3687"/>
      <c r="CM56" s="3687"/>
      <c r="CN56" s="3687"/>
      <c r="CO56" s="3688"/>
      <c r="CP56" s="999"/>
      <c r="CQ56" s="1000"/>
      <c r="CR56" s="1000"/>
      <c r="CS56" s="1000"/>
      <c r="CT56" s="1000"/>
      <c r="CU56" s="1000"/>
      <c r="CV56" s="1000"/>
      <c r="CW56" s="1000"/>
      <c r="CX56" s="1000"/>
      <c r="CY56" s="1000"/>
      <c r="CZ56" s="1000"/>
      <c r="DA56" s="1000"/>
      <c r="DB56" s="1000"/>
      <c r="DC56" s="1000"/>
      <c r="DD56" s="1000"/>
      <c r="DE56" s="1000"/>
      <c r="DF56" s="1000"/>
      <c r="DG56" s="1000"/>
      <c r="DH56" s="1000"/>
      <c r="DI56" s="1000"/>
      <c r="DJ56" s="1000"/>
      <c r="DK56" s="1001"/>
      <c r="DL56" s="52"/>
    </row>
    <row r="57" spans="1:149" s="45" customFormat="1" ht="7.5" customHeight="1" thickTop="1" thickBot="1">
      <c r="A57" s="48"/>
      <c r="B57" s="1141"/>
      <c r="C57" s="1142"/>
      <c r="D57" s="1142"/>
      <c r="E57" s="1142"/>
      <c r="F57" s="1143"/>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3147" t="s">
        <v>797</v>
      </c>
      <c r="AC57" s="3148"/>
      <c r="AD57" s="3148"/>
      <c r="AE57" s="3148"/>
      <c r="AF57" s="3149"/>
      <c r="AG57" s="3151"/>
      <c r="AH57" s="3152"/>
      <c r="AI57" s="3152"/>
      <c r="AJ57" s="3152"/>
      <c r="AK57" s="3152"/>
      <c r="AL57" s="3152"/>
      <c r="AM57" s="3152"/>
      <c r="AN57" s="3152"/>
      <c r="AO57" s="3152"/>
      <c r="AP57" s="3152"/>
      <c r="AQ57" s="3152"/>
      <c r="AR57" s="3152"/>
      <c r="AS57" s="3152"/>
      <c r="AT57" s="3155"/>
      <c r="AU57" s="3156"/>
      <c r="AV57" s="3156"/>
      <c r="AW57" s="3156"/>
      <c r="AX57" s="3156"/>
      <c r="AY57" s="3156"/>
      <c r="AZ57" s="3156"/>
      <c r="BA57" s="3156"/>
      <c r="BB57" s="3156"/>
      <c r="BC57" s="3156"/>
      <c r="BD57" s="3156"/>
      <c r="BE57" s="3156"/>
      <c r="BF57" s="3157"/>
      <c r="BG57" s="48"/>
      <c r="BH57" s="48"/>
      <c r="BI57" s="370"/>
      <c r="BJ57" s="370"/>
      <c r="BK57" s="370"/>
      <c r="BL57" s="370"/>
      <c r="BM57" s="370"/>
      <c r="BN57" s="370"/>
      <c r="BO57" s="370"/>
      <c r="BP57" s="370"/>
      <c r="BQ57" s="370"/>
      <c r="BR57" s="370"/>
      <c r="BS57" s="370"/>
      <c r="BT57" s="370"/>
      <c r="BU57" s="370"/>
      <c r="BV57" s="370"/>
      <c r="BW57" s="370"/>
      <c r="BX57" s="370"/>
      <c r="BY57" s="370"/>
      <c r="BZ57" s="370"/>
      <c r="CA57" s="370"/>
      <c r="CB57" s="370"/>
      <c r="CC57" s="377"/>
      <c r="CD57" s="377"/>
      <c r="CE57" s="377"/>
      <c r="CF57" s="377"/>
      <c r="CG57" s="377"/>
      <c r="CH57" s="377"/>
      <c r="CI57" s="377"/>
      <c r="CJ57" s="377"/>
      <c r="CK57" s="377"/>
      <c r="CL57" s="377"/>
      <c r="CM57" s="377"/>
      <c r="CN57" s="377"/>
      <c r="CO57" s="377"/>
      <c r="CP57" s="377"/>
      <c r="CQ57" s="377"/>
      <c r="CR57" s="377"/>
      <c r="CS57" s="377"/>
      <c r="CT57" s="377"/>
      <c r="CU57" s="377"/>
      <c r="CV57" s="377"/>
      <c r="CW57" s="377"/>
      <c r="CX57" s="377"/>
      <c r="CY57" s="377"/>
      <c r="CZ57" s="377"/>
      <c r="DA57" s="377"/>
      <c r="DB57" s="377"/>
      <c r="DC57" s="377"/>
      <c r="DD57" s="377"/>
      <c r="DE57" s="370"/>
      <c r="DF57" s="370"/>
      <c r="DG57" s="370"/>
      <c r="DH57" s="370"/>
      <c r="DI57" s="370"/>
      <c r="DJ57" s="370"/>
      <c r="DK57" s="370"/>
      <c r="DL57" s="48"/>
    </row>
    <row r="58" spans="1:149" s="45" customFormat="1" ht="7.5" customHeight="1" thickTop="1">
      <c r="A58" s="48"/>
      <c r="B58" s="1144"/>
      <c r="C58" s="1145"/>
      <c r="D58" s="1145"/>
      <c r="E58" s="1145"/>
      <c r="F58" s="1146"/>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3150"/>
      <c r="AC58" s="1145"/>
      <c r="AD58" s="1145"/>
      <c r="AE58" s="1145"/>
      <c r="AF58" s="1146"/>
      <c r="AG58" s="3153"/>
      <c r="AH58" s="3154"/>
      <c r="AI58" s="3154"/>
      <c r="AJ58" s="3154"/>
      <c r="AK58" s="3154"/>
      <c r="AL58" s="3154"/>
      <c r="AM58" s="3154"/>
      <c r="AN58" s="3154"/>
      <c r="AO58" s="3154"/>
      <c r="AP58" s="3154"/>
      <c r="AQ58" s="3154"/>
      <c r="AR58" s="3154"/>
      <c r="AS58" s="3154"/>
      <c r="AT58" s="3158"/>
      <c r="AU58" s="3154"/>
      <c r="AV58" s="3154"/>
      <c r="AW58" s="3154"/>
      <c r="AX58" s="3154"/>
      <c r="AY58" s="3154"/>
      <c r="AZ58" s="3154"/>
      <c r="BA58" s="3154"/>
      <c r="BB58" s="3154"/>
      <c r="BC58" s="3154"/>
      <c r="BD58" s="3154"/>
      <c r="BE58" s="3154"/>
      <c r="BF58" s="3159"/>
      <c r="BG58" s="48"/>
      <c r="BH58" s="48"/>
      <c r="BI58" s="1075" t="s">
        <v>572</v>
      </c>
      <c r="BJ58" s="1076"/>
      <c r="BK58" s="1076"/>
      <c r="BL58" s="1076"/>
      <c r="BM58" s="1076"/>
      <c r="BN58" s="1076"/>
      <c r="BO58" s="1076"/>
      <c r="BP58" s="1076"/>
      <c r="BQ58" s="1076"/>
      <c r="BR58" s="1076"/>
      <c r="BS58" s="1076"/>
      <c r="BT58" s="1076"/>
      <c r="BU58" s="1076"/>
      <c r="BV58" s="1076"/>
      <c r="BW58" s="1076"/>
      <c r="BX58" s="1076"/>
      <c r="BY58" s="1076"/>
      <c r="BZ58" s="1076"/>
      <c r="CA58" s="1076"/>
      <c r="CB58" s="1076"/>
      <c r="CC58" s="1076"/>
      <c r="CD58" s="1076"/>
      <c r="CE58" s="1076"/>
      <c r="CF58" s="1076"/>
      <c r="CG58" s="1076"/>
      <c r="CH58" s="1076"/>
      <c r="CI58" s="1076"/>
      <c r="CJ58" s="1076"/>
      <c r="CK58" s="1076"/>
      <c r="CL58" s="1076"/>
      <c r="CM58" s="1076"/>
      <c r="CN58" s="1076"/>
      <c r="CO58" s="1076"/>
      <c r="CP58" s="1076"/>
      <c r="CQ58" s="1076"/>
      <c r="CR58" s="1076"/>
      <c r="CS58" s="1076"/>
      <c r="CT58" s="1076"/>
      <c r="CU58" s="1076"/>
      <c r="CV58" s="1076"/>
      <c r="CW58" s="1076"/>
      <c r="CX58" s="1076"/>
      <c r="CY58" s="1076"/>
      <c r="CZ58" s="1076"/>
      <c r="DA58" s="1076"/>
      <c r="DB58" s="1077"/>
      <c r="DC58" s="1081" t="s">
        <v>263</v>
      </c>
      <c r="DD58" s="1082"/>
      <c r="DE58" s="1082"/>
      <c r="DF58" s="1082"/>
      <c r="DG58" s="1082"/>
      <c r="DH58" s="1082"/>
      <c r="DI58" s="1082"/>
      <c r="DJ58" s="1082"/>
      <c r="DK58" s="1083"/>
      <c r="DL58" s="44"/>
    </row>
    <row r="59" spans="1:149" s="45" customFormat="1" ht="7.5" customHeight="1">
      <c r="A59" s="48"/>
      <c r="B59" s="1138" t="s">
        <v>570</v>
      </c>
      <c r="C59" s="1139"/>
      <c r="D59" s="1139"/>
      <c r="E59" s="1139"/>
      <c r="F59" s="1140"/>
      <c r="G59" s="3165"/>
      <c r="H59" s="3166"/>
      <c r="I59" s="3166"/>
      <c r="J59" s="3166"/>
      <c r="K59" s="3166"/>
      <c r="L59" s="3166"/>
      <c r="M59" s="3166"/>
      <c r="N59" s="3166"/>
      <c r="O59" s="3166"/>
      <c r="P59" s="3166"/>
      <c r="Q59" s="3166"/>
      <c r="R59" s="3166"/>
      <c r="S59" s="3166"/>
      <c r="T59" s="3166"/>
      <c r="U59" s="3166"/>
      <c r="V59" s="3166"/>
      <c r="W59" s="3166"/>
      <c r="X59" s="3166"/>
      <c r="Y59" s="3166"/>
      <c r="Z59" s="3166"/>
      <c r="AA59" s="3167"/>
      <c r="AB59" s="3127" t="s">
        <v>569</v>
      </c>
      <c r="AC59" s="1139"/>
      <c r="AD59" s="1139"/>
      <c r="AE59" s="1139"/>
      <c r="AF59" s="1140"/>
      <c r="AG59" s="3172"/>
      <c r="AH59" s="3173"/>
      <c r="AI59" s="3173"/>
      <c r="AJ59" s="3173"/>
      <c r="AK59" s="3173"/>
      <c r="AL59" s="3173"/>
      <c r="AM59" s="3173"/>
      <c r="AN59" s="3173"/>
      <c r="AO59" s="3173"/>
      <c r="AP59" s="3173"/>
      <c r="AQ59" s="3173"/>
      <c r="AR59" s="3173"/>
      <c r="AS59" s="3173"/>
      <c r="AT59" s="3173"/>
      <c r="AU59" s="3173"/>
      <c r="AV59" s="3173"/>
      <c r="AW59" s="3173"/>
      <c r="AX59" s="3173"/>
      <c r="AY59" s="3173"/>
      <c r="AZ59" s="3173"/>
      <c r="BA59" s="3173"/>
      <c r="BB59" s="3173"/>
      <c r="BC59" s="3173"/>
      <c r="BD59" s="3173"/>
      <c r="BE59" s="3173"/>
      <c r="BF59" s="3174"/>
      <c r="BG59" s="48"/>
      <c r="BH59" s="48"/>
      <c r="BI59" s="1078"/>
      <c r="BJ59" s="1079"/>
      <c r="BK59" s="1079"/>
      <c r="BL59" s="1079"/>
      <c r="BM59" s="1079"/>
      <c r="BN59" s="1079"/>
      <c r="BO59" s="1079"/>
      <c r="BP59" s="1079"/>
      <c r="BQ59" s="1079"/>
      <c r="BR59" s="1079"/>
      <c r="BS59" s="1079"/>
      <c r="BT59" s="1079"/>
      <c r="BU59" s="1079"/>
      <c r="BV59" s="1079"/>
      <c r="BW59" s="1079"/>
      <c r="BX59" s="1079"/>
      <c r="BY59" s="1079"/>
      <c r="BZ59" s="1079"/>
      <c r="CA59" s="1079"/>
      <c r="CB59" s="1079"/>
      <c r="CC59" s="1079"/>
      <c r="CD59" s="1079"/>
      <c r="CE59" s="1079"/>
      <c r="CF59" s="1079"/>
      <c r="CG59" s="1079"/>
      <c r="CH59" s="1079"/>
      <c r="CI59" s="1079"/>
      <c r="CJ59" s="1079"/>
      <c r="CK59" s="1079"/>
      <c r="CL59" s="1079"/>
      <c r="CM59" s="1079"/>
      <c r="CN59" s="1079"/>
      <c r="CO59" s="1079"/>
      <c r="CP59" s="1079"/>
      <c r="CQ59" s="1079"/>
      <c r="CR59" s="1079"/>
      <c r="CS59" s="1079"/>
      <c r="CT59" s="1079"/>
      <c r="CU59" s="1079"/>
      <c r="CV59" s="1079"/>
      <c r="CW59" s="1079"/>
      <c r="CX59" s="1079"/>
      <c r="CY59" s="1079"/>
      <c r="CZ59" s="1079"/>
      <c r="DA59" s="1079"/>
      <c r="DB59" s="1080"/>
      <c r="DC59" s="1084"/>
      <c r="DD59" s="1085"/>
      <c r="DE59" s="1085"/>
      <c r="DF59" s="1085"/>
      <c r="DG59" s="1085"/>
      <c r="DH59" s="1085"/>
      <c r="DI59" s="1085"/>
      <c r="DJ59" s="1085"/>
      <c r="DK59" s="1086"/>
      <c r="DL59" s="44"/>
    </row>
    <row r="60" spans="1:149" s="45" customFormat="1" ht="7.5" customHeight="1" thickBot="1">
      <c r="A60" s="48"/>
      <c r="B60" s="1147"/>
      <c r="C60" s="1148"/>
      <c r="D60" s="1148"/>
      <c r="E60" s="1148"/>
      <c r="F60" s="1149"/>
      <c r="G60" s="3168"/>
      <c r="H60" s="3169"/>
      <c r="I60" s="3169"/>
      <c r="J60" s="3169"/>
      <c r="K60" s="3169"/>
      <c r="L60" s="3169"/>
      <c r="M60" s="3169"/>
      <c r="N60" s="3169"/>
      <c r="O60" s="3169"/>
      <c r="P60" s="3169"/>
      <c r="Q60" s="3169"/>
      <c r="R60" s="3169"/>
      <c r="S60" s="3169"/>
      <c r="T60" s="3169"/>
      <c r="U60" s="3169"/>
      <c r="V60" s="3169"/>
      <c r="W60" s="3169"/>
      <c r="X60" s="3169"/>
      <c r="Y60" s="3169"/>
      <c r="Z60" s="3169"/>
      <c r="AA60" s="3170"/>
      <c r="AB60" s="3171"/>
      <c r="AC60" s="1148"/>
      <c r="AD60" s="1148"/>
      <c r="AE60" s="1148"/>
      <c r="AF60" s="1149"/>
      <c r="AG60" s="3175"/>
      <c r="AH60" s="3176"/>
      <c r="AI60" s="3176"/>
      <c r="AJ60" s="3176"/>
      <c r="AK60" s="3176"/>
      <c r="AL60" s="3176"/>
      <c r="AM60" s="3176"/>
      <c r="AN60" s="3176"/>
      <c r="AO60" s="3176"/>
      <c r="AP60" s="3176"/>
      <c r="AQ60" s="3176"/>
      <c r="AR60" s="3176"/>
      <c r="AS60" s="3176"/>
      <c r="AT60" s="3176"/>
      <c r="AU60" s="3176"/>
      <c r="AV60" s="3176"/>
      <c r="AW60" s="3176"/>
      <c r="AX60" s="3176"/>
      <c r="AY60" s="3176"/>
      <c r="AZ60" s="3176"/>
      <c r="BA60" s="3176"/>
      <c r="BB60" s="3176"/>
      <c r="BC60" s="3176"/>
      <c r="BD60" s="3176"/>
      <c r="BE60" s="3176"/>
      <c r="BF60" s="3177"/>
      <c r="BG60" s="48"/>
      <c r="BH60" s="48"/>
      <c r="BI60" s="1111"/>
      <c r="BJ60" s="1112"/>
      <c r="BK60" s="1112"/>
      <c r="BL60" s="1112"/>
      <c r="BM60" s="1112"/>
      <c r="BN60" s="1112"/>
      <c r="BO60" s="1112"/>
      <c r="BP60" s="1112"/>
      <c r="BQ60" s="1112"/>
      <c r="BR60" s="1112"/>
      <c r="BS60" s="1112"/>
      <c r="BT60" s="1112"/>
      <c r="BU60" s="1112"/>
      <c r="BV60" s="1112"/>
      <c r="BW60" s="1112"/>
      <c r="BX60" s="1112"/>
      <c r="BY60" s="1112"/>
      <c r="BZ60" s="1112"/>
      <c r="CA60" s="1112"/>
      <c r="CB60" s="1112"/>
      <c r="CC60" s="1112"/>
      <c r="CD60" s="1112"/>
      <c r="CE60" s="1112"/>
      <c r="CF60" s="1112"/>
      <c r="CG60" s="1112"/>
      <c r="CH60" s="1112"/>
      <c r="CI60" s="1112"/>
      <c r="CJ60" s="1112"/>
      <c r="CK60" s="1112"/>
      <c r="CL60" s="1112"/>
      <c r="CM60" s="1112"/>
      <c r="CN60" s="1112"/>
      <c r="CO60" s="1112"/>
      <c r="CP60" s="1112"/>
      <c r="CQ60" s="1112"/>
      <c r="CR60" s="1112"/>
      <c r="CS60" s="1112"/>
      <c r="CT60" s="1112"/>
      <c r="CU60" s="1112"/>
      <c r="CV60" s="1112"/>
      <c r="CW60" s="1112"/>
      <c r="CX60" s="1112"/>
      <c r="CY60" s="1112"/>
      <c r="CZ60" s="1112"/>
      <c r="DA60" s="1112"/>
      <c r="DB60" s="1115"/>
      <c r="DC60" s="1084"/>
      <c r="DD60" s="1085"/>
      <c r="DE60" s="1085"/>
      <c r="DF60" s="1085"/>
      <c r="DG60" s="1085"/>
      <c r="DH60" s="1085"/>
      <c r="DI60" s="1085"/>
      <c r="DJ60" s="1085"/>
      <c r="DK60" s="1086"/>
      <c r="DL60" s="44"/>
    </row>
    <row r="61" spans="1:149" s="45" customFormat="1" ht="7.5" customHeight="1" thickTop="1" thickBot="1">
      <c r="A61" s="48"/>
      <c r="B61" s="4825" t="s">
        <v>78</v>
      </c>
      <c r="C61" s="4826"/>
      <c r="D61" s="4826"/>
      <c r="E61" s="4826"/>
      <c r="F61" s="4827"/>
      <c r="G61" s="1159" t="s">
        <v>749</v>
      </c>
      <c r="H61" s="4834"/>
      <c r="I61" s="4834"/>
      <c r="J61" s="4834"/>
      <c r="K61" s="4834"/>
      <c r="L61" s="4834"/>
      <c r="M61" s="4834"/>
      <c r="N61" s="4834"/>
      <c r="O61" s="4834"/>
      <c r="P61" s="4834"/>
      <c r="Q61" s="4834"/>
      <c r="R61" s="4834"/>
      <c r="S61" s="4834"/>
      <c r="T61" s="4834"/>
      <c r="U61" s="4834"/>
      <c r="V61" s="4834"/>
      <c r="W61" s="4834"/>
      <c r="X61" s="4834"/>
      <c r="Y61" s="4834"/>
      <c r="Z61" s="4834"/>
      <c r="AA61" s="4834"/>
      <c r="AB61" s="4834"/>
      <c r="AC61" s="4834"/>
      <c r="AD61" s="4834"/>
      <c r="AE61" s="4834"/>
      <c r="AF61" s="4834"/>
      <c r="AG61" s="4834"/>
      <c r="AH61" s="4834"/>
      <c r="AI61" s="4834"/>
      <c r="AJ61" s="4834"/>
      <c r="AK61" s="4834"/>
      <c r="AL61" s="4834"/>
      <c r="AM61" s="4834"/>
      <c r="AN61" s="4834"/>
      <c r="AO61" s="4834"/>
      <c r="AP61" s="4834"/>
      <c r="AQ61" s="4834"/>
      <c r="AR61" s="4834"/>
      <c r="AS61" s="4834"/>
      <c r="AT61" s="4834"/>
      <c r="AU61" s="4834"/>
      <c r="AV61" s="4834"/>
      <c r="AW61" s="4834"/>
      <c r="AX61" s="4834"/>
      <c r="AY61" s="4835"/>
      <c r="AZ61" s="1168" t="s">
        <v>79</v>
      </c>
      <c r="BA61" s="1169"/>
      <c r="BB61" s="1169"/>
      <c r="BC61" s="1169"/>
      <c r="BD61" s="1169"/>
      <c r="BE61" s="1169"/>
      <c r="BF61" s="1170"/>
      <c r="BG61" s="48"/>
      <c r="BH61" s="48"/>
      <c r="BI61" s="1113"/>
      <c r="BJ61" s="1114"/>
      <c r="BK61" s="1114"/>
      <c r="BL61" s="1114"/>
      <c r="BM61" s="1114"/>
      <c r="BN61" s="1114"/>
      <c r="BO61" s="1114"/>
      <c r="BP61" s="1114"/>
      <c r="BQ61" s="1114"/>
      <c r="BR61" s="1114"/>
      <c r="BS61" s="1114"/>
      <c r="BT61" s="1114"/>
      <c r="BU61" s="1114"/>
      <c r="BV61" s="1114"/>
      <c r="BW61" s="1114"/>
      <c r="BX61" s="1114"/>
      <c r="BY61" s="1114"/>
      <c r="BZ61" s="1114"/>
      <c r="CA61" s="1114"/>
      <c r="CB61" s="1114"/>
      <c r="CC61" s="1114"/>
      <c r="CD61" s="1114"/>
      <c r="CE61" s="1114"/>
      <c r="CF61" s="1114"/>
      <c r="CG61" s="1114"/>
      <c r="CH61" s="1114"/>
      <c r="CI61" s="1114"/>
      <c r="CJ61" s="1114"/>
      <c r="CK61" s="1114"/>
      <c r="CL61" s="1114"/>
      <c r="CM61" s="1114"/>
      <c r="CN61" s="1114"/>
      <c r="CO61" s="1114"/>
      <c r="CP61" s="1114"/>
      <c r="CQ61" s="1114"/>
      <c r="CR61" s="1114"/>
      <c r="CS61" s="1114"/>
      <c r="CT61" s="1114"/>
      <c r="CU61" s="1114"/>
      <c r="CV61" s="1114"/>
      <c r="CW61" s="1114"/>
      <c r="CX61" s="1114"/>
      <c r="CY61" s="1114"/>
      <c r="CZ61" s="1114"/>
      <c r="DA61" s="1114"/>
      <c r="DB61" s="1116"/>
      <c r="DC61" s="1087"/>
      <c r="DD61" s="1088"/>
      <c r="DE61" s="1088"/>
      <c r="DF61" s="1088"/>
      <c r="DG61" s="1088"/>
      <c r="DH61" s="1088"/>
      <c r="DI61" s="1088"/>
      <c r="DJ61" s="1088"/>
      <c r="DK61" s="1089"/>
      <c r="DL61" s="44"/>
    </row>
    <row r="62" spans="1:149" s="45" customFormat="1" ht="7.5" customHeight="1">
      <c r="A62" s="48"/>
      <c r="B62" s="4828"/>
      <c r="C62" s="4829"/>
      <c r="D62" s="4829"/>
      <c r="E62" s="4829"/>
      <c r="F62" s="4830"/>
      <c r="G62" s="4836"/>
      <c r="H62" s="4837"/>
      <c r="I62" s="4837"/>
      <c r="J62" s="4837"/>
      <c r="K62" s="4837"/>
      <c r="L62" s="4837"/>
      <c r="M62" s="4837"/>
      <c r="N62" s="4837"/>
      <c r="O62" s="4837"/>
      <c r="P62" s="4837"/>
      <c r="Q62" s="4837"/>
      <c r="R62" s="4837"/>
      <c r="S62" s="4837"/>
      <c r="T62" s="4837"/>
      <c r="U62" s="4837"/>
      <c r="V62" s="4837"/>
      <c r="W62" s="4837"/>
      <c r="X62" s="4837"/>
      <c r="Y62" s="4837"/>
      <c r="Z62" s="4837"/>
      <c r="AA62" s="4837"/>
      <c r="AB62" s="4837"/>
      <c r="AC62" s="4837"/>
      <c r="AD62" s="4837"/>
      <c r="AE62" s="4837"/>
      <c r="AF62" s="4837"/>
      <c r="AG62" s="4837"/>
      <c r="AH62" s="4837"/>
      <c r="AI62" s="4837"/>
      <c r="AJ62" s="4837"/>
      <c r="AK62" s="4837"/>
      <c r="AL62" s="4837"/>
      <c r="AM62" s="4837"/>
      <c r="AN62" s="4837"/>
      <c r="AO62" s="4837"/>
      <c r="AP62" s="4837"/>
      <c r="AQ62" s="4837"/>
      <c r="AR62" s="4837"/>
      <c r="AS62" s="4837"/>
      <c r="AT62" s="4837"/>
      <c r="AU62" s="4837"/>
      <c r="AV62" s="4837"/>
      <c r="AW62" s="4837"/>
      <c r="AX62" s="4837"/>
      <c r="AY62" s="4838"/>
      <c r="AZ62" s="1171"/>
      <c r="BA62" s="1172"/>
      <c r="BB62" s="1172"/>
      <c r="BC62" s="1172"/>
      <c r="BD62" s="1172"/>
      <c r="BE62" s="1172"/>
      <c r="BF62" s="1173"/>
      <c r="BG62" s="48"/>
      <c r="BH62" s="48"/>
      <c r="BI62" s="1126" t="s">
        <v>664</v>
      </c>
      <c r="BJ62" s="1127"/>
      <c r="BK62" s="1127"/>
      <c r="BL62" s="1127"/>
      <c r="BM62" s="1127"/>
      <c r="BN62" s="1127"/>
      <c r="BO62" s="1127"/>
      <c r="BP62" s="1127"/>
      <c r="BQ62" s="1127"/>
      <c r="BR62" s="1127"/>
      <c r="BS62" s="1127"/>
      <c r="BT62" s="1127"/>
      <c r="BU62" s="1127"/>
      <c r="BV62" s="1127"/>
      <c r="BW62" s="1127"/>
      <c r="BX62" s="1127"/>
      <c r="BY62" s="1127"/>
      <c r="BZ62" s="1127"/>
      <c r="CA62" s="1127"/>
      <c r="CB62" s="1127"/>
      <c r="CC62" s="1127"/>
      <c r="CD62" s="1127"/>
      <c r="CE62" s="1127"/>
      <c r="CF62" s="1127"/>
      <c r="CG62" s="1127"/>
      <c r="CH62" s="1127"/>
      <c r="CI62" s="1127"/>
      <c r="CJ62" s="1127"/>
      <c r="CK62" s="1127"/>
      <c r="CL62" s="1127"/>
      <c r="CM62" s="1127"/>
      <c r="CN62" s="1127"/>
      <c r="CO62" s="1127"/>
      <c r="CP62" s="1127"/>
      <c r="CQ62" s="1127"/>
      <c r="CR62" s="1127"/>
      <c r="CS62" s="1127"/>
      <c r="CT62" s="1127"/>
      <c r="CU62" s="1127"/>
      <c r="CV62" s="1127"/>
      <c r="CW62" s="1127"/>
      <c r="CX62" s="1127"/>
      <c r="CY62" s="1127"/>
      <c r="CZ62" s="1127"/>
      <c r="DA62" s="1127"/>
      <c r="DB62" s="1128"/>
      <c r="DC62" s="1132"/>
      <c r="DD62" s="1133"/>
      <c r="DE62" s="1133"/>
      <c r="DF62" s="1133"/>
      <c r="DG62" s="1133"/>
      <c r="DH62" s="1133"/>
      <c r="DI62" s="1133"/>
      <c r="DJ62" s="1133"/>
      <c r="DK62" s="1134"/>
      <c r="DL62" s="53"/>
    </row>
    <row r="63" spans="1:149" s="45" customFormat="1" ht="7.5" customHeight="1" thickBot="1">
      <c r="A63" s="44"/>
      <c r="B63" s="4831"/>
      <c r="C63" s="4832"/>
      <c r="D63" s="4832"/>
      <c r="E63" s="4832"/>
      <c r="F63" s="4833"/>
      <c r="G63" s="4839"/>
      <c r="H63" s="4840"/>
      <c r="I63" s="4840"/>
      <c r="J63" s="4840"/>
      <c r="K63" s="4840"/>
      <c r="L63" s="4840"/>
      <c r="M63" s="4840"/>
      <c r="N63" s="4840"/>
      <c r="O63" s="4840"/>
      <c r="P63" s="4840"/>
      <c r="Q63" s="4840"/>
      <c r="R63" s="4840"/>
      <c r="S63" s="4840"/>
      <c r="T63" s="4840"/>
      <c r="U63" s="4840"/>
      <c r="V63" s="4840"/>
      <c r="W63" s="4840"/>
      <c r="X63" s="4840"/>
      <c r="Y63" s="4840"/>
      <c r="Z63" s="4840"/>
      <c r="AA63" s="4840"/>
      <c r="AB63" s="4840"/>
      <c r="AC63" s="4840"/>
      <c r="AD63" s="4840"/>
      <c r="AE63" s="4840"/>
      <c r="AF63" s="4840"/>
      <c r="AG63" s="4840"/>
      <c r="AH63" s="4840"/>
      <c r="AI63" s="4840"/>
      <c r="AJ63" s="4840"/>
      <c r="AK63" s="4840"/>
      <c r="AL63" s="4840"/>
      <c r="AM63" s="4840"/>
      <c r="AN63" s="4840"/>
      <c r="AO63" s="4840"/>
      <c r="AP63" s="4840"/>
      <c r="AQ63" s="4840"/>
      <c r="AR63" s="4840"/>
      <c r="AS63" s="4840"/>
      <c r="AT63" s="4840"/>
      <c r="AU63" s="4840"/>
      <c r="AV63" s="4840"/>
      <c r="AW63" s="4840"/>
      <c r="AX63" s="4840"/>
      <c r="AY63" s="4841"/>
      <c r="AZ63" s="1174"/>
      <c r="BA63" s="1175"/>
      <c r="BB63" s="1175"/>
      <c r="BC63" s="1175"/>
      <c r="BD63" s="1175"/>
      <c r="BE63" s="1175"/>
      <c r="BF63" s="1176"/>
      <c r="BG63" s="44"/>
      <c r="BH63" s="44"/>
      <c r="BI63" s="1129"/>
      <c r="BJ63" s="1130"/>
      <c r="BK63" s="1130"/>
      <c r="BL63" s="1130"/>
      <c r="BM63" s="1130"/>
      <c r="BN63" s="1130"/>
      <c r="BO63" s="1130"/>
      <c r="BP63" s="1130"/>
      <c r="BQ63" s="1130"/>
      <c r="BR63" s="1130"/>
      <c r="BS63" s="1130"/>
      <c r="BT63" s="1130"/>
      <c r="BU63" s="1130"/>
      <c r="BV63" s="1130"/>
      <c r="BW63" s="1130"/>
      <c r="BX63" s="1130"/>
      <c r="BY63" s="1130"/>
      <c r="BZ63" s="1130"/>
      <c r="CA63" s="1130"/>
      <c r="CB63" s="1130"/>
      <c r="CC63" s="1130"/>
      <c r="CD63" s="1130"/>
      <c r="CE63" s="1130"/>
      <c r="CF63" s="1130"/>
      <c r="CG63" s="1130"/>
      <c r="CH63" s="1130"/>
      <c r="CI63" s="1130"/>
      <c r="CJ63" s="1130"/>
      <c r="CK63" s="1130"/>
      <c r="CL63" s="1130"/>
      <c r="CM63" s="1130"/>
      <c r="CN63" s="1130"/>
      <c r="CO63" s="1130"/>
      <c r="CP63" s="1130"/>
      <c r="CQ63" s="1130"/>
      <c r="CR63" s="1130"/>
      <c r="CS63" s="1130"/>
      <c r="CT63" s="1130"/>
      <c r="CU63" s="1130"/>
      <c r="CV63" s="1130"/>
      <c r="CW63" s="1130"/>
      <c r="CX63" s="1130"/>
      <c r="CY63" s="1130"/>
      <c r="CZ63" s="1130"/>
      <c r="DA63" s="1130"/>
      <c r="DB63" s="1131"/>
      <c r="DC63" s="1132"/>
      <c r="DD63" s="1133"/>
      <c r="DE63" s="1133"/>
      <c r="DF63" s="1133"/>
      <c r="DG63" s="1133"/>
      <c r="DH63" s="1133"/>
      <c r="DI63" s="1133"/>
      <c r="DJ63" s="1133"/>
      <c r="DK63" s="1134"/>
      <c r="DL63" s="44"/>
    </row>
    <row r="64" spans="1:149" ht="7.5" customHeight="1" thickTop="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184"/>
      <c r="BJ64" s="1185"/>
      <c r="BK64" s="1185"/>
      <c r="BL64" s="1185"/>
      <c r="BM64" s="1185"/>
      <c r="BN64" s="1185"/>
      <c r="BO64" s="1185"/>
      <c r="BP64" s="1185"/>
      <c r="BQ64" s="1185"/>
      <c r="BR64" s="1185"/>
      <c r="BS64" s="1185"/>
      <c r="BT64" s="1185"/>
      <c r="BU64" s="1185"/>
      <c r="BV64" s="1185"/>
      <c r="BW64" s="1185"/>
      <c r="BX64" s="1185"/>
      <c r="BY64" s="1185"/>
      <c r="BZ64" s="1185"/>
      <c r="CA64" s="1185"/>
      <c r="CB64" s="1185"/>
      <c r="CC64" s="1185"/>
      <c r="CD64" s="1185"/>
      <c r="CE64" s="1185"/>
      <c r="CF64" s="2871"/>
      <c r="CG64" s="2871"/>
      <c r="CH64" s="2871"/>
      <c r="CI64" s="2871"/>
      <c r="CJ64" s="2871"/>
      <c r="CK64" s="2871"/>
      <c r="CL64" s="2871"/>
      <c r="CM64" s="2871"/>
      <c r="CN64" s="2871"/>
      <c r="CO64" s="2871"/>
      <c r="CP64" s="2871"/>
      <c r="CQ64" s="2871"/>
      <c r="CR64" s="2871"/>
      <c r="CS64" s="2871"/>
      <c r="CT64" s="2871"/>
      <c r="CU64" s="2871"/>
      <c r="CV64" s="2871"/>
      <c r="CW64" s="2871"/>
      <c r="CX64" s="2871"/>
      <c r="CY64" s="2871"/>
      <c r="CZ64" s="2871"/>
      <c r="DA64" s="2871"/>
      <c r="DB64" s="2872"/>
      <c r="DC64" s="1132"/>
      <c r="DD64" s="1133"/>
      <c r="DE64" s="1133"/>
      <c r="DF64" s="1133"/>
      <c r="DG64" s="1133"/>
      <c r="DH64" s="1133"/>
      <c r="DI64" s="1133"/>
      <c r="DJ64" s="1133"/>
      <c r="DK64" s="1134"/>
      <c r="DL64" s="128"/>
    </row>
    <row r="65" spans="1:124" ht="7.5" customHeight="1">
      <c r="A65" s="128"/>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184"/>
      <c r="BJ65" s="1185"/>
      <c r="BK65" s="1185"/>
      <c r="BL65" s="1185"/>
      <c r="BM65" s="1185"/>
      <c r="BN65" s="1185"/>
      <c r="BO65" s="1185"/>
      <c r="BP65" s="1185"/>
      <c r="BQ65" s="1185"/>
      <c r="BR65" s="1185"/>
      <c r="BS65" s="1185"/>
      <c r="BT65" s="1185"/>
      <c r="BU65" s="1185"/>
      <c r="BV65" s="1185"/>
      <c r="BW65" s="1185"/>
      <c r="BX65" s="1185"/>
      <c r="BY65" s="1185"/>
      <c r="BZ65" s="1185"/>
      <c r="CA65" s="1185"/>
      <c r="CB65" s="1185"/>
      <c r="CC65" s="1185"/>
      <c r="CD65" s="1185"/>
      <c r="CE65" s="1185"/>
      <c r="CF65" s="2871"/>
      <c r="CG65" s="2871"/>
      <c r="CH65" s="2871"/>
      <c r="CI65" s="2871"/>
      <c r="CJ65" s="2871"/>
      <c r="CK65" s="2871"/>
      <c r="CL65" s="2871"/>
      <c r="CM65" s="2871"/>
      <c r="CN65" s="2871"/>
      <c r="CO65" s="2871"/>
      <c r="CP65" s="2871"/>
      <c r="CQ65" s="2871"/>
      <c r="CR65" s="2871"/>
      <c r="CS65" s="2871"/>
      <c r="CT65" s="2871"/>
      <c r="CU65" s="2871"/>
      <c r="CV65" s="2871"/>
      <c r="CW65" s="2871"/>
      <c r="CX65" s="2871"/>
      <c r="CY65" s="2871"/>
      <c r="CZ65" s="2871"/>
      <c r="DA65" s="2871"/>
      <c r="DB65" s="2872"/>
      <c r="DC65" s="1132"/>
      <c r="DD65" s="1133"/>
      <c r="DE65" s="1133"/>
      <c r="DF65" s="1133"/>
      <c r="DG65" s="1133"/>
      <c r="DH65" s="1133"/>
      <c r="DI65" s="1133"/>
      <c r="DJ65" s="1133"/>
      <c r="DK65" s="1134"/>
      <c r="DL65" s="128"/>
    </row>
    <row r="66" spans="1:124" ht="7.5" customHeight="1">
      <c r="A66" s="128"/>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2260"/>
      <c r="BJ66" s="2261"/>
      <c r="BK66" s="2261"/>
      <c r="BL66" s="2261"/>
      <c r="BM66" s="2261"/>
      <c r="BN66" s="2261"/>
      <c r="BO66" s="2261"/>
      <c r="BP66" s="2261"/>
      <c r="BQ66" s="2261"/>
      <c r="BR66" s="2261"/>
      <c r="BS66" s="2261"/>
      <c r="BT66" s="2261"/>
      <c r="BU66" s="2261"/>
      <c r="BV66" s="2261"/>
      <c r="BW66" s="2261"/>
      <c r="BX66" s="2261"/>
      <c r="BY66" s="2261"/>
      <c r="BZ66" s="2261"/>
      <c r="CA66" s="2261"/>
      <c r="CB66" s="2261"/>
      <c r="CC66" s="2261"/>
      <c r="CD66" s="2261"/>
      <c r="CE66" s="2261"/>
      <c r="CF66" s="1192"/>
      <c r="CG66" s="1192"/>
      <c r="CH66" s="1192"/>
      <c r="CI66" s="1192"/>
      <c r="CJ66" s="1192"/>
      <c r="CK66" s="1192"/>
      <c r="CL66" s="1192"/>
      <c r="CM66" s="1192"/>
      <c r="CN66" s="1192"/>
      <c r="CO66" s="1192"/>
      <c r="CP66" s="1192"/>
      <c r="CQ66" s="1192"/>
      <c r="CR66" s="1192"/>
      <c r="CS66" s="1192"/>
      <c r="CT66" s="1192"/>
      <c r="CU66" s="1192"/>
      <c r="CV66" s="1192"/>
      <c r="CW66" s="1192"/>
      <c r="CX66" s="1192"/>
      <c r="CY66" s="1192"/>
      <c r="CZ66" s="1192"/>
      <c r="DA66" s="1192"/>
      <c r="DB66" s="1193"/>
      <c r="DC66" s="1132"/>
      <c r="DD66" s="1133"/>
      <c r="DE66" s="1133"/>
      <c r="DF66" s="1133"/>
      <c r="DG66" s="1133"/>
      <c r="DH66" s="1133"/>
      <c r="DI66" s="1133"/>
      <c r="DJ66" s="1133"/>
      <c r="DK66" s="1134"/>
      <c r="DL66" s="128"/>
    </row>
    <row r="67" spans="1:124" ht="7.5" customHeight="1">
      <c r="A67" s="128"/>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2260"/>
      <c r="BJ67" s="2261"/>
      <c r="BK67" s="2261"/>
      <c r="BL67" s="2261"/>
      <c r="BM67" s="2261"/>
      <c r="BN67" s="2261"/>
      <c r="BO67" s="2261"/>
      <c r="BP67" s="2261"/>
      <c r="BQ67" s="2261"/>
      <c r="BR67" s="2261"/>
      <c r="BS67" s="2261"/>
      <c r="BT67" s="2261"/>
      <c r="BU67" s="2261"/>
      <c r="BV67" s="2261"/>
      <c r="BW67" s="2261"/>
      <c r="BX67" s="2261"/>
      <c r="BY67" s="2261"/>
      <c r="BZ67" s="2261"/>
      <c r="CA67" s="2261"/>
      <c r="CB67" s="2261"/>
      <c r="CC67" s="2261"/>
      <c r="CD67" s="2261"/>
      <c r="CE67" s="2261"/>
      <c r="CF67" s="1192"/>
      <c r="CG67" s="1192"/>
      <c r="CH67" s="1192"/>
      <c r="CI67" s="1192"/>
      <c r="CJ67" s="1192"/>
      <c r="CK67" s="1192"/>
      <c r="CL67" s="1192"/>
      <c r="CM67" s="1192"/>
      <c r="CN67" s="1192"/>
      <c r="CO67" s="1192"/>
      <c r="CP67" s="1192"/>
      <c r="CQ67" s="1192"/>
      <c r="CR67" s="1192"/>
      <c r="CS67" s="1192"/>
      <c r="CT67" s="1192"/>
      <c r="CU67" s="1192"/>
      <c r="CV67" s="1192"/>
      <c r="CW67" s="1192"/>
      <c r="CX67" s="1192"/>
      <c r="CY67" s="1192"/>
      <c r="CZ67" s="1192"/>
      <c r="DA67" s="1192"/>
      <c r="DB67" s="1193"/>
      <c r="DC67" s="1132"/>
      <c r="DD67" s="1133"/>
      <c r="DE67" s="1133"/>
      <c r="DF67" s="1133"/>
      <c r="DG67" s="1133"/>
      <c r="DH67" s="1133"/>
      <c r="DI67" s="1133"/>
      <c r="DJ67" s="1133"/>
      <c r="DK67" s="1134"/>
      <c r="DL67" s="128"/>
    </row>
    <row r="68" spans="1:124" ht="7.5" customHeight="1">
      <c r="A68" s="128"/>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2260"/>
      <c r="BJ68" s="2261"/>
      <c r="BK68" s="2261"/>
      <c r="BL68" s="2261"/>
      <c r="BM68" s="2261"/>
      <c r="BN68" s="2261"/>
      <c r="BO68" s="2261"/>
      <c r="BP68" s="2261"/>
      <c r="BQ68" s="2261"/>
      <c r="BR68" s="2261"/>
      <c r="BS68" s="2261"/>
      <c r="BT68" s="2261"/>
      <c r="BU68" s="2261"/>
      <c r="BV68" s="2261"/>
      <c r="BW68" s="2261"/>
      <c r="BX68" s="2261"/>
      <c r="BY68" s="2261"/>
      <c r="BZ68" s="2261"/>
      <c r="CA68" s="2261"/>
      <c r="CB68" s="2261"/>
      <c r="CC68" s="2261"/>
      <c r="CD68" s="2261"/>
      <c r="CE68" s="2261"/>
      <c r="CF68" s="1192"/>
      <c r="CG68" s="1192"/>
      <c r="CH68" s="1192"/>
      <c r="CI68" s="1192"/>
      <c r="CJ68" s="1192"/>
      <c r="CK68" s="1192"/>
      <c r="CL68" s="1192"/>
      <c r="CM68" s="1192"/>
      <c r="CN68" s="1192"/>
      <c r="CO68" s="1192"/>
      <c r="CP68" s="1192"/>
      <c r="CQ68" s="1192"/>
      <c r="CR68" s="1192"/>
      <c r="CS68" s="1192"/>
      <c r="CT68" s="1192"/>
      <c r="CU68" s="1192"/>
      <c r="CV68" s="1192"/>
      <c r="CW68" s="1192"/>
      <c r="CX68" s="1192"/>
      <c r="CY68" s="1192"/>
      <c r="CZ68" s="1192"/>
      <c r="DA68" s="1192"/>
      <c r="DB68" s="1193"/>
      <c r="DC68" s="1132"/>
      <c r="DD68" s="1133"/>
      <c r="DE68" s="1133"/>
      <c r="DF68" s="1133"/>
      <c r="DG68" s="1133"/>
      <c r="DH68" s="1133"/>
      <c r="DI68" s="1133"/>
      <c r="DJ68" s="1133"/>
      <c r="DK68" s="1134"/>
      <c r="DL68" s="128"/>
    </row>
    <row r="69" spans="1:124" ht="7.5" customHeight="1">
      <c r="A69" s="128"/>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2260"/>
      <c r="BJ69" s="2261"/>
      <c r="BK69" s="2261"/>
      <c r="BL69" s="2261"/>
      <c r="BM69" s="2261"/>
      <c r="BN69" s="2261"/>
      <c r="BO69" s="2261"/>
      <c r="BP69" s="2261"/>
      <c r="BQ69" s="2261"/>
      <c r="BR69" s="2261"/>
      <c r="BS69" s="2261"/>
      <c r="BT69" s="2261"/>
      <c r="BU69" s="2261"/>
      <c r="BV69" s="2261"/>
      <c r="BW69" s="2261"/>
      <c r="BX69" s="2261"/>
      <c r="BY69" s="2261"/>
      <c r="BZ69" s="2261"/>
      <c r="CA69" s="2261"/>
      <c r="CB69" s="2261"/>
      <c r="CC69" s="2261"/>
      <c r="CD69" s="2261"/>
      <c r="CE69" s="2261"/>
      <c r="CF69" s="1192"/>
      <c r="CG69" s="1192"/>
      <c r="CH69" s="1192"/>
      <c r="CI69" s="1192"/>
      <c r="CJ69" s="1192"/>
      <c r="CK69" s="1192"/>
      <c r="CL69" s="1192"/>
      <c r="CM69" s="1192"/>
      <c r="CN69" s="1192"/>
      <c r="CO69" s="1192"/>
      <c r="CP69" s="1192"/>
      <c r="CQ69" s="1192"/>
      <c r="CR69" s="1192"/>
      <c r="CS69" s="1192"/>
      <c r="CT69" s="1192"/>
      <c r="CU69" s="1192"/>
      <c r="CV69" s="1192"/>
      <c r="CW69" s="1192"/>
      <c r="CX69" s="1192"/>
      <c r="CY69" s="1192"/>
      <c r="CZ69" s="1192"/>
      <c r="DA69" s="1192"/>
      <c r="DB69" s="1193"/>
      <c r="DC69" s="1132"/>
      <c r="DD69" s="1133"/>
      <c r="DE69" s="1133"/>
      <c r="DF69" s="1133"/>
      <c r="DG69" s="1133"/>
      <c r="DH69" s="1133"/>
      <c r="DI69" s="1133"/>
      <c r="DJ69" s="1133"/>
      <c r="DK69" s="1134"/>
      <c r="DL69" s="128"/>
    </row>
    <row r="70" spans="1:124" ht="7.5" customHeight="1">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2260"/>
      <c r="BJ70" s="2261"/>
      <c r="BK70" s="2261"/>
      <c r="BL70" s="2261"/>
      <c r="BM70" s="2261"/>
      <c r="BN70" s="2261"/>
      <c r="BO70" s="2261"/>
      <c r="BP70" s="2261"/>
      <c r="BQ70" s="2261"/>
      <c r="BR70" s="2261"/>
      <c r="BS70" s="2261"/>
      <c r="BT70" s="2261"/>
      <c r="BU70" s="2261"/>
      <c r="BV70" s="2261"/>
      <c r="BW70" s="2261"/>
      <c r="BX70" s="2261"/>
      <c r="BY70" s="2261"/>
      <c r="BZ70" s="2261"/>
      <c r="CA70" s="2261"/>
      <c r="CB70" s="2261"/>
      <c r="CC70" s="2261"/>
      <c r="CD70" s="2261"/>
      <c r="CE70" s="2261"/>
      <c r="CF70" s="1192"/>
      <c r="CG70" s="1192"/>
      <c r="CH70" s="1192"/>
      <c r="CI70" s="1192"/>
      <c r="CJ70" s="1192"/>
      <c r="CK70" s="1192"/>
      <c r="CL70" s="1192"/>
      <c r="CM70" s="1192"/>
      <c r="CN70" s="1192"/>
      <c r="CO70" s="1192"/>
      <c r="CP70" s="1192"/>
      <c r="CQ70" s="1192"/>
      <c r="CR70" s="1192"/>
      <c r="CS70" s="1192"/>
      <c r="CT70" s="1192"/>
      <c r="CU70" s="1192"/>
      <c r="CV70" s="1192"/>
      <c r="CW70" s="1192"/>
      <c r="CX70" s="1192"/>
      <c r="CY70" s="1192"/>
      <c r="CZ70" s="1192"/>
      <c r="DA70" s="1192"/>
      <c r="DB70" s="1193"/>
      <c r="DC70" s="1132"/>
      <c r="DD70" s="1133"/>
      <c r="DE70" s="1133"/>
      <c r="DF70" s="1133"/>
      <c r="DG70" s="1133"/>
      <c r="DH70" s="1133"/>
      <c r="DI70" s="1133"/>
      <c r="DJ70" s="1133"/>
      <c r="DK70" s="1134"/>
      <c r="DL70" s="128"/>
    </row>
    <row r="71" spans="1:124" ht="7.5" customHeight="1">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2260"/>
      <c r="BJ71" s="2261"/>
      <c r="BK71" s="2261"/>
      <c r="BL71" s="2261"/>
      <c r="BM71" s="2261"/>
      <c r="BN71" s="2261"/>
      <c r="BO71" s="2261"/>
      <c r="BP71" s="2261"/>
      <c r="BQ71" s="2261"/>
      <c r="BR71" s="2261"/>
      <c r="BS71" s="2261"/>
      <c r="BT71" s="2261"/>
      <c r="BU71" s="2261"/>
      <c r="BV71" s="2261"/>
      <c r="BW71" s="2261"/>
      <c r="BX71" s="2261"/>
      <c r="BY71" s="2261"/>
      <c r="BZ71" s="2261"/>
      <c r="CA71" s="2261"/>
      <c r="CB71" s="2261"/>
      <c r="CC71" s="2261"/>
      <c r="CD71" s="2261"/>
      <c r="CE71" s="2261"/>
      <c r="CF71" s="1192"/>
      <c r="CG71" s="1192"/>
      <c r="CH71" s="1192"/>
      <c r="CI71" s="1192"/>
      <c r="CJ71" s="1192"/>
      <c r="CK71" s="1192"/>
      <c r="CL71" s="1192"/>
      <c r="CM71" s="1192"/>
      <c r="CN71" s="1192"/>
      <c r="CO71" s="1192"/>
      <c r="CP71" s="1192"/>
      <c r="CQ71" s="1192"/>
      <c r="CR71" s="1192"/>
      <c r="CS71" s="1192"/>
      <c r="CT71" s="1192"/>
      <c r="CU71" s="1192"/>
      <c r="CV71" s="1192"/>
      <c r="CW71" s="1192"/>
      <c r="CX71" s="1192"/>
      <c r="CY71" s="1192"/>
      <c r="CZ71" s="1192"/>
      <c r="DA71" s="1192"/>
      <c r="DB71" s="1193"/>
      <c r="DC71" s="1132"/>
      <c r="DD71" s="1133"/>
      <c r="DE71" s="1133"/>
      <c r="DF71" s="1133"/>
      <c r="DG71" s="1133"/>
      <c r="DH71" s="1133"/>
      <c r="DI71" s="1133"/>
      <c r="DJ71" s="1133"/>
      <c r="DK71" s="1134"/>
      <c r="DL71" s="128"/>
    </row>
    <row r="72" spans="1:124" ht="7.5" customHeight="1">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2260"/>
      <c r="BJ72" s="2261"/>
      <c r="BK72" s="2261"/>
      <c r="BL72" s="2261"/>
      <c r="BM72" s="2261"/>
      <c r="BN72" s="2261"/>
      <c r="BO72" s="2261"/>
      <c r="BP72" s="2261"/>
      <c r="BQ72" s="2261"/>
      <c r="BR72" s="2261"/>
      <c r="BS72" s="2261"/>
      <c r="BT72" s="2261"/>
      <c r="BU72" s="2261"/>
      <c r="BV72" s="2261"/>
      <c r="BW72" s="2261"/>
      <c r="BX72" s="2261"/>
      <c r="BY72" s="2261"/>
      <c r="BZ72" s="2261"/>
      <c r="CA72" s="2261"/>
      <c r="CB72" s="2261"/>
      <c r="CC72" s="2261"/>
      <c r="CD72" s="2261"/>
      <c r="CE72" s="2261"/>
      <c r="CF72" s="1192"/>
      <c r="CG72" s="1192"/>
      <c r="CH72" s="1192"/>
      <c r="CI72" s="1192"/>
      <c r="CJ72" s="1192"/>
      <c r="CK72" s="1192"/>
      <c r="CL72" s="1192"/>
      <c r="CM72" s="1192"/>
      <c r="CN72" s="1192"/>
      <c r="CO72" s="1192"/>
      <c r="CP72" s="1192"/>
      <c r="CQ72" s="1192"/>
      <c r="CR72" s="1192"/>
      <c r="CS72" s="1192"/>
      <c r="CT72" s="1192"/>
      <c r="CU72" s="1192"/>
      <c r="CV72" s="1192"/>
      <c r="CW72" s="1192"/>
      <c r="CX72" s="1192"/>
      <c r="CY72" s="1192"/>
      <c r="CZ72" s="1192"/>
      <c r="DA72" s="1192"/>
      <c r="DB72" s="1193"/>
      <c r="DC72" s="1132"/>
      <c r="DD72" s="1133"/>
      <c r="DE72" s="1133"/>
      <c r="DF72" s="1133"/>
      <c r="DG72" s="1133"/>
      <c r="DH72" s="1133"/>
      <c r="DI72" s="1133"/>
      <c r="DJ72" s="1133"/>
      <c r="DK72" s="1134"/>
      <c r="DL72" s="128"/>
    </row>
    <row r="73" spans="1:124" ht="7.5" customHeight="1" thickBot="1">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2862"/>
      <c r="BJ73" s="2863"/>
      <c r="BK73" s="2863"/>
      <c r="BL73" s="2863"/>
      <c r="BM73" s="2863"/>
      <c r="BN73" s="2863"/>
      <c r="BO73" s="2863"/>
      <c r="BP73" s="2863"/>
      <c r="BQ73" s="2863"/>
      <c r="BR73" s="2863"/>
      <c r="BS73" s="2863"/>
      <c r="BT73" s="2863"/>
      <c r="BU73" s="2863"/>
      <c r="BV73" s="2863"/>
      <c r="BW73" s="2863"/>
      <c r="BX73" s="2863"/>
      <c r="BY73" s="2863"/>
      <c r="BZ73" s="2863"/>
      <c r="CA73" s="2863"/>
      <c r="CB73" s="2863"/>
      <c r="CC73" s="2863"/>
      <c r="CD73" s="2863"/>
      <c r="CE73" s="2863"/>
      <c r="CF73" s="1263"/>
      <c r="CG73" s="1263"/>
      <c r="CH73" s="1263"/>
      <c r="CI73" s="1263"/>
      <c r="CJ73" s="1263"/>
      <c r="CK73" s="1263"/>
      <c r="CL73" s="1263"/>
      <c r="CM73" s="1263"/>
      <c r="CN73" s="1263"/>
      <c r="CO73" s="1263"/>
      <c r="CP73" s="1263"/>
      <c r="CQ73" s="1263"/>
      <c r="CR73" s="1263"/>
      <c r="CS73" s="1263"/>
      <c r="CT73" s="1263"/>
      <c r="CU73" s="1263"/>
      <c r="CV73" s="1263"/>
      <c r="CW73" s="1263"/>
      <c r="CX73" s="1263"/>
      <c r="CY73" s="1263"/>
      <c r="CZ73" s="1263"/>
      <c r="DA73" s="1263"/>
      <c r="DB73" s="1264"/>
      <c r="DC73" s="1135"/>
      <c r="DD73" s="1136"/>
      <c r="DE73" s="1136"/>
      <c r="DF73" s="1136"/>
      <c r="DG73" s="1136"/>
      <c r="DH73" s="1136"/>
      <c r="DI73" s="1136"/>
      <c r="DJ73" s="1136"/>
      <c r="DK73" s="1137"/>
      <c r="DL73" s="128"/>
    </row>
    <row r="74" spans="1:124" ht="7.5" customHeight="1" thickTop="1">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DL74" s="128"/>
    </row>
    <row r="75" spans="1:124" ht="6.75" customHeight="1">
      <c r="A75" s="3714" t="s">
        <v>829</v>
      </c>
      <c r="B75" s="3714"/>
      <c r="C75" s="3714"/>
      <c r="D75" s="3714"/>
      <c r="E75" s="3714"/>
      <c r="F75" s="3714"/>
      <c r="G75" s="3714"/>
      <c r="H75" s="3714"/>
      <c r="I75" s="3714"/>
      <c r="J75" s="3714"/>
      <c r="K75" s="3714"/>
      <c r="L75" s="3714"/>
      <c r="M75" s="3714"/>
      <c r="N75" s="3714"/>
      <c r="O75" s="3714"/>
      <c r="P75" s="3714"/>
      <c r="Q75" s="3714"/>
      <c r="R75" s="3714"/>
      <c r="S75" s="3714"/>
      <c r="T75" s="3714"/>
      <c r="U75" s="3714"/>
      <c r="V75" s="3714"/>
      <c r="W75" s="3714"/>
      <c r="X75" s="3714"/>
      <c r="Y75" s="3714"/>
      <c r="Z75" s="3714"/>
      <c r="AA75" s="3714"/>
      <c r="AB75" s="3714"/>
      <c r="AC75" s="3714"/>
      <c r="AD75" s="3714"/>
      <c r="AE75" s="3714"/>
      <c r="AF75" s="3714"/>
      <c r="AG75" s="3714"/>
      <c r="AH75" s="3714"/>
      <c r="AI75" s="3714"/>
      <c r="AJ75" s="2855" t="s">
        <v>562</v>
      </c>
      <c r="AK75" s="2855"/>
      <c r="AL75" s="2855"/>
      <c r="AM75" s="2855"/>
      <c r="AN75" s="2855"/>
      <c r="AO75" s="2855"/>
      <c r="AP75" s="2855"/>
      <c r="AQ75" s="2855"/>
      <c r="AR75" s="2855"/>
      <c r="AS75" s="2855"/>
      <c r="AT75" s="2855"/>
      <c r="AU75" s="2855"/>
      <c r="AV75" s="2855"/>
      <c r="AW75" s="2855"/>
      <c r="AX75" s="2855"/>
      <c r="AY75" s="2855"/>
      <c r="AZ75" s="2855"/>
      <c r="BA75" s="2855"/>
      <c r="BB75" s="2855"/>
      <c r="BC75" s="2855"/>
      <c r="BD75" s="2855"/>
      <c r="BE75" s="2855"/>
      <c r="BF75" s="2855"/>
      <c r="BG75" s="2855"/>
      <c r="BH75" s="2855"/>
      <c r="BI75" s="2855"/>
      <c r="BJ75" s="2855"/>
      <c r="BK75" s="2855"/>
      <c r="BL75" s="2855"/>
      <c r="BM75" s="2855"/>
      <c r="BN75" s="2855"/>
      <c r="BO75" s="2855"/>
      <c r="BP75" s="2855"/>
      <c r="BQ75" s="2855"/>
      <c r="BR75" s="2855"/>
      <c r="BS75" s="2855"/>
      <c r="BT75" s="2855"/>
      <c r="BU75" s="2855"/>
      <c r="BV75" s="2855"/>
      <c r="BW75" s="2855"/>
      <c r="BX75" s="2855"/>
      <c r="BY75" s="2855"/>
      <c r="BZ75" s="2855"/>
      <c r="CA75" s="2855"/>
      <c r="CB75" s="2855"/>
      <c r="CC75" s="2855"/>
      <c r="CD75" s="2855"/>
      <c r="CE75" s="2855"/>
      <c r="CF75" s="2855"/>
      <c r="CG75" s="2855"/>
      <c r="CH75" s="2855"/>
      <c r="CI75" s="2855"/>
      <c r="CJ75" s="2855"/>
      <c r="CK75" s="2855"/>
      <c r="CL75" s="2855"/>
      <c r="CM75" s="2855"/>
      <c r="CN75" s="2855"/>
      <c r="CO75" s="2855"/>
      <c r="CP75" s="2855"/>
      <c r="CQ75" s="2855"/>
      <c r="CR75" s="2855"/>
      <c r="CS75" s="2855"/>
      <c r="CT75" s="2855"/>
      <c r="CU75" s="2855"/>
      <c r="CV75" s="2855"/>
      <c r="CW75" s="2855"/>
      <c r="CX75" s="2855"/>
      <c r="CY75" s="2855"/>
      <c r="CZ75" s="2855"/>
      <c r="DA75" s="2855"/>
      <c r="DB75" s="2855"/>
      <c r="DC75" s="2855"/>
      <c r="DD75" s="2855"/>
      <c r="DE75" s="2855"/>
      <c r="DF75" s="2855"/>
      <c r="DG75" s="2855"/>
      <c r="DH75" s="2855"/>
      <c r="DI75" s="2855"/>
      <c r="DJ75" s="2855"/>
      <c r="DK75" s="2855"/>
      <c r="DL75" s="272"/>
      <c r="DM75" s="272"/>
      <c r="DN75" s="272"/>
      <c r="DO75" s="272"/>
      <c r="DP75" s="272"/>
      <c r="DQ75" s="272"/>
      <c r="DR75" s="272"/>
      <c r="DS75" s="272"/>
      <c r="DT75" s="272"/>
    </row>
    <row r="76" spans="1:124" ht="6.75" customHeight="1">
      <c r="A76" s="3714"/>
      <c r="B76" s="3714"/>
      <c r="C76" s="3714"/>
      <c r="D76" s="3714"/>
      <c r="E76" s="3714"/>
      <c r="F76" s="3714"/>
      <c r="G76" s="3714"/>
      <c r="H76" s="3714"/>
      <c r="I76" s="3714"/>
      <c r="J76" s="3714"/>
      <c r="K76" s="3714"/>
      <c r="L76" s="3714"/>
      <c r="M76" s="3714"/>
      <c r="N76" s="3714"/>
      <c r="O76" s="3714"/>
      <c r="P76" s="3714"/>
      <c r="Q76" s="3714"/>
      <c r="R76" s="3714"/>
      <c r="S76" s="3714"/>
      <c r="T76" s="3714"/>
      <c r="U76" s="3714"/>
      <c r="V76" s="3714"/>
      <c r="W76" s="3714"/>
      <c r="X76" s="3714"/>
      <c r="Y76" s="3714"/>
      <c r="Z76" s="3714"/>
      <c r="AA76" s="3714"/>
      <c r="AB76" s="3714"/>
      <c r="AC76" s="3714"/>
      <c r="AD76" s="3714"/>
      <c r="AE76" s="3714"/>
      <c r="AF76" s="3714"/>
      <c r="AG76" s="3714"/>
      <c r="AH76" s="3714"/>
      <c r="AI76" s="3714"/>
      <c r="AJ76" s="2855"/>
      <c r="AK76" s="2855"/>
      <c r="AL76" s="2855"/>
      <c r="AM76" s="2855"/>
      <c r="AN76" s="2855"/>
      <c r="AO76" s="2855"/>
      <c r="AP76" s="2855"/>
      <c r="AQ76" s="2855"/>
      <c r="AR76" s="2855"/>
      <c r="AS76" s="2855"/>
      <c r="AT76" s="2855"/>
      <c r="AU76" s="2855"/>
      <c r="AV76" s="2855"/>
      <c r="AW76" s="2855"/>
      <c r="AX76" s="2855"/>
      <c r="AY76" s="2855"/>
      <c r="AZ76" s="2855"/>
      <c r="BA76" s="2855"/>
      <c r="BB76" s="2855"/>
      <c r="BC76" s="2855"/>
      <c r="BD76" s="2855"/>
      <c r="BE76" s="2855"/>
      <c r="BF76" s="2855"/>
      <c r="BG76" s="2855"/>
      <c r="BH76" s="2855"/>
      <c r="BI76" s="2855"/>
      <c r="BJ76" s="2855"/>
      <c r="BK76" s="2855"/>
      <c r="BL76" s="2855"/>
      <c r="BM76" s="2855"/>
      <c r="BN76" s="2855"/>
      <c r="BO76" s="2855"/>
      <c r="BP76" s="2855"/>
      <c r="BQ76" s="2855"/>
      <c r="BR76" s="2855"/>
      <c r="BS76" s="2855"/>
      <c r="BT76" s="2855"/>
      <c r="BU76" s="2855"/>
      <c r="BV76" s="2855"/>
      <c r="BW76" s="2855"/>
      <c r="BX76" s="2855"/>
      <c r="BY76" s="2855"/>
      <c r="BZ76" s="2855"/>
      <c r="CA76" s="2855"/>
      <c r="CB76" s="2855"/>
      <c r="CC76" s="2855"/>
      <c r="CD76" s="2855"/>
      <c r="CE76" s="2855"/>
      <c r="CF76" s="2855"/>
      <c r="CG76" s="2855"/>
      <c r="CH76" s="2855"/>
      <c r="CI76" s="2855"/>
      <c r="CJ76" s="2855"/>
      <c r="CK76" s="2855"/>
      <c r="CL76" s="2855"/>
      <c r="CM76" s="2855"/>
      <c r="CN76" s="2855"/>
      <c r="CO76" s="2855"/>
      <c r="CP76" s="2855"/>
      <c r="CQ76" s="2855"/>
      <c r="CR76" s="2855"/>
      <c r="CS76" s="2855"/>
      <c r="CT76" s="2855"/>
      <c r="CU76" s="2855"/>
      <c r="CV76" s="2855"/>
      <c r="CW76" s="2855"/>
      <c r="CX76" s="2855"/>
      <c r="CY76" s="2855"/>
      <c r="CZ76" s="2855"/>
      <c r="DA76" s="2855"/>
      <c r="DB76" s="2855"/>
      <c r="DC76" s="2855"/>
      <c r="DD76" s="2855"/>
      <c r="DE76" s="2855"/>
      <c r="DF76" s="2855"/>
      <c r="DG76" s="2855"/>
      <c r="DH76" s="2855"/>
      <c r="DI76" s="2855"/>
      <c r="DJ76" s="2855"/>
      <c r="DK76" s="2855"/>
      <c r="DL76" s="272"/>
      <c r="DM76" s="272"/>
      <c r="DN76" s="272"/>
      <c r="DO76" s="272"/>
      <c r="DP76" s="272"/>
      <c r="DQ76" s="272"/>
      <c r="DR76" s="272"/>
      <c r="DS76" s="272"/>
      <c r="DT76" s="272"/>
    </row>
    <row r="77" spans="1:124" ht="6.75" customHeight="1">
      <c r="A77" s="3714"/>
      <c r="B77" s="3714"/>
      <c r="C77" s="3714"/>
      <c r="D77" s="3714"/>
      <c r="E77" s="3714"/>
      <c r="F77" s="3714"/>
      <c r="G77" s="3714"/>
      <c r="H77" s="3714"/>
      <c r="I77" s="3714"/>
      <c r="J77" s="3714"/>
      <c r="K77" s="3714"/>
      <c r="L77" s="3714"/>
      <c r="M77" s="3714"/>
      <c r="N77" s="3714"/>
      <c r="O77" s="3714"/>
      <c r="P77" s="3714"/>
      <c r="Q77" s="3714"/>
      <c r="R77" s="3714"/>
      <c r="S77" s="3714"/>
      <c r="T77" s="3714"/>
      <c r="U77" s="3714"/>
      <c r="V77" s="3714"/>
      <c r="W77" s="3714"/>
      <c r="X77" s="3714"/>
      <c r="Y77" s="3714"/>
      <c r="Z77" s="3714"/>
      <c r="AA77" s="3714"/>
      <c r="AB77" s="3714"/>
      <c r="AC77" s="3714"/>
      <c r="AD77" s="3714"/>
      <c r="AE77" s="3714"/>
      <c r="AF77" s="3714"/>
      <c r="AG77" s="3714"/>
      <c r="AH77" s="3714"/>
      <c r="AI77" s="3714"/>
      <c r="AJ77" s="2855"/>
      <c r="AK77" s="2855"/>
      <c r="AL77" s="2855"/>
      <c r="AM77" s="2855"/>
      <c r="AN77" s="2855"/>
      <c r="AO77" s="2855"/>
      <c r="AP77" s="2855"/>
      <c r="AQ77" s="2855"/>
      <c r="AR77" s="2855"/>
      <c r="AS77" s="2855"/>
      <c r="AT77" s="2855"/>
      <c r="AU77" s="2855"/>
      <c r="AV77" s="2855"/>
      <c r="AW77" s="2855"/>
      <c r="AX77" s="2855"/>
      <c r="AY77" s="2855"/>
      <c r="AZ77" s="2855"/>
      <c r="BA77" s="2855"/>
      <c r="BB77" s="2855"/>
      <c r="BC77" s="2855"/>
      <c r="BD77" s="2855"/>
      <c r="BE77" s="2855"/>
      <c r="BF77" s="2855"/>
      <c r="BG77" s="2855"/>
      <c r="BH77" s="2855"/>
      <c r="BI77" s="2855"/>
      <c r="BJ77" s="2855"/>
      <c r="BK77" s="2855"/>
      <c r="BL77" s="2855"/>
      <c r="BM77" s="2855"/>
      <c r="BN77" s="2855"/>
      <c r="BO77" s="2855"/>
      <c r="BP77" s="2855"/>
      <c r="BQ77" s="2855"/>
      <c r="BR77" s="2855"/>
      <c r="BS77" s="2855"/>
      <c r="BT77" s="2855"/>
      <c r="BU77" s="2855"/>
      <c r="BV77" s="2855"/>
      <c r="BW77" s="2855"/>
      <c r="BX77" s="2855"/>
      <c r="BY77" s="2855"/>
      <c r="BZ77" s="2855"/>
      <c r="CA77" s="2855"/>
      <c r="CB77" s="2855"/>
      <c r="CC77" s="2855"/>
      <c r="CD77" s="2855"/>
      <c r="CE77" s="2855"/>
      <c r="CF77" s="2855"/>
      <c r="CG77" s="2855"/>
      <c r="CH77" s="2855"/>
      <c r="CI77" s="2855"/>
      <c r="CJ77" s="2855"/>
      <c r="CK77" s="2855"/>
      <c r="CL77" s="2855"/>
      <c r="CM77" s="2855"/>
      <c r="CN77" s="2855"/>
      <c r="CO77" s="2855"/>
      <c r="CP77" s="2855"/>
      <c r="CQ77" s="2855"/>
      <c r="CR77" s="2855"/>
      <c r="CS77" s="2855"/>
      <c r="CT77" s="2855"/>
      <c r="CU77" s="2855"/>
      <c r="CV77" s="2855"/>
      <c r="CW77" s="2855"/>
      <c r="CX77" s="2855"/>
      <c r="CY77" s="2855"/>
      <c r="CZ77" s="2855"/>
      <c r="DA77" s="2855"/>
      <c r="DB77" s="2855"/>
      <c r="DC77" s="2855"/>
      <c r="DD77" s="2855"/>
      <c r="DE77" s="2855"/>
      <c r="DF77" s="2855"/>
      <c r="DG77" s="2855"/>
      <c r="DH77" s="2855"/>
      <c r="DI77" s="2855"/>
      <c r="DJ77" s="2855"/>
      <c r="DK77" s="2855"/>
      <c r="DL77" s="272"/>
      <c r="DM77" s="272"/>
      <c r="DN77" s="272"/>
      <c r="DO77" s="272"/>
      <c r="DP77" s="272"/>
      <c r="DQ77" s="272"/>
      <c r="DR77" s="272"/>
      <c r="DS77" s="272"/>
      <c r="DT77" s="272"/>
    </row>
    <row r="78" spans="1:124" ht="6.75" customHeight="1">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6"/>
      <c r="AA78" s="146"/>
      <c r="AB78" s="146"/>
      <c r="AC78" s="146"/>
      <c r="AD78" s="146"/>
      <c r="AE78" s="146"/>
      <c r="AF78" s="146"/>
      <c r="AG78" s="146"/>
      <c r="AH78" s="146"/>
      <c r="AI78" s="146"/>
      <c r="AJ78" s="2855"/>
      <c r="AK78" s="2855"/>
      <c r="AL78" s="2855"/>
      <c r="AM78" s="2855"/>
      <c r="AN78" s="2855"/>
      <c r="AO78" s="2855"/>
      <c r="AP78" s="2855"/>
      <c r="AQ78" s="2855"/>
      <c r="AR78" s="2855"/>
      <c r="AS78" s="2855"/>
      <c r="AT78" s="2855"/>
      <c r="AU78" s="2855"/>
      <c r="AV78" s="2855"/>
      <c r="AW78" s="2855"/>
      <c r="AX78" s="2855"/>
      <c r="AY78" s="2855"/>
      <c r="AZ78" s="2855"/>
      <c r="BA78" s="2855"/>
      <c r="BB78" s="2855"/>
      <c r="BC78" s="2855"/>
      <c r="BD78" s="2855"/>
      <c r="BE78" s="2855"/>
      <c r="BF78" s="2855"/>
      <c r="BG78" s="2855"/>
      <c r="BH78" s="2855"/>
      <c r="BI78" s="2855"/>
      <c r="BJ78" s="2855"/>
      <c r="BK78" s="2855"/>
      <c r="BL78" s="2855"/>
      <c r="BM78" s="2855"/>
      <c r="BN78" s="2855"/>
      <c r="BO78" s="2855"/>
      <c r="BP78" s="2855"/>
      <c r="BQ78" s="2855"/>
      <c r="BR78" s="2855"/>
      <c r="BS78" s="2855"/>
      <c r="BT78" s="2855"/>
      <c r="BU78" s="2855"/>
      <c r="BV78" s="2855"/>
      <c r="BW78" s="2855"/>
      <c r="BX78" s="2855"/>
      <c r="BY78" s="2855"/>
      <c r="BZ78" s="2855"/>
      <c r="CA78" s="2855"/>
      <c r="CB78" s="2855"/>
      <c r="CC78" s="2855"/>
      <c r="CD78" s="2855"/>
      <c r="CE78" s="2855"/>
      <c r="CF78" s="2855"/>
      <c r="CG78" s="2855"/>
      <c r="CH78" s="2855"/>
      <c r="CI78" s="2855"/>
      <c r="CJ78" s="2855"/>
      <c r="CK78" s="2855"/>
      <c r="CL78" s="2855"/>
      <c r="CM78" s="2855"/>
      <c r="CN78" s="2855"/>
      <c r="CO78" s="2855"/>
      <c r="CP78" s="2855"/>
      <c r="CQ78" s="2855"/>
      <c r="CR78" s="2855"/>
      <c r="CS78" s="2855"/>
      <c r="CT78" s="2855"/>
      <c r="CU78" s="2855"/>
      <c r="CV78" s="2855"/>
      <c r="CW78" s="2855"/>
      <c r="CX78" s="2855"/>
      <c r="CY78" s="2855"/>
      <c r="CZ78" s="2855"/>
      <c r="DA78" s="2855"/>
      <c r="DB78" s="2855"/>
      <c r="DC78" s="2855"/>
      <c r="DD78" s="2855"/>
      <c r="DE78" s="2855"/>
      <c r="DF78" s="2855"/>
      <c r="DG78" s="2855"/>
      <c r="DH78" s="2855"/>
      <c r="DI78" s="2855"/>
      <c r="DJ78" s="2855"/>
      <c r="DK78" s="2855"/>
      <c r="DL78" s="272"/>
      <c r="DM78" s="272"/>
      <c r="DN78" s="272"/>
      <c r="DO78" s="272"/>
      <c r="DP78" s="272"/>
      <c r="DQ78" s="272"/>
      <c r="DR78" s="272"/>
      <c r="DS78" s="272"/>
      <c r="DT78" s="272"/>
    </row>
    <row r="79" spans="1:124" ht="6.75" customHeight="1" thickBot="1">
      <c r="A79" s="146"/>
      <c r="B79" s="149"/>
      <c r="C79" s="149"/>
      <c r="D79" s="149"/>
      <c r="E79" s="149"/>
      <c r="F79" s="149"/>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2855"/>
      <c r="AK79" s="2855"/>
      <c r="AL79" s="2855"/>
      <c r="AM79" s="2855"/>
      <c r="AN79" s="2855"/>
      <c r="AO79" s="2855"/>
      <c r="AP79" s="2855"/>
      <c r="AQ79" s="2855"/>
      <c r="AR79" s="2855"/>
      <c r="AS79" s="2855"/>
      <c r="AT79" s="2855"/>
      <c r="AU79" s="2855"/>
      <c r="AV79" s="2855"/>
      <c r="AW79" s="2855"/>
      <c r="AX79" s="2855"/>
      <c r="AY79" s="2855"/>
      <c r="AZ79" s="2855"/>
      <c r="BA79" s="2855"/>
      <c r="BB79" s="2855"/>
      <c r="BC79" s="2855"/>
      <c r="BD79" s="2855"/>
      <c r="BE79" s="2855"/>
      <c r="BF79" s="2855"/>
      <c r="BG79" s="2855"/>
      <c r="BH79" s="2855"/>
      <c r="BI79" s="2855"/>
      <c r="BJ79" s="2855"/>
      <c r="BK79" s="2855"/>
      <c r="BL79" s="2855"/>
      <c r="BM79" s="2855"/>
      <c r="BN79" s="2855"/>
      <c r="BO79" s="2855"/>
      <c r="BP79" s="2855"/>
      <c r="BQ79" s="2855"/>
      <c r="BR79" s="2855"/>
      <c r="BS79" s="2855"/>
      <c r="BT79" s="2855"/>
      <c r="BU79" s="2855"/>
      <c r="BV79" s="2855"/>
      <c r="BW79" s="2855"/>
      <c r="BX79" s="2855"/>
      <c r="BY79" s="2855"/>
      <c r="BZ79" s="2855"/>
      <c r="CA79" s="2855"/>
      <c r="CB79" s="2855"/>
      <c r="CC79" s="2855"/>
      <c r="CD79" s="2855"/>
      <c r="CE79" s="2855"/>
      <c r="CF79" s="2855"/>
      <c r="CG79" s="2855"/>
      <c r="CH79" s="2855"/>
      <c r="CI79" s="2855"/>
      <c r="CJ79" s="2855"/>
      <c r="CK79" s="2855"/>
      <c r="CL79" s="2855"/>
      <c r="CM79" s="2855"/>
      <c r="CN79" s="2855"/>
      <c r="CO79" s="2855"/>
      <c r="CP79" s="2855"/>
      <c r="CQ79" s="2855"/>
      <c r="CR79" s="2855"/>
      <c r="CS79" s="2855"/>
      <c r="CT79" s="2855"/>
      <c r="CU79" s="2855"/>
      <c r="CV79" s="2855"/>
      <c r="CW79" s="2855"/>
      <c r="CX79" s="2855"/>
      <c r="CY79" s="2855"/>
      <c r="CZ79" s="2855"/>
      <c r="DA79" s="2855"/>
      <c r="DB79" s="2855"/>
      <c r="DC79" s="2855"/>
      <c r="DD79" s="2855"/>
      <c r="DE79" s="2855"/>
      <c r="DF79" s="2855"/>
      <c r="DG79" s="2855"/>
      <c r="DH79" s="2855"/>
      <c r="DI79" s="2855"/>
      <c r="DJ79" s="2855"/>
      <c r="DK79" s="2855"/>
      <c r="DL79" s="128"/>
    </row>
    <row r="80" spans="1:124" ht="6.75" customHeight="1" thickTop="1">
      <c r="A80" s="146"/>
      <c r="B80" s="3706" t="s">
        <v>267</v>
      </c>
      <c r="C80" s="3707"/>
      <c r="D80" s="3707"/>
      <c r="E80" s="3707"/>
      <c r="F80" s="3707"/>
      <c r="G80" s="3707"/>
      <c r="H80" s="3707"/>
      <c r="I80" s="3707"/>
      <c r="J80" s="3707"/>
      <c r="K80" s="3707"/>
      <c r="L80" s="3707"/>
      <c r="M80" s="3707"/>
      <c r="N80" s="3707"/>
      <c r="O80" s="3710" t="s">
        <v>268</v>
      </c>
      <c r="P80" s="3710"/>
      <c r="Q80" s="3710"/>
      <c r="R80" s="3710"/>
      <c r="S80" s="3710"/>
      <c r="T80" s="3710"/>
      <c r="U80" s="3710"/>
      <c r="V80" s="3710"/>
      <c r="W80" s="3710"/>
      <c r="X80" s="3710"/>
      <c r="Y80" s="3710"/>
      <c r="Z80" s="3710"/>
      <c r="AA80" s="3710"/>
      <c r="AB80" s="3710"/>
      <c r="AC80" s="3710"/>
      <c r="AD80" s="3710"/>
      <c r="AE80" s="3710"/>
      <c r="AF80" s="3710"/>
      <c r="AG80" s="3710"/>
      <c r="AH80" s="3710"/>
      <c r="AI80" s="3710"/>
      <c r="AJ80" s="3710"/>
      <c r="AK80" s="3710"/>
      <c r="AL80" s="3710"/>
      <c r="AM80" s="3710"/>
      <c r="AN80" s="3710"/>
      <c r="AO80" s="3710"/>
      <c r="AP80" s="3710"/>
      <c r="AQ80" s="3710"/>
      <c r="AR80" s="3710"/>
      <c r="AS80" s="3710"/>
      <c r="AT80" s="3710"/>
      <c r="AU80" s="3710"/>
      <c r="AV80" s="3710"/>
      <c r="AW80" s="3710"/>
      <c r="AX80" s="3710"/>
      <c r="AY80" s="3710"/>
      <c r="AZ80" s="3710"/>
      <c r="BA80" s="3710"/>
      <c r="BB80" s="3710"/>
      <c r="BC80" s="3710"/>
      <c r="BD80" s="3710"/>
      <c r="BE80" s="3710"/>
      <c r="BF80" s="3710"/>
      <c r="BG80" s="3710"/>
      <c r="BH80" s="3710"/>
      <c r="BI80" s="3710"/>
      <c r="BJ80" s="3710"/>
      <c r="BK80" s="3710"/>
      <c r="BL80" s="3710"/>
      <c r="BM80" s="3710"/>
      <c r="BN80" s="3710"/>
      <c r="BO80" s="3710"/>
      <c r="BP80" s="3710"/>
      <c r="BQ80" s="3710"/>
      <c r="BR80" s="3710"/>
      <c r="BS80" s="3710"/>
      <c r="BT80" s="3710"/>
      <c r="BU80" s="3710"/>
      <c r="BV80" s="3710"/>
      <c r="BW80" s="3710"/>
      <c r="BX80" s="3710"/>
      <c r="BY80" s="3710"/>
      <c r="BZ80" s="3710"/>
      <c r="CA80" s="3710"/>
      <c r="CB80" s="3710"/>
      <c r="CC80" s="3710"/>
      <c r="CD80" s="3710"/>
      <c r="CE80" s="3710"/>
      <c r="CF80" s="3710"/>
      <c r="CG80" s="3710"/>
      <c r="CH80" s="3710"/>
      <c r="CI80" s="3710"/>
      <c r="CJ80" s="3710"/>
      <c r="CK80" s="3710"/>
      <c r="CL80" s="3710"/>
      <c r="CM80" s="3710"/>
      <c r="CN80" s="3710"/>
      <c r="CO80" s="3710"/>
      <c r="CP80" s="3710"/>
      <c r="CQ80" s="3710"/>
      <c r="CR80" s="3710"/>
      <c r="CS80" s="3710"/>
      <c r="CT80" s="3710"/>
      <c r="CU80" s="3710"/>
      <c r="CV80" s="3710"/>
      <c r="CW80" s="3710"/>
      <c r="CX80" s="3710"/>
      <c r="CY80" s="3710"/>
      <c r="CZ80" s="3710"/>
      <c r="DA80" s="3710"/>
      <c r="DB80" s="3710"/>
      <c r="DC80" s="3710"/>
      <c r="DD80" s="3710"/>
      <c r="DE80" s="3710"/>
      <c r="DF80" s="3710"/>
      <c r="DG80" s="3710"/>
      <c r="DH80" s="3710"/>
      <c r="DI80" s="3710"/>
      <c r="DJ80" s="3710"/>
      <c r="DK80" s="3711"/>
      <c r="DL80" s="128"/>
    </row>
    <row r="81" spans="1:118" ht="6.75" customHeight="1" thickBot="1">
      <c r="A81" s="146"/>
      <c r="B81" s="3708"/>
      <c r="C81" s="3709"/>
      <c r="D81" s="3709"/>
      <c r="E81" s="3709"/>
      <c r="F81" s="3709"/>
      <c r="G81" s="3709"/>
      <c r="H81" s="3709"/>
      <c r="I81" s="3709"/>
      <c r="J81" s="3709"/>
      <c r="K81" s="3709"/>
      <c r="L81" s="3709"/>
      <c r="M81" s="3709"/>
      <c r="N81" s="3709"/>
      <c r="O81" s="3712"/>
      <c r="P81" s="3712"/>
      <c r="Q81" s="3712"/>
      <c r="R81" s="3712"/>
      <c r="S81" s="3712"/>
      <c r="T81" s="3712"/>
      <c r="U81" s="3712"/>
      <c r="V81" s="3712"/>
      <c r="W81" s="3712"/>
      <c r="X81" s="3712"/>
      <c r="Y81" s="3712"/>
      <c r="Z81" s="3712"/>
      <c r="AA81" s="3712"/>
      <c r="AB81" s="3712"/>
      <c r="AC81" s="3712"/>
      <c r="AD81" s="3712"/>
      <c r="AE81" s="3712"/>
      <c r="AF81" s="3712"/>
      <c r="AG81" s="3712"/>
      <c r="AH81" s="3712"/>
      <c r="AI81" s="3712"/>
      <c r="AJ81" s="3712"/>
      <c r="AK81" s="3712"/>
      <c r="AL81" s="3712"/>
      <c r="AM81" s="3712"/>
      <c r="AN81" s="3712"/>
      <c r="AO81" s="3712"/>
      <c r="AP81" s="3712"/>
      <c r="AQ81" s="3712"/>
      <c r="AR81" s="3712"/>
      <c r="AS81" s="3712"/>
      <c r="AT81" s="3712"/>
      <c r="AU81" s="3712"/>
      <c r="AV81" s="3712"/>
      <c r="AW81" s="3712"/>
      <c r="AX81" s="3712"/>
      <c r="AY81" s="3712"/>
      <c r="AZ81" s="3712"/>
      <c r="BA81" s="3712"/>
      <c r="BB81" s="3712"/>
      <c r="BC81" s="3712"/>
      <c r="BD81" s="3712"/>
      <c r="BE81" s="3712"/>
      <c r="BF81" s="3712"/>
      <c r="BG81" s="3712"/>
      <c r="BH81" s="3712"/>
      <c r="BI81" s="3712"/>
      <c r="BJ81" s="3712"/>
      <c r="BK81" s="3712"/>
      <c r="BL81" s="3712"/>
      <c r="BM81" s="3712"/>
      <c r="BN81" s="3712"/>
      <c r="BO81" s="3712"/>
      <c r="BP81" s="3712"/>
      <c r="BQ81" s="3712"/>
      <c r="BR81" s="3712"/>
      <c r="BS81" s="3712"/>
      <c r="BT81" s="3712"/>
      <c r="BU81" s="3712"/>
      <c r="BV81" s="3712"/>
      <c r="BW81" s="3712"/>
      <c r="BX81" s="3712"/>
      <c r="BY81" s="3712"/>
      <c r="BZ81" s="3712"/>
      <c r="CA81" s="3712"/>
      <c r="CB81" s="3712"/>
      <c r="CC81" s="3712"/>
      <c r="CD81" s="3712"/>
      <c r="CE81" s="3712"/>
      <c r="CF81" s="3712"/>
      <c r="CG81" s="3712"/>
      <c r="CH81" s="3712"/>
      <c r="CI81" s="3712"/>
      <c r="CJ81" s="3712"/>
      <c r="CK81" s="3712"/>
      <c r="CL81" s="3712"/>
      <c r="CM81" s="3712"/>
      <c r="CN81" s="3712"/>
      <c r="CO81" s="3712"/>
      <c r="CP81" s="3712"/>
      <c r="CQ81" s="3712"/>
      <c r="CR81" s="3712"/>
      <c r="CS81" s="3712"/>
      <c r="CT81" s="3712"/>
      <c r="CU81" s="3712"/>
      <c r="CV81" s="3712"/>
      <c r="CW81" s="3712"/>
      <c r="CX81" s="3712"/>
      <c r="CY81" s="3712"/>
      <c r="CZ81" s="3712"/>
      <c r="DA81" s="3712"/>
      <c r="DB81" s="3712"/>
      <c r="DC81" s="3712"/>
      <c r="DD81" s="3712"/>
      <c r="DE81" s="3712"/>
      <c r="DF81" s="3712"/>
      <c r="DG81" s="3712"/>
      <c r="DH81" s="3712"/>
      <c r="DI81" s="3712"/>
      <c r="DJ81" s="3712"/>
      <c r="DK81" s="3713"/>
      <c r="DL81" s="134"/>
    </row>
    <row r="82" spans="1:118" ht="6.75" customHeight="1">
      <c r="A82" s="146"/>
      <c r="B82" s="3571" t="s">
        <v>269</v>
      </c>
      <c r="C82" s="3572"/>
      <c r="D82" s="3577" t="s">
        <v>270</v>
      </c>
      <c r="E82" s="3578"/>
      <c r="F82" s="3578"/>
      <c r="G82" s="3578"/>
      <c r="H82" s="3578"/>
      <c r="I82" s="3578"/>
      <c r="J82" s="3578"/>
      <c r="K82" s="3578"/>
      <c r="L82" s="3578"/>
      <c r="M82" s="3578"/>
      <c r="N82" s="3578"/>
      <c r="O82" s="3578"/>
      <c r="P82" s="3578"/>
      <c r="Q82" s="3579"/>
      <c r="R82" s="3577" t="s">
        <v>271</v>
      </c>
      <c r="S82" s="3578"/>
      <c r="T82" s="3578"/>
      <c r="U82" s="3578"/>
      <c r="V82" s="3578"/>
      <c r="W82" s="3577" t="s">
        <v>272</v>
      </c>
      <c r="X82" s="3578"/>
      <c r="Y82" s="3578"/>
      <c r="Z82" s="3578"/>
      <c r="AA82" s="3578"/>
      <c r="AB82" s="3578"/>
      <c r="AC82" s="3578"/>
      <c r="AD82" s="3579"/>
      <c r="AE82" s="3719" t="s">
        <v>273</v>
      </c>
      <c r="AF82" s="3720"/>
      <c r="AG82" s="3720"/>
      <c r="AH82" s="3720"/>
      <c r="AI82" s="3720"/>
      <c r="AJ82" s="3720"/>
      <c r="AK82" s="3720"/>
      <c r="AL82" s="3720"/>
      <c r="AM82" s="3720"/>
      <c r="AN82" s="3720"/>
      <c r="AO82" s="3720"/>
      <c r="AP82" s="3720"/>
      <c r="AQ82" s="3720"/>
      <c r="AR82" s="3720"/>
      <c r="AS82" s="3720"/>
      <c r="AT82" s="3720"/>
      <c r="AU82" s="3720"/>
      <c r="AV82" s="3720"/>
      <c r="AW82" s="3720"/>
      <c r="AX82" s="3720"/>
      <c r="AY82" s="3720"/>
      <c r="AZ82" s="3720"/>
      <c r="BA82" s="3720"/>
      <c r="BB82" s="3720"/>
      <c r="BC82" s="3720"/>
      <c r="BD82" s="3720"/>
      <c r="BE82" s="3720"/>
      <c r="BF82" s="3720"/>
      <c r="BG82" s="3720"/>
      <c r="BH82" s="3720"/>
      <c r="BI82" s="3720"/>
      <c r="BJ82" s="3720"/>
      <c r="BK82" s="3720"/>
      <c r="BL82" s="3720"/>
      <c r="BM82" s="3720"/>
      <c r="BN82" s="3720"/>
      <c r="BO82" s="3720"/>
      <c r="BP82" s="3720"/>
      <c r="BQ82" s="3720"/>
      <c r="BR82" s="3720"/>
      <c r="BS82" s="3720"/>
      <c r="BT82" s="3720"/>
      <c r="BU82" s="3720"/>
      <c r="BV82" s="3720"/>
      <c r="BW82" s="3720"/>
      <c r="BX82" s="3720"/>
      <c r="BY82" s="3720"/>
      <c r="BZ82" s="3720"/>
      <c r="CA82" s="3720"/>
      <c r="CB82" s="3720"/>
      <c r="CC82" s="3720"/>
      <c r="CD82" s="3720"/>
      <c r="CE82" s="3720"/>
      <c r="CF82" s="3720"/>
      <c r="CG82" s="3720"/>
      <c r="CH82" s="3720"/>
      <c r="CI82" s="3720"/>
      <c r="CJ82" s="3720"/>
      <c r="CK82" s="3720"/>
      <c r="CL82" s="3720"/>
      <c r="CM82" s="3720"/>
      <c r="CN82" s="3720"/>
      <c r="CO82" s="3720"/>
      <c r="CP82" s="3720"/>
      <c r="CQ82" s="3720"/>
      <c r="CR82" s="3720"/>
      <c r="CS82" s="3720"/>
      <c r="CT82" s="3720"/>
      <c r="CU82" s="3720"/>
      <c r="CV82" s="3720"/>
      <c r="CW82" s="3720"/>
      <c r="CX82" s="3720"/>
      <c r="CY82" s="3720"/>
      <c r="CZ82" s="3720"/>
      <c r="DA82" s="3720"/>
      <c r="DB82" s="3720"/>
      <c r="DC82" s="3720"/>
      <c r="DD82" s="3720"/>
      <c r="DE82" s="3720"/>
      <c r="DF82" s="3720"/>
      <c r="DG82" s="3720"/>
      <c r="DH82" s="3720"/>
      <c r="DI82" s="3720"/>
      <c r="DJ82" s="3720"/>
      <c r="DK82" s="3721"/>
      <c r="DL82" s="128"/>
    </row>
    <row r="83" spans="1:118" ht="6.75" customHeight="1">
      <c r="A83" s="146"/>
      <c r="B83" s="3573"/>
      <c r="C83" s="3574"/>
      <c r="D83" s="3580"/>
      <c r="E83" s="3581"/>
      <c r="F83" s="3581"/>
      <c r="G83" s="3581"/>
      <c r="H83" s="3581"/>
      <c r="I83" s="3581"/>
      <c r="J83" s="3581"/>
      <c r="K83" s="3581"/>
      <c r="L83" s="3581"/>
      <c r="M83" s="3581"/>
      <c r="N83" s="3581"/>
      <c r="O83" s="3581"/>
      <c r="P83" s="3581"/>
      <c r="Q83" s="3582"/>
      <c r="R83" s="3580"/>
      <c r="S83" s="3581"/>
      <c r="T83" s="3581"/>
      <c r="U83" s="3581"/>
      <c r="V83" s="3581"/>
      <c r="W83" s="3580"/>
      <c r="X83" s="3581"/>
      <c r="Y83" s="3581"/>
      <c r="Z83" s="3581"/>
      <c r="AA83" s="3581"/>
      <c r="AB83" s="3581"/>
      <c r="AC83" s="3581"/>
      <c r="AD83" s="3582"/>
      <c r="AE83" s="3722"/>
      <c r="AF83" s="3723"/>
      <c r="AG83" s="3723"/>
      <c r="AH83" s="3723"/>
      <c r="AI83" s="3723"/>
      <c r="AJ83" s="3723"/>
      <c r="AK83" s="3723"/>
      <c r="AL83" s="3723"/>
      <c r="AM83" s="3723"/>
      <c r="AN83" s="3723"/>
      <c r="AO83" s="3723"/>
      <c r="AP83" s="3723"/>
      <c r="AQ83" s="3723"/>
      <c r="AR83" s="3723"/>
      <c r="AS83" s="3723"/>
      <c r="AT83" s="3723"/>
      <c r="AU83" s="3723"/>
      <c r="AV83" s="3723"/>
      <c r="AW83" s="3723"/>
      <c r="AX83" s="3723"/>
      <c r="AY83" s="3723"/>
      <c r="AZ83" s="3723"/>
      <c r="BA83" s="3723"/>
      <c r="BB83" s="3723"/>
      <c r="BC83" s="3723"/>
      <c r="BD83" s="3723"/>
      <c r="BE83" s="3723"/>
      <c r="BF83" s="3723"/>
      <c r="BG83" s="3723"/>
      <c r="BH83" s="3723"/>
      <c r="BI83" s="3723"/>
      <c r="BJ83" s="3723"/>
      <c r="BK83" s="3723"/>
      <c r="BL83" s="3723"/>
      <c r="BM83" s="3723"/>
      <c r="BN83" s="3723"/>
      <c r="BO83" s="3723"/>
      <c r="BP83" s="3723"/>
      <c r="BQ83" s="3723"/>
      <c r="BR83" s="3723"/>
      <c r="BS83" s="3723"/>
      <c r="BT83" s="3723"/>
      <c r="BU83" s="3723"/>
      <c r="BV83" s="3723"/>
      <c r="BW83" s="3723"/>
      <c r="BX83" s="3723"/>
      <c r="BY83" s="3723"/>
      <c r="BZ83" s="3723"/>
      <c r="CA83" s="3723"/>
      <c r="CB83" s="3723"/>
      <c r="CC83" s="3723"/>
      <c r="CD83" s="3723"/>
      <c r="CE83" s="3723"/>
      <c r="CF83" s="3723"/>
      <c r="CG83" s="3723"/>
      <c r="CH83" s="3723"/>
      <c r="CI83" s="3723"/>
      <c r="CJ83" s="3723"/>
      <c r="CK83" s="3723"/>
      <c r="CL83" s="3723"/>
      <c r="CM83" s="3723"/>
      <c r="CN83" s="3723"/>
      <c r="CO83" s="3723"/>
      <c r="CP83" s="3723"/>
      <c r="CQ83" s="3723"/>
      <c r="CR83" s="3723"/>
      <c r="CS83" s="3723"/>
      <c r="CT83" s="3723"/>
      <c r="CU83" s="3723"/>
      <c r="CV83" s="3723"/>
      <c r="CW83" s="3723"/>
      <c r="CX83" s="3723"/>
      <c r="CY83" s="3723"/>
      <c r="CZ83" s="3723"/>
      <c r="DA83" s="3723"/>
      <c r="DB83" s="3723"/>
      <c r="DC83" s="3723"/>
      <c r="DD83" s="3723"/>
      <c r="DE83" s="3723"/>
      <c r="DF83" s="3723"/>
      <c r="DG83" s="3723"/>
      <c r="DH83" s="3723"/>
      <c r="DI83" s="3723"/>
      <c r="DJ83" s="3723"/>
      <c r="DK83" s="3724"/>
      <c r="DL83" s="128"/>
    </row>
    <row r="84" spans="1:118" ht="6.75" customHeight="1">
      <c r="A84" s="146"/>
      <c r="B84" s="3573"/>
      <c r="C84" s="3574"/>
      <c r="D84" s="3580"/>
      <c r="E84" s="3581"/>
      <c r="F84" s="3581"/>
      <c r="G84" s="3581"/>
      <c r="H84" s="3581"/>
      <c r="I84" s="3581"/>
      <c r="J84" s="3581"/>
      <c r="K84" s="3581"/>
      <c r="L84" s="3581"/>
      <c r="M84" s="3581"/>
      <c r="N84" s="3581"/>
      <c r="O84" s="3581"/>
      <c r="P84" s="3581"/>
      <c r="Q84" s="3582"/>
      <c r="R84" s="3580"/>
      <c r="S84" s="3581"/>
      <c r="T84" s="3581"/>
      <c r="U84" s="3581"/>
      <c r="V84" s="3581"/>
      <c r="W84" s="3580"/>
      <c r="X84" s="3581"/>
      <c r="Y84" s="3581"/>
      <c r="Z84" s="3581"/>
      <c r="AA84" s="3581"/>
      <c r="AB84" s="3581"/>
      <c r="AC84" s="3581"/>
      <c r="AD84" s="3582"/>
      <c r="AE84" s="3715" t="s">
        <v>274</v>
      </c>
      <c r="AF84" s="3716"/>
      <c r="AG84" s="3716"/>
      <c r="AH84" s="3716"/>
      <c r="AI84" s="3716"/>
      <c r="AJ84" s="3716"/>
      <c r="AK84" s="3716"/>
      <c r="AL84" s="3716"/>
      <c r="AM84" s="3716"/>
      <c r="AN84" s="3716"/>
      <c r="AO84" s="3716"/>
      <c r="AP84" s="3716"/>
      <c r="AQ84" s="3716"/>
      <c r="AR84" s="3716"/>
      <c r="AS84" s="3716"/>
      <c r="AT84" s="3716"/>
      <c r="AU84" s="3716"/>
      <c r="AV84" s="3716"/>
      <c r="AW84" s="3716"/>
      <c r="AX84" s="3716"/>
      <c r="AY84" s="3716"/>
      <c r="AZ84" s="151"/>
      <c r="BA84" s="151"/>
      <c r="BB84" s="151"/>
      <c r="BC84" s="151"/>
      <c r="BD84" s="151"/>
      <c r="BE84" s="151"/>
      <c r="BF84" s="151"/>
      <c r="BG84" s="151"/>
      <c r="BH84" s="151"/>
      <c r="BI84" s="151"/>
      <c r="BJ84" s="151"/>
      <c r="BK84" s="151"/>
      <c r="BL84" s="152"/>
      <c r="BM84" s="3653" t="s">
        <v>1355</v>
      </c>
      <c r="BN84" s="3654"/>
      <c r="BO84" s="3654"/>
      <c r="BP84" s="3654"/>
      <c r="BQ84" s="3654"/>
      <c r="BR84" s="3654"/>
      <c r="BS84" s="3654"/>
      <c r="BT84" s="3654"/>
      <c r="BU84" s="3654"/>
      <c r="BV84" s="3654"/>
      <c r="BW84" s="3654"/>
      <c r="BX84" s="3654"/>
      <c r="BY84" s="3654"/>
      <c r="BZ84" s="3654"/>
      <c r="CA84" s="3654"/>
      <c r="CB84" s="3654"/>
      <c r="CC84" s="3655"/>
      <c r="CD84" s="3659" t="s">
        <v>275</v>
      </c>
      <c r="CE84" s="3660"/>
      <c r="CF84" s="3660"/>
      <c r="CG84" s="3660"/>
      <c r="CH84" s="3660"/>
      <c r="CI84" s="3660"/>
      <c r="CJ84" s="3660"/>
      <c r="CK84" s="3660"/>
      <c r="CL84" s="3660"/>
      <c r="CM84" s="3660"/>
      <c r="CN84" s="3660"/>
      <c r="CO84" s="3660"/>
      <c r="CP84" s="3660"/>
      <c r="CQ84" s="3660"/>
      <c r="CR84" s="3660"/>
      <c r="CS84" s="3660"/>
      <c r="CT84" s="3661"/>
      <c r="CU84" s="3653" t="s">
        <v>502</v>
      </c>
      <c r="CV84" s="3654"/>
      <c r="CW84" s="3654"/>
      <c r="CX84" s="3654"/>
      <c r="CY84" s="3654"/>
      <c r="CZ84" s="3654"/>
      <c r="DA84" s="3654"/>
      <c r="DB84" s="3654"/>
      <c r="DC84" s="3654"/>
      <c r="DD84" s="3654"/>
      <c r="DE84" s="3654"/>
      <c r="DF84" s="3654"/>
      <c r="DG84" s="3654"/>
      <c r="DH84" s="3654"/>
      <c r="DI84" s="3654"/>
      <c r="DJ84" s="3654"/>
      <c r="DK84" s="3704"/>
      <c r="DL84" s="128"/>
    </row>
    <row r="85" spans="1:118" ht="15.75" customHeight="1">
      <c r="A85" s="146"/>
      <c r="B85" s="3575"/>
      <c r="C85" s="3576"/>
      <c r="D85" s="3583"/>
      <c r="E85" s="3584"/>
      <c r="F85" s="3584"/>
      <c r="G85" s="3584"/>
      <c r="H85" s="3584"/>
      <c r="I85" s="3584"/>
      <c r="J85" s="3584"/>
      <c r="K85" s="3584"/>
      <c r="L85" s="3584"/>
      <c r="M85" s="3584"/>
      <c r="N85" s="3584"/>
      <c r="O85" s="3584"/>
      <c r="P85" s="3584"/>
      <c r="Q85" s="3585"/>
      <c r="R85" s="3583"/>
      <c r="S85" s="3584"/>
      <c r="T85" s="3584"/>
      <c r="U85" s="3584"/>
      <c r="V85" s="3584"/>
      <c r="W85" s="3583"/>
      <c r="X85" s="3584"/>
      <c r="Y85" s="3584"/>
      <c r="Z85" s="3584"/>
      <c r="AA85" s="3584"/>
      <c r="AB85" s="3584"/>
      <c r="AC85" s="3584"/>
      <c r="AD85" s="3585"/>
      <c r="AE85" s="3717"/>
      <c r="AF85" s="3718"/>
      <c r="AG85" s="3718"/>
      <c r="AH85" s="3718"/>
      <c r="AI85" s="3718"/>
      <c r="AJ85" s="3718"/>
      <c r="AK85" s="3718"/>
      <c r="AL85" s="3718"/>
      <c r="AM85" s="3718"/>
      <c r="AN85" s="3718"/>
      <c r="AO85" s="3718"/>
      <c r="AP85" s="3718"/>
      <c r="AQ85" s="3718"/>
      <c r="AR85" s="3718"/>
      <c r="AS85" s="3718"/>
      <c r="AT85" s="3718"/>
      <c r="AU85" s="3718"/>
      <c r="AV85" s="3718"/>
      <c r="AW85" s="3718"/>
      <c r="AX85" s="3718"/>
      <c r="AY85" s="3718"/>
      <c r="AZ85" s="3632" t="s">
        <v>276</v>
      </c>
      <c r="BA85" s="3633"/>
      <c r="BB85" s="3633"/>
      <c r="BC85" s="3633"/>
      <c r="BD85" s="3633"/>
      <c r="BE85" s="3633"/>
      <c r="BF85" s="3633"/>
      <c r="BG85" s="3633"/>
      <c r="BH85" s="3633"/>
      <c r="BI85" s="3633"/>
      <c r="BJ85" s="3633"/>
      <c r="BK85" s="3633"/>
      <c r="BL85" s="3634"/>
      <c r="BM85" s="3656"/>
      <c r="BN85" s="3657"/>
      <c r="BO85" s="3657"/>
      <c r="BP85" s="3657"/>
      <c r="BQ85" s="3657"/>
      <c r="BR85" s="3657"/>
      <c r="BS85" s="3657"/>
      <c r="BT85" s="3657"/>
      <c r="BU85" s="3657"/>
      <c r="BV85" s="3657"/>
      <c r="BW85" s="3657"/>
      <c r="BX85" s="3657"/>
      <c r="BY85" s="3657"/>
      <c r="BZ85" s="3657"/>
      <c r="CA85" s="3657"/>
      <c r="CB85" s="3657"/>
      <c r="CC85" s="3658"/>
      <c r="CD85" s="3662"/>
      <c r="CE85" s="3663"/>
      <c r="CF85" s="3663"/>
      <c r="CG85" s="3663"/>
      <c r="CH85" s="3663"/>
      <c r="CI85" s="3663"/>
      <c r="CJ85" s="3663"/>
      <c r="CK85" s="3663"/>
      <c r="CL85" s="3663"/>
      <c r="CM85" s="3663"/>
      <c r="CN85" s="3663"/>
      <c r="CO85" s="3663"/>
      <c r="CP85" s="3663"/>
      <c r="CQ85" s="3663"/>
      <c r="CR85" s="3663"/>
      <c r="CS85" s="3663"/>
      <c r="CT85" s="3664"/>
      <c r="CU85" s="3656"/>
      <c r="CV85" s="3657"/>
      <c r="CW85" s="3657"/>
      <c r="CX85" s="3657"/>
      <c r="CY85" s="3657"/>
      <c r="CZ85" s="3657"/>
      <c r="DA85" s="3657"/>
      <c r="DB85" s="3657"/>
      <c r="DC85" s="3657"/>
      <c r="DD85" s="3657"/>
      <c r="DE85" s="3657"/>
      <c r="DF85" s="3657"/>
      <c r="DG85" s="3657"/>
      <c r="DH85" s="3657"/>
      <c r="DI85" s="3657"/>
      <c r="DJ85" s="3657"/>
      <c r="DK85" s="3705"/>
      <c r="DL85" s="128"/>
    </row>
    <row r="86" spans="1:118" ht="6.75" customHeight="1">
      <c r="A86" s="146"/>
      <c r="B86" s="3700" t="s">
        <v>277</v>
      </c>
      <c r="C86" s="3701"/>
      <c r="D86" s="3673" t="s">
        <v>1504</v>
      </c>
      <c r="E86" s="3674"/>
      <c r="F86" s="3674"/>
      <c r="G86" s="3674"/>
      <c r="H86" s="3674"/>
      <c r="I86" s="3674"/>
      <c r="J86" s="3674"/>
      <c r="K86" s="3674"/>
      <c r="L86" s="3674"/>
      <c r="M86" s="3674"/>
      <c r="N86" s="3674"/>
      <c r="O86" s="3674"/>
      <c r="P86" s="3674"/>
      <c r="Q86" s="3677"/>
      <c r="R86" s="3673" t="s">
        <v>157</v>
      </c>
      <c r="S86" s="3674"/>
      <c r="T86" s="3674"/>
      <c r="U86" s="3674"/>
      <c r="V86" s="3674"/>
      <c r="W86" s="3673" t="s">
        <v>1033</v>
      </c>
      <c r="X86" s="3674"/>
      <c r="Y86" s="3674"/>
      <c r="Z86" s="3674"/>
      <c r="AA86" s="3674"/>
      <c r="AB86" s="3674"/>
      <c r="AC86" s="3674"/>
      <c r="AD86" s="3677"/>
      <c r="AE86" s="3665" t="s">
        <v>1501</v>
      </c>
      <c r="AF86" s="3666"/>
      <c r="AG86" s="3666"/>
      <c r="AH86" s="3666"/>
      <c r="AI86" s="3666"/>
      <c r="AJ86" s="3666"/>
      <c r="AK86" s="3666"/>
      <c r="AL86" s="3666"/>
      <c r="AM86" s="3666"/>
      <c r="AN86" s="3666"/>
      <c r="AO86" s="3666"/>
      <c r="AP86" s="3666"/>
      <c r="AQ86" s="3666"/>
      <c r="AR86" s="3666"/>
      <c r="AS86" s="3666"/>
      <c r="AT86" s="3666"/>
      <c r="AU86" s="3666"/>
      <c r="AV86" s="3666"/>
      <c r="AW86" s="3666"/>
      <c r="AX86" s="3666"/>
      <c r="AY86" s="3666"/>
      <c r="AZ86" s="3679" t="s">
        <v>278</v>
      </c>
      <c r="BA86" s="3680"/>
      <c r="BB86" s="3680"/>
      <c r="BC86" s="3680"/>
      <c r="BD86" s="3680"/>
      <c r="BE86" s="3680"/>
      <c r="BF86" s="3680"/>
      <c r="BG86" s="3680"/>
      <c r="BH86" s="3680"/>
      <c r="BI86" s="3680"/>
      <c r="BJ86" s="3680"/>
      <c r="BK86" s="3680"/>
      <c r="BL86" s="3681"/>
      <c r="BM86" s="3665" t="s">
        <v>367</v>
      </c>
      <c r="BN86" s="3666"/>
      <c r="BO86" s="3666"/>
      <c r="BP86" s="3666"/>
      <c r="BQ86" s="3666"/>
      <c r="BR86" s="3666"/>
      <c r="BS86" s="3666"/>
      <c r="BT86" s="3666"/>
      <c r="BU86" s="3666"/>
      <c r="BV86" s="3666"/>
      <c r="BW86" s="3666"/>
      <c r="BX86" s="3666"/>
      <c r="BY86" s="3666"/>
      <c r="BZ86" s="3666"/>
      <c r="CA86" s="3666"/>
      <c r="CB86" s="3666"/>
      <c r="CC86" s="3667"/>
      <c r="CD86" s="3627" t="s">
        <v>1505</v>
      </c>
      <c r="CE86" s="3627"/>
      <c r="CF86" s="3627"/>
      <c r="CG86" s="3627"/>
      <c r="CH86" s="3627"/>
      <c r="CI86" s="3627"/>
      <c r="CJ86" s="3627"/>
      <c r="CK86" s="3627"/>
      <c r="CL86" s="3627"/>
      <c r="CM86" s="3627"/>
      <c r="CN86" s="3627"/>
      <c r="CO86" s="3627"/>
      <c r="CP86" s="3627"/>
      <c r="CQ86" s="3627"/>
      <c r="CR86" s="3627"/>
      <c r="CS86" s="3627"/>
      <c r="CT86" s="3671"/>
      <c r="CU86" s="3626" t="s">
        <v>375</v>
      </c>
      <c r="CV86" s="3627"/>
      <c r="CW86" s="3627"/>
      <c r="CX86" s="3627"/>
      <c r="CY86" s="3627"/>
      <c r="CZ86" s="3627"/>
      <c r="DA86" s="3627"/>
      <c r="DB86" s="3627"/>
      <c r="DC86" s="3627"/>
      <c r="DD86" s="3627"/>
      <c r="DE86" s="3627"/>
      <c r="DF86" s="3627"/>
      <c r="DG86" s="3627"/>
      <c r="DH86" s="3627"/>
      <c r="DI86" s="3627"/>
      <c r="DJ86" s="3627"/>
      <c r="DK86" s="3628"/>
      <c r="DL86" s="153"/>
      <c r="DM86" s="154"/>
      <c r="DN86" s="154"/>
    </row>
    <row r="87" spans="1:118" ht="6.75" customHeight="1" thickBot="1">
      <c r="A87" s="146"/>
      <c r="B87" s="3702"/>
      <c r="C87" s="3703"/>
      <c r="D87" s="3675"/>
      <c r="E87" s="3676"/>
      <c r="F87" s="3676"/>
      <c r="G87" s="3676"/>
      <c r="H87" s="3676"/>
      <c r="I87" s="3676"/>
      <c r="J87" s="3676"/>
      <c r="K87" s="3676"/>
      <c r="L87" s="3676"/>
      <c r="M87" s="3676"/>
      <c r="N87" s="3676"/>
      <c r="O87" s="3676"/>
      <c r="P87" s="3676"/>
      <c r="Q87" s="3678"/>
      <c r="R87" s="3675"/>
      <c r="S87" s="3676"/>
      <c r="T87" s="3676"/>
      <c r="U87" s="3676"/>
      <c r="V87" s="3676"/>
      <c r="W87" s="3675"/>
      <c r="X87" s="3676"/>
      <c r="Y87" s="3676"/>
      <c r="Z87" s="3676"/>
      <c r="AA87" s="3676"/>
      <c r="AB87" s="3676"/>
      <c r="AC87" s="3676"/>
      <c r="AD87" s="3678"/>
      <c r="AE87" s="3668"/>
      <c r="AF87" s="3669"/>
      <c r="AG87" s="3669"/>
      <c r="AH87" s="3669"/>
      <c r="AI87" s="3669"/>
      <c r="AJ87" s="3669"/>
      <c r="AK87" s="3669"/>
      <c r="AL87" s="3669"/>
      <c r="AM87" s="3669"/>
      <c r="AN87" s="3669"/>
      <c r="AO87" s="3669"/>
      <c r="AP87" s="3669"/>
      <c r="AQ87" s="3669"/>
      <c r="AR87" s="3669"/>
      <c r="AS87" s="3669"/>
      <c r="AT87" s="3669"/>
      <c r="AU87" s="3669"/>
      <c r="AV87" s="3669"/>
      <c r="AW87" s="3669"/>
      <c r="AX87" s="3669"/>
      <c r="AY87" s="3669"/>
      <c r="AZ87" s="3682"/>
      <c r="BA87" s="3683"/>
      <c r="BB87" s="3683"/>
      <c r="BC87" s="3683"/>
      <c r="BD87" s="3683"/>
      <c r="BE87" s="3683"/>
      <c r="BF87" s="3683"/>
      <c r="BG87" s="3683"/>
      <c r="BH87" s="3683"/>
      <c r="BI87" s="3683"/>
      <c r="BJ87" s="3683"/>
      <c r="BK87" s="3683"/>
      <c r="BL87" s="3684"/>
      <c r="BM87" s="3668"/>
      <c r="BN87" s="3669"/>
      <c r="BO87" s="3669"/>
      <c r="BP87" s="3669"/>
      <c r="BQ87" s="3669"/>
      <c r="BR87" s="3669"/>
      <c r="BS87" s="3669"/>
      <c r="BT87" s="3669"/>
      <c r="BU87" s="3669"/>
      <c r="BV87" s="3669"/>
      <c r="BW87" s="3669"/>
      <c r="BX87" s="3669"/>
      <c r="BY87" s="3669"/>
      <c r="BZ87" s="3669"/>
      <c r="CA87" s="3669"/>
      <c r="CB87" s="3669"/>
      <c r="CC87" s="3670"/>
      <c r="CD87" s="3630"/>
      <c r="CE87" s="3630"/>
      <c r="CF87" s="3630"/>
      <c r="CG87" s="3630"/>
      <c r="CH87" s="3630"/>
      <c r="CI87" s="3630"/>
      <c r="CJ87" s="3630"/>
      <c r="CK87" s="3630"/>
      <c r="CL87" s="3630"/>
      <c r="CM87" s="3630"/>
      <c r="CN87" s="3630"/>
      <c r="CO87" s="3630"/>
      <c r="CP87" s="3630"/>
      <c r="CQ87" s="3630"/>
      <c r="CR87" s="3630"/>
      <c r="CS87" s="3630"/>
      <c r="CT87" s="3672"/>
      <c r="CU87" s="3629"/>
      <c r="CV87" s="3630"/>
      <c r="CW87" s="3630"/>
      <c r="CX87" s="3630"/>
      <c r="CY87" s="3630"/>
      <c r="CZ87" s="3630"/>
      <c r="DA87" s="3630"/>
      <c r="DB87" s="3630"/>
      <c r="DC87" s="3630"/>
      <c r="DD87" s="3630"/>
      <c r="DE87" s="3630"/>
      <c r="DF87" s="3630"/>
      <c r="DG87" s="3630"/>
      <c r="DH87" s="3630"/>
      <c r="DI87" s="3630"/>
      <c r="DJ87" s="3630"/>
      <c r="DK87" s="3631"/>
      <c r="DL87" s="153"/>
      <c r="DM87" s="154"/>
      <c r="DN87" s="154"/>
    </row>
    <row r="88" spans="1:118" ht="6.75" customHeight="1" thickTop="1">
      <c r="A88" s="146"/>
      <c r="B88" s="3725">
        <v>1</v>
      </c>
      <c r="C88" s="3726"/>
      <c r="D88" s="3635"/>
      <c r="E88" s="3636"/>
      <c r="F88" s="3636"/>
      <c r="G88" s="3636"/>
      <c r="H88" s="3636"/>
      <c r="I88" s="3636"/>
      <c r="J88" s="3636"/>
      <c r="K88" s="3636"/>
      <c r="L88" s="3636"/>
      <c r="M88" s="3636"/>
      <c r="N88" s="3636"/>
      <c r="O88" s="3636"/>
      <c r="P88" s="3636"/>
      <c r="Q88" s="3637"/>
      <c r="R88" s="3635"/>
      <c r="S88" s="3636"/>
      <c r="T88" s="3636"/>
      <c r="U88" s="3636"/>
      <c r="V88" s="3637"/>
      <c r="W88" s="3635"/>
      <c r="X88" s="3636"/>
      <c r="Y88" s="3636"/>
      <c r="Z88" s="3636"/>
      <c r="AA88" s="3636"/>
      <c r="AB88" s="3636"/>
      <c r="AC88" s="3636"/>
      <c r="AD88" s="3637"/>
      <c r="AE88" s="3641"/>
      <c r="AF88" s="3642"/>
      <c r="AG88" s="3642"/>
      <c r="AH88" s="3642"/>
      <c r="AI88" s="3642"/>
      <c r="AJ88" s="3642"/>
      <c r="AK88" s="3642"/>
      <c r="AL88" s="3642"/>
      <c r="AM88" s="3642"/>
      <c r="AN88" s="3642"/>
      <c r="AO88" s="3642"/>
      <c r="AP88" s="3642"/>
      <c r="AQ88" s="3642"/>
      <c r="AR88" s="3642"/>
      <c r="AS88" s="3642"/>
      <c r="AT88" s="3642"/>
      <c r="AU88" s="3642"/>
      <c r="AV88" s="3642"/>
      <c r="AW88" s="3642"/>
      <c r="AX88" s="3642"/>
      <c r="AY88" s="3643"/>
      <c r="AZ88" s="3641"/>
      <c r="BA88" s="3642"/>
      <c r="BB88" s="3642"/>
      <c r="BC88" s="3642"/>
      <c r="BD88" s="3642"/>
      <c r="BE88" s="3642"/>
      <c r="BF88" s="3642"/>
      <c r="BG88" s="3642"/>
      <c r="BH88" s="3642"/>
      <c r="BI88" s="3642"/>
      <c r="BJ88" s="3642"/>
      <c r="BK88" s="3642"/>
      <c r="BL88" s="3643"/>
      <c r="BM88" s="3641"/>
      <c r="BN88" s="3642"/>
      <c r="BO88" s="3642"/>
      <c r="BP88" s="3642"/>
      <c r="BQ88" s="3642"/>
      <c r="BR88" s="3642"/>
      <c r="BS88" s="3642"/>
      <c r="BT88" s="3642"/>
      <c r="BU88" s="3642"/>
      <c r="BV88" s="3642"/>
      <c r="BW88" s="3642"/>
      <c r="BX88" s="3642"/>
      <c r="BY88" s="3642"/>
      <c r="BZ88" s="3642"/>
      <c r="CA88" s="3642"/>
      <c r="CB88" s="3642"/>
      <c r="CC88" s="3643"/>
      <c r="CD88" s="3641"/>
      <c r="CE88" s="3642"/>
      <c r="CF88" s="3642"/>
      <c r="CG88" s="3642"/>
      <c r="CH88" s="3642"/>
      <c r="CI88" s="3642"/>
      <c r="CJ88" s="3642"/>
      <c r="CK88" s="3642"/>
      <c r="CL88" s="3642"/>
      <c r="CM88" s="3642"/>
      <c r="CN88" s="3642"/>
      <c r="CO88" s="3642"/>
      <c r="CP88" s="3642"/>
      <c r="CQ88" s="3642"/>
      <c r="CR88" s="3642"/>
      <c r="CS88" s="3642"/>
      <c r="CT88" s="3643"/>
      <c r="CU88" s="3641"/>
      <c r="CV88" s="3642"/>
      <c r="CW88" s="3642"/>
      <c r="CX88" s="3642"/>
      <c r="CY88" s="3642"/>
      <c r="CZ88" s="3642"/>
      <c r="DA88" s="3642"/>
      <c r="DB88" s="3642"/>
      <c r="DC88" s="3642"/>
      <c r="DD88" s="3642"/>
      <c r="DE88" s="3642"/>
      <c r="DF88" s="3642"/>
      <c r="DG88" s="3642"/>
      <c r="DH88" s="3642"/>
      <c r="DI88" s="3642"/>
      <c r="DJ88" s="3642"/>
      <c r="DK88" s="3647"/>
      <c r="DL88" s="153"/>
      <c r="DM88" s="154"/>
      <c r="DN88" s="154"/>
    </row>
    <row r="89" spans="1:118" ht="6.75" customHeight="1">
      <c r="A89" s="146"/>
      <c r="B89" s="3607"/>
      <c r="C89" s="3608"/>
      <c r="D89" s="3638"/>
      <c r="E89" s="3639"/>
      <c r="F89" s="3639"/>
      <c r="G89" s="3639"/>
      <c r="H89" s="3639"/>
      <c r="I89" s="3639"/>
      <c r="J89" s="3639"/>
      <c r="K89" s="3639"/>
      <c r="L89" s="3639"/>
      <c r="M89" s="3639"/>
      <c r="N89" s="3639"/>
      <c r="O89" s="3639"/>
      <c r="P89" s="3639"/>
      <c r="Q89" s="3640"/>
      <c r="R89" s="3611"/>
      <c r="S89" s="3612"/>
      <c r="T89" s="3612"/>
      <c r="U89" s="3612"/>
      <c r="V89" s="3613"/>
      <c r="W89" s="3638"/>
      <c r="X89" s="3639"/>
      <c r="Y89" s="3639"/>
      <c r="Z89" s="3639"/>
      <c r="AA89" s="3639"/>
      <c r="AB89" s="3639"/>
      <c r="AC89" s="3639"/>
      <c r="AD89" s="3640"/>
      <c r="AE89" s="3644"/>
      <c r="AF89" s="3645"/>
      <c r="AG89" s="3645"/>
      <c r="AH89" s="3645"/>
      <c r="AI89" s="3645"/>
      <c r="AJ89" s="3645"/>
      <c r="AK89" s="3645"/>
      <c r="AL89" s="3645"/>
      <c r="AM89" s="3645"/>
      <c r="AN89" s="3645"/>
      <c r="AO89" s="3645"/>
      <c r="AP89" s="3645"/>
      <c r="AQ89" s="3645"/>
      <c r="AR89" s="3645"/>
      <c r="AS89" s="3645"/>
      <c r="AT89" s="3645"/>
      <c r="AU89" s="3645"/>
      <c r="AV89" s="3645"/>
      <c r="AW89" s="3645"/>
      <c r="AX89" s="3645"/>
      <c r="AY89" s="3646"/>
      <c r="AZ89" s="3644"/>
      <c r="BA89" s="3645"/>
      <c r="BB89" s="3645"/>
      <c r="BC89" s="3645"/>
      <c r="BD89" s="3645"/>
      <c r="BE89" s="3645"/>
      <c r="BF89" s="3645"/>
      <c r="BG89" s="3645"/>
      <c r="BH89" s="3645"/>
      <c r="BI89" s="3645"/>
      <c r="BJ89" s="3645"/>
      <c r="BK89" s="3645"/>
      <c r="BL89" s="3646"/>
      <c r="BM89" s="3644"/>
      <c r="BN89" s="3645"/>
      <c r="BO89" s="3645"/>
      <c r="BP89" s="3645"/>
      <c r="BQ89" s="3645"/>
      <c r="BR89" s="3645"/>
      <c r="BS89" s="3645"/>
      <c r="BT89" s="3645"/>
      <c r="BU89" s="3645"/>
      <c r="BV89" s="3645"/>
      <c r="BW89" s="3645"/>
      <c r="BX89" s="3645"/>
      <c r="BY89" s="3645"/>
      <c r="BZ89" s="3645"/>
      <c r="CA89" s="3645"/>
      <c r="CB89" s="3645"/>
      <c r="CC89" s="3646"/>
      <c r="CD89" s="3644"/>
      <c r="CE89" s="3645"/>
      <c r="CF89" s="3645"/>
      <c r="CG89" s="3645"/>
      <c r="CH89" s="3645"/>
      <c r="CI89" s="3645"/>
      <c r="CJ89" s="3645"/>
      <c r="CK89" s="3645"/>
      <c r="CL89" s="3645"/>
      <c r="CM89" s="3645"/>
      <c r="CN89" s="3645"/>
      <c r="CO89" s="3645"/>
      <c r="CP89" s="3645"/>
      <c r="CQ89" s="3645"/>
      <c r="CR89" s="3645"/>
      <c r="CS89" s="3645"/>
      <c r="CT89" s="3646"/>
      <c r="CU89" s="3644"/>
      <c r="CV89" s="3645"/>
      <c r="CW89" s="3645"/>
      <c r="CX89" s="3645"/>
      <c r="CY89" s="3645"/>
      <c r="CZ89" s="3645"/>
      <c r="DA89" s="3645"/>
      <c r="DB89" s="3645"/>
      <c r="DC89" s="3645"/>
      <c r="DD89" s="3645"/>
      <c r="DE89" s="3645"/>
      <c r="DF89" s="3645"/>
      <c r="DG89" s="3645"/>
      <c r="DH89" s="3645"/>
      <c r="DI89" s="3645"/>
      <c r="DJ89" s="3645"/>
      <c r="DK89" s="3648"/>
      <c r="DL89" s="153"/>
      <c r="DM89" s="154"/>
      <c r="DN89" s="154"/>
    </row>
    <row r="90" spans="1:118" ht="6.75" customHeight="1">
      <c r="A90" s="146"/>
      <c r="B90" s="3607">
        <v>2</v>
      </c>
      <c r="C90" s="3608"/>
      <c r="D90" s="3650"/>
      <c r="E90" s="3651"/>
      <c r="F90" s="3651"/>
      <c r="G90" s="3651"/>
      <c r="H90" s="3651"/>
      <c r="I90" s="3651"/>
      <c r="J90" s="3651"/>
      <c r="K90" s="3651"/>
      <c r="L90" s="3651"/>
      <c r="M90" s="3651"/>
      <c r="N90" s="3651"/>
      <c r="O90" s="3651"/>
      <c r="P90" s="3651"/>
      <c r="Q90" s="3652"/>
      <c r="R90" s="3611"/>
      <c r="S90" s="3612"/>
      <c r="T90" s="3612"/>
      <c r="U90" s="3612"/>
      <c r="V90" s="3613"/>
      <c r="W90" s="3650"/>
      <c r="X90" s="3651"/>
      <c r="Y90" s="3651"/>
      <c r="Z90" s="3651"/>
      <c r="AA90" s="3651"/>
      <c r="AB90" s="3651"/>
      <c r="AC90" s="3651"/>
      <c r="AD90" s="3652"/>
      <c r="AE90" s="3557"/>
      <c r="AF90" s="3558"/>
      <c r="AG90" s="3558"/>
      <c r="AH90" s="3558"/>
      <c r="AI90" s="3558"/>
      <c r="AJ90" s="3558"/>
      <c r="AK90" s="3558"/>
      <c r="AL90" s="3558"/>
      <c r="AM90" s="3558"/>
      <c r="AN90" s="3558"/>
      <c r="AO90" s="3558"/>
      <c r="AP90" s="3558"/>
      <c r="AQ90" s="3558"/>
      <c r="AR90" s="3558"/>
      <c r="AS90" s="3558"/>
      <c r="AT90" s="3558"/>
      <c r="AU90" s="3558"/>
      <c r="AV90" s="3558"/>
      <c r="AW90" s="3558"/>
      <c r="AX90" s="3558"/>
      <c r="AY90" s="3559"/>
      <c r="AZ90" s="3557"/>
      <c r="BA90" s="3558"/>
      <c r="BB90" s="3558"/>
      <c r="BC90" s="3558"/>
      <c r="BD90" s="3558"/>
      <c r="BE90" s="3558"/>
      <c r="BF90" s="3558"/>
      <c r="BG90" s="3558"/>
      <c r="BH90" s="3558"/>
      <c r="BI90" s="3558"/>
      <c r="BJ90" s="3558"/>
      <c r="BK90" s="3558"/>
      <c r="BL90" s="3559"/>
      <c r="BM90" s="3557"/>
      <c r="BN90" s="3558"/>
      <c r="BO90" s="3558"/>
      <c r="BP90" s="3558"/>
      <c r="BQ90" s="3558"/>
      <c r="BR90" s="3558"/>
      <c r="BS90" s="3558"/>
      <c r="BT90" s="3558"/>
      <c r="BU90" s="3558"/>
      <c r="BV90" s="3558"/>
      <c r="BW90" s="3558"/>
      <c r="BX90" s="3558"/>
      <c r="BY90" s="3558"/>
      <c r="BZ90" s="3558"/>
      <c r="CA90" s="3558"/>
      <c r="CB90" s="3558"/>
      <c r="CC90" s="3559"/>
      <c r="CD90" s="3557"/>
      <c r="CE90" s="3558"/>
      <c r="CF90" s="3558"/>
      <c r="CG90" s="3558"/>
      <c r="CH90" s="3558"/>
      <c r="CI90" s="3558"/>
      <c r="CJ90" s="3558"/>
      <c r="CK90" s="3558"/>
      <c r="CL90" s="3558"/>
      <c r="CM90" s="3558"/>
      <c r="CN90" s="3558"/>
      <c r="CO90" s="3558"/>
      <c r="CP90" s="3558"/>
      <c r="CQ90" s="3558"/>
      <c r="CR90" s="3558"/>
      <c r="CS90" s="3558"/>
      <c r="CT90" s="3559"/>
      <c r="CU90" s="3557"/>
      <c r="CV90" s="3558"/>
      <c r="CW90" s="3558"/>
      <c r="CX90" s="3558"/>
      <c r="CY90" s="3558"/>
      <c r="CZ90" s="3558"/>
      <c r="DA90" s="3558"/>
      <c r="DB90" s="3558"/>
      <c r="DC90" s="3558"/>
      <c r="DD90" s="3558"/>
      <c r="DE90" s="3558"/>
      <c r="DF90" s="3558"/>
      <c r="DG90" s="3558"/>
      <c r="DH90" s="3558"/>
      <c r="DI90" s="3558"/>
      <c r="DJ90" s="3558"/>
      <c r="DK90" s="3649"/>
      <c r="DL90" s="153"/>
      <c r="DM90" s="154"/>
      <c r="DN90" s="154"/>
    </row>
    <row r="91" spans="1:118" ht="6.75" customHeight="1">
      <c r="A91" s="146"/>
      <c r="B91" s="3607"/>
      <c r="C91" s="3608"/>
      <c r="D91" s="3638"/>
      <c r="E91" s="3639"/>
      <c r="F91" s="3639"/>
      <c r="G91" s="3639"/>
      <c r="H91" s="3639"/>
      <c r="I91" s="3639"/>
      <c r="J91" s="3639"/>
      <c r="K91" s="3639"/>
      <c r="L91" s="3639"/>
      <c r="M91" s="3639"/>
      <c r="N91" s="3639"/>
      <c r="O91" s="3639"/>
      <c r="P91" s="3639"/>
      <c r="Q91" s="3640"/>
      <c r="R91" s="3611"/>
      <c r="S91" s="3612"/>
      <c r="T91" s="3612"/>
      <c r="U91" s="3612"/>
      <c r="V91" s="3613"/>
      <c r="W91" s="3638"/>
      <c r="X91" s="3639"/>
      <c r="Y91" s="3639"/>
      <c r="Z91" s="3639"/>
      <c r="AA91" s="3639"/>
      <c r="AB91" s="3639"/>
      <c r="AC91" s="3639"/>
      <c r="AD91" s="3640"/>
      <c r="AE91" s="3644"/>
      <c r="AF91" s="3645"/>
      <c r="AG91" s="3645"/>
      <c r="AH91" s="3645"/>
      <c r="AI91" s="3645"/>
      <c r="AJ91" s="3645"/>
      <c r="AK91" s="3645"/>
      <c r="AL91" s="3645"/>
      <c r="AM91" s="3645"/>
      <c r="AN91" s="3645"/>
      <c r="AO91" s="3645"/>
      <c r="AP91" s="3645"/>
      <c r="AQ91" s="3645"/>
      <c r="AR91" s="3645"/>
      <c r="AS91" s="3645"/>
      <c r="AT91" s="3645"/>
      <c r="AU91" s="3645"/>
      <c r="AV91" s="3645"/>
      <c r="AW91" s="3645"/>
      <c r="AX91" s="3645"/>
      <c r="AY91" s="3646"/>
      <c r="AZ91" s="3644"/>
      <c r="BA91" s="3645"/>
      <c r="BB91" s="3645"/>
      <c r="BC91" s="3645"/>
      <c r="BD91" s="3645"/>
      <c r="BE91" s="3645"/>
      <c r="BF91" s="3645"/>
      <c r="BG91" s="3645"/>
      <c r="BH91" s="3645"/>
      <c r="BI91" s="3645"/>
      <c r="BJ91" s="3645"/>
      <c r="BK91" s="3645"/>
      <c r="BL91" s="3646"/>
      <c r="BM91" s="3644"/>
      <c r="BN91" s="3645"/>
      <c r="BO91" s="3645"/>
      <c r="BP91" s="3645"/>
      <c r="BQ91" s="3645"/>
      <c r="BR91" s="3645"/>
      <c r="BS91" s="3645"/>
      <c r="BT91" s="3645"/>
      <c r="BU91" s="3645"/>
      <c r="BV91" s="3645"/>
      <c r="BW91" s="3645"/>
      <c r="BX91" s="3645"/>
      <c r="BY91" s="3645"/>
      <c r="BZ91" s="3645"/>
      <c r="CA91" s="3645"/>
      <c r="CB91" s="3645"/>
      <c r="CC91" s="3646"/>
      <c r="CD91" s="3644"/>
      <c r="CE91" s="3645"/>
      <c r="CF91" s="3645"/>
      <c r="CG91" s="3645"/>
      <c r="CH91" s="3645"/>
      <c r="CI91" s="3645"/>
      <c r="CJ91" s="3645"/>
      <c r="CK91" s="3645"/>
      <c r="CL91" s="3645"/>
      <c r="CM91" s="3645"/>
      <c r="CN91" s="3645"/>
      <c r="CO91" s="3645"/>
      <c r="CP91" s="3645"/>
      <c r="CQ91" s="3645"/>
      <c r="CR91" s="3645"/>
      <c r="CS91" s="3645"/>
      <c r="CT91" s="3646"/>
      <c r="CU91" s="3644"/>
      <c r="CV91" s="3645"/>
      <c r="CW91" s="3645"/>
      <c r="CX91" s="3645"/>
      <c r="CY91" s="3645"/>
      <c r="CZ91" s="3645"/>
      <c r="DA91" s="3645"/>
      <c r="DB91" s="3645"/>
      <c r="DC91" s="3645"/>
      <c r="DD91" s="3645"/>
      <c r="DE91" s="3645"/>
      <c r="DF91" s="3645"/>
      <c r="DG91" s="3645"/>
      <c r="DH91" s="3645"/>
      <c r="DI91" s="3645"/>
      <c r="DJ91" s="3645"/>
      <c r="DK91" s="3648"/>
      <c r="DL91" s="153"/>
      <c r="DM91" s="154"/>
      <c r="DN91" s="154"/>
    </row>
    <row r="92" spans="1:118" ht="6.75" customHeight="1">
      <c r="A92" s="146"/>
      <c r="B92" s="3607">
        <v>3</v>
      </c>
      <c r="C92" s="3608"/>
      <c r="D92" s="3650"/>
      <c r="E92" s="3651"/>
      <c r="F92" s="3651"/>
      <c r="G92" s="3651"/>
      <c r="H92" s="3651"/>
      <c r="I92" s="3651"/>
      <c r="J92" s="3651"/>
      <c r="K92" s="3651"/>
      <c r="L92" s="3651"/>
      <c r="M92" s="3651"/>
      <c r="N92" s="3651"/>
      <c r="O92" s="3651"/>
      <c r="P92" s="3651"/>
      <c r="Q92" s="3652"/>
      <c r="R92" s="3611"/>
      <c r="S92" s="3612"/>
      <c r="T92" s="3612"/>
      <c r="U92" s="3612"/>
      <c r="V92" s="3613"/>
      <c r="W92" s="3650"/>
      <c r="X92" s="3651"/>
      <c r="Y92" s="3651"/>
      <c r="Z92" s="3651"/>
      <c r="AA92" s="3651"/>
      <c r="AB92" s="3651"/>
      <c r="AC92" s="3651"/>
      <c r="AD92" s="3652"/>
      <c r="AE92" s="3557"/>
      <c r="AF92" s="3558"/>
      <c r="AG92" s="3558"/>
      <c r="AH92" s="3558"/>
      <c r="AI92" s="3558"/>
      <c r="AJ92" s="3558"/>
      <c r="AK92" s="3558"/>
      <c r="AL92" s="3558"/>
      <c r="AM92" s="3558"/>
      <c r="AN92" s="3558"/>
      <c r="AO92" s="3558"/>
      <c r="AP92" s="3558"/>
      <c r="AQ92" s="3558"/>
      <c r="AR92" s="3558"/>
      <c r="AS92" s="3558"/>
      <c r="AT92" s="3558"/>
      <c r="AU92" s="3558"/>
      <c r="AV92" s="3558"/>
      <c r="AW92" s="3558"/>
      <c r="AX92" s="3558"/>
      <c r="AY92" s="3559"/>
      <c r="AZ92" s="3557"/>
      <c r="BA92" s="3558"/>
      <c r="BB92" s="3558"/>
      <c r="BC92" s="3558"/>
      <c r="BD92" s="3558"/>
      <c r="BE92" s="3558"/>
      <c r="BF92" s="3558"/>
      <c r="BG92" s="3558"/>
      <c r="BH92" s="3558"/>
      <c r="BI92" s="3558"/>
      <c r="BJ92" s="3558"/>
      <c r="BK92" s="3558"/>
      <c r="BL92" s="3559"/>
      <c r="BM92" s="3557"/>
      <c r="BN92" s="3558"/>
      <c r="BO92" s="3558"/>
      <c r="BP92" s="3558"/>
      <c r="BQ92" s="3558"/>
      <c r="BR92" s="3558"/>
      <c r="BS92" s="3558"/>
      <c r="BT92" s="3558"/>
      <c r="BU92" s="3558"/>
      <c r="BV92" s="3558"/>
      <c r="BW92" s="3558"/>
      <c r="BX92" s="3558"/>
      <c r="BY92" s="3558"/>
      <c r="BZ92" s="3558"/>
      <c r="CA92" s="3558"/>
      <c r="CB92" s="3558"/>
      <c r="CC92" s="3559"/>
      <c r="CD92" s="3557"/>
      <c r="CE92" s="3558"/>
      <c r="CF92" s="3558"/>
      <c r="CG92" s="3558"/>
      <c r="CH92" s="3558"/>
      <c r="CI92" s="3558"/>
      <c r="CJ92" s="3558"/>
      <c r="CK92" s="3558"/>
      <c r="CL92" s="3558"/>
      <c r="CM92" s="3558"/>
      <c r="CN92" s="3558"/>
      <c r="CO92" s="3558"/>
      <c r="CP92" s="3558"/>
      <c r="CQ92" s="3558"/>
      <c r="CR92" s="3558"/>
      <c r="CS92" s="3558"/>
      <c r="CT92" s="3559"/>
      <c r="CU92" s="3557"/>
      <c r="CV92" s="3558"/>
      <c r="CW92" s="3558"/>
      <c r="CX92" s="3558"/>
      <c r="CY92" s="3558"/>
      <c r="CZ92" s="3558"/>
      <c r="DA92" s="3558"/>
      <c r="DB92" s="3558"/>
      <c r="DC92" s="3558"/>
      <c r="DD92" s="3558"/>
      <c r="DE92" s="3558"/>
      <c r="DF92" s="3558"/>
      <c r="DG92" s="3558"/>
      <c r="DH92" s="3558"/>
      <c r="DI92" s="3558"/>
      <c r="DJ92" s="3558"/>
      <c r="DK92" s="3649"/>
      <c r="DL92" s="153"/>
      <c r="DM92" s="154"/>
      <c r="DN92" s="154"/>
    </row>
    <row r="93" spans="1:118" ht="6.75" customHeight="1">
      <c r="A93" s="146"/>
      <c r="B93" s="3607"/>
      <c r="C93" s="3608"/>
      <c r="D93" s="3638"/>
      <c r="E93" s="3639"/>
      <c r="F93" s="3639"/>
      <c r="G93" s="3639"/>
      <c r="H93" s="3639"/>
      <c r="I93" s="3639"/>
      <c r="J93" s="3639"/>
      <c r="K93" s="3639"/>
      <c r="L93" s="3639"/>
      <c r="M93" s="3639"/>
      <c r="N93" s="3639"/>
      <c r="O93" s="3639"/>
      <c r="P93" s="3639"/>
      <c r="Q93" s="3640"/>
      <c r="R93" s="3611"/>
      <c r="S93" s="3612"/>
      <c r="T93" s="3612"/>
      <c r="U93" s="3612"/>
      <c r="V93" s="3613"/>
      <c r="W93" s="3638"/>
      <c r="X93" s="3639"/>
      <c r="Y93" s="3639"/>
      <c r="Z93" s="3639"/>
      <c r="AA93" s="3639"/>
      <c r="AB93" s="3639"/>
      <c r="AC93" s="3639"/>
      <c r="AD93" s="3640"/>
      <c r="AE93" s="3644"/>
      <c r="AF93" s="3645"/>
      <c r="AG93" s="3645"/>
      <c r="AH93" s="3645"/>
      <c r="AI93" s="3645"/>
      <c r="AJ93" s="3645"/>
      <c r="AK93" s="3645"/>
      <c r="AL93" s="3645"/>
      <c r="AM93" s="3645"/>
      <c r="AN93" s="3645"/>
      <c r="AO93" s="3645"/>
      <c r="AP93" s="3645"/>
      <c r="AQ93" s="3645"/>
      <c r="AR93" s="3645"/>
      <c r="AS93" s="3645"/>
      <c r="AT93" s="3645"/>
      <c r="AU93" s="3645"/>
      <c r="AV93" s="3645"/>
      <c r="AW93" s="3645"/>
      <c r="AX93" s="3645"/>
      <c r="AY93" s="3646"/>
      <c r="AZ93" s="3644"/>
      <c r="BA93" s="3645"/>
      <c r="BB93" s="3645"/>
      <c r="BC93" s="3645"/>
      <c r="BD93" s="3645"/>
      <c r="BE93" s="3645"/>
      <c r="BF93" s="3645"/>
      <c r="BG93" s="3645"/>
      <c r="BH93" s="3645"/>
      <c r="BI93" s="3645"/>
      <c r="BJ93" s="3645"/>
      <c r="BK93" s="3645"/>
      <c r="BL93" s="3646"/>
      <c r="BM93" s="3644"/>
      <c r="BN93" s="3645"/>
      <c r="BO93" s="3645"/>
      <c r="BP93" s="3645"/>
      <c r="BQ93" s="3645"/>
      <c r="BR93" s="3645"/>
      <c r="BS93" s="3645"/>
      <c r="BT93" s="3645"/>
      <c r="BU93" s="3645"/>
      <c r="BV93" s="3645"/>
      <c r="BW93" s="3645"/>
      <c r="BX93" s="3645"/>
      <c r="BY93" s="3645"/>
      <c r="BZ93" s="3645"/>
      <c r="CA93" s="3645"/>
      <c r="CB93" s="3645"/>
      <c r="CC93" s="3646"/>
      <c r="CD93" s="3644"/>
      <c r="CE93" s="3645"/>
      <c r="CF93" s="3645"/>
      <c r="CG93" s="3645"/>
      <c r="CH93" s="3645"/>
      <c r="CI93" s="3645"/>
      <c r="CJ93" s="3645"/>
      <c r="CK93" s="3645"/>
      <c r="CL93" s="3645"/>
      <c r="CM93" s="3645"/>
      <c r="CN93" s="3645"/>
      <c r="CO93" s="3645"/>
      <c r="CP93" s="3645"/>
      <c r="CQ93" s="3645"/>
      <c r="CR93" s="3645"/>
      <c r="CS93" s="3645"/>
      <c r="CT93" s="3646"/>
      <c r="CU93" s="3644"/>
      <c r="CV93" s="3645"/>
      <c r="CW93" s="3645"/>
      <c r="CX93" s="3645"/>
      <c r="CY93" s="3645"/>
      <c r="CZ93" s="3645"/>
      <c r="DA93" s="3645"/>
      <c r="DB93" s="3645"/>
      <c r="DC93" s="3645"/>
      <c r="DD93" s="3645"/>
      <c r="DE93" s="3645"/>
      <c r="DF93" s="3645"/>
      <c r="DG93" s="3645"/>
      <c r="DH93" s="3645"/>
      <c r="DI93" s="3645"/>
      <c r="DJ93" s="3645"/>
      <c r="DK93" s="3648"/>
      <c r="DL93" s="153"/>
      <c r="DM93" s="154"/>
      <c r="DN93" s="154"/>
    </row>
    <row r="94" spans="1:118" ht="6.75" customHeight="1">
      <c r="A94" s="146"/>
      <c r="B94" s="3607">
        <v>4</v>
      </c>
      <c r="C94" s="3608"/>
      <c r="D94" s="3650"/>
      <c r="E94" s="3651"/>
      <c r="F94" s="3651"/>
      <c r="G94" s="3651"/>
      <c r="H94" s="3651"/>
      <c r="I94" s="3651"/>
      <c r="J94" s="3651"/>
      <c r="K94" s="3651"/>
      <c r="L94" s="3651"/>
      <c r="M94" s="3651"/>
      <c r="N94" s="3651"/>
      <c r="O94" s="3651"/>
      <c r="P94" s="3651"/>
      <c r="Q94" s="3652"/>
      <c r="R94" s="3611"/>
      <c r="S94" s="3612"/>
      <c r="T94" s="3612"/>
      <c r="U94" s="3612"/>
      <c r="V94" s="3613"/>
      <c r="W94" s="3650"/>
      <c r="X94" s="3651"/>
      <c r="Y94" s="3651"/>
      <c r="Z94" s="3651"/>
      <c r="AA94" s="3651"/>
      <c r="AB94" s="3651"/>
      <c r="AC94" s="3651"/>
      <c r="AD94" s="3652"/>
      <c r="AE94" s="3557"/>
      <c r="AF94" s="3558"/>
      <c r="AG94" s="3558"/>
      <c r="AH94" s="3558"/>
      <c r="AI94" s="3558"/>
      <c r="AJ94" s="3558"/>
      <c r="AK94" s="3558"/>
      <c r="AL94" s="3558"/>
      <c r="AM94" s="3558"/>
      <c r="AN94" s="3558"/>
      <c r="AO94" s="3558"/>
      <c r="AP94" s="3558"/>
      <c r="AQ94" s="3558"/>
      <c r="AR94" s="3558"/>
      <c r="AS94" s="3558"/>
      <c r="AT94" s="3558"/>
      <c r="AU94" s="3558"/>
      <c r="AV94" s="3558"/>
      <c r="AW94" s="3558"/>
      <c r="AX94" s="3558"/>
      <c r="AY94" s="3559"/>
      <c r="AZ94" s="3557"/>
      <c r="BA94" s="3558"/>
      <c r="BB94" s="3558"/>
      <c r="BC94" s="3558"/>
      <c r="BD94" s="3558"/>
      <c r="BE94" s="3558"/>
      <c r="BF94" s="3558"/>
      <c r="BG94" s="3558"/>
      <c r="BH94" s="3558"/>
      <c r="BI94" s="3558"/>
      <c r="BJ94" s="3558"/>
      <c r="BK94" s="3558"/>
      <c r="BL94" s="3559"/>
      <c r="BM94" s="3557"/>
      <c r="BN94" s="3558"/>
      <c r="BO94" s="3558"/>
      <c r="BP94" s="3558"/>
      <c r="BQ94" s="3558"/>
      <c r="BR94" s="3558"/>
      <c r="BS94" s="3558"/>
      <c r="BT94" s="3558"/>
      <c r="BU94" s="3558"/>
      <c r="BV94" s="3558"/>
      <c r="BW94" s="3558"/>
      <c r="BX94" s="3558"/>
      <c r="BY94" s="3558"/>
      <c r="BZ94" s="3558"/>
      <c r="CA94" s="3558"/>
      <c r="CB94" s="3558"/>
      <c r="CC94" s="3559"/>
      <c r="CD94" s="3557"/>
      <c r="CE94" s="3558"/>
      <c r="CF94" s="3558"/>
      <c r="CG94" s="3558"/>
      <c r="CH94" s="3558"/>
      <c r="CI94" s="3558"/>
      <c r="CJ94" s="3558"/>
      <c r="CK94" s="3558"/>
      <c r="CL94" s="3558"/>
      <c r="CM94" s="3558"/>
      <c r="CN94" s="3558"/>
      <c r="CO94" s="3558"/>
      <c r="CP94" s="3558"/>
      <c r="CQ94" s="3558"/>
      <c r="CR94" s="3558"/>
      <c r="CS94" s="3558"/>
      <c r="CT94" s="3559"/>
      <c r="CU94" s="3557"/>
      <c r="CV94" s="3558"/>
      <c r="CW94" s="3558"/>
      <c r="CX94" s="3558"/>
      <c r="CY94" s="3558"/>
      <c r="CZ94" s="3558"/>
      <c r="DA94" s="3558"/>
      <c r="DB94" s="3558"/>
      <c r="DC94" s="3558"/>
      <c r="DD94" s="3558"/>
      <c r="DE94" s="3558"/>
      <c r="DF94" s="3558"/>
      <c r="DG94" s="3558"/>
      <c r="DH94" s="3558"/>
      <c r="DI94" s="3558"/>
      <c r="DJ94" s="3558"/>
      <c r="DK94" s="3649"/>
      <c r="DL94" s="153"/>
      <c r="DM94" s="154"/>
      <c r="DN94" s="154"/>
    </row>
    <row r="95" spans="1:118" ht="6.75" customHeight="1">
      <c r="A95" s="146"/>
      <c r="B95" s="3607"/>
      <c r="C95" s="3608"/>
      <c r="D95" s="3638"/>
      <c r="E95" s="3639"/>
      <c r="F95" s="3639"/>
      <c r="G95" s="3639"/>
      <c r="H95" s="3639"/>
      <c r="I95" s="3639"/>
      <c r="J95" s="3639"/>
      <c r="K95" s="3639"/>
      <c r="L95" s="3639"/>
      <c r="M95" s="3639"/>
      <c r="N95" s="3639"/>
      <c r="O95" s="3639"/>
      <c r="P95" s="3639"/>
      <c r="Q95" s="3640"/>
      <c r="R95" s="3611"/>
      <c r="S95" s="3612"/>
      <c r="T95" s="3612"/>
      <c r="U95" s="3612"/>
      <c r="V95" s="3613"/>
      <c r="W95" s="3638"/>
      <c r="X95" s="3639"/>
      <c r="Y95" s="3639"/>
      <c r="Z95" s="3639"/>
      <c r="AA95" s="3639"/>
      <c r="AB95" s="3639"/>
      <c r="AC95" s="3639"/>
      <c r="AD95" s="3640"/>
      <c r="AE95" s="3644"/>
      <c r="AF95" s="3645"/>
      <c r="AG95" s="3645"/>
      <c r="AH95" s="3645"/>
      <c r="AI95" s="3645"/>
      <c r="AJ95" s="3645"/>
      <c r="AK95" s="3645"/>
      <c r="AL95" s="3645"/>
      <c r="AM95" s="3645"/>
      <c r="AN95" s="3645"/>
      <c r="AO95" s="3645"/>
      <c r="AP95" s="3645"/>
      <c r="AQ95" s="3645"/>
      <c r="AR95" s="3645"/>
      <c r="AS95" s="3645"/>
      <c r="AT95" s="3645"/>
      <c r="AU95" s="3645"/>
      <c r="AV95" s="3645"/>
      <c r="AW95" s="3645"/>
      <c r="AX95" s="3645"/>
      <c r="AY95" s="3646"/>
      <c r="AZ95" s="3644"/>
      <c r="BA95" s="3645"/>
      <c r="BB95" s="3645"/>
      <c r="BC95" s="3645"/>
      <c r="BD95" s="3645"/>
      <c r="BE95" s="3645"/>
      <c r="BF95" s="3645"/>
      <c r="BG95" s="3645"/>
      <c r="BH95" s="3645"/>
      <c r="BI95" s="3645"/>
      <c r="BJ95" s="3645"/>
      <c r="BK95" s="3645"/>
      <c r="BL95" s="3646"/>
      <c r="BM95" s="3644"/>
      <c r="BN95" s="3645"/>
      <c r="BO95" s="3645"/>
      <c r="BP95" s="3645"/>
      <c r="BQ95" s="3645"/>
      <c r="BR95" s="3645"/>
      <c r="BS95" s="3645"/>
      <c r="BT95" s="3645"/>
      <c r="BU95" s="3645"/>
      <c r="BV95" s="3645"/>
      <c r="BW95" s="3645"/>
      <c r="BX95" s="3645"/>
      <c r="BY95" s="3645"/>
      <c r="BZ95" s="3645"/>
      <c r="CA95" s="3645"/>
      <c r="CB95" s="3645"/>
      <c r="CC95" s="3646"/>
      <c r="CD95" s="3644"/>
      <c r="CE95" s="3645"/>
      <c r="CF95" s="3645"/>
      <c r="CG95" s="3645"/>
      <c r="CH95" s="3645"/>
      <c r="CI95" s="3645"/>
      <c r="CJ95" s="3645"/>
      <c r="CK95" s="3645"/>
      <c r="CL95" s="3645"/>
      <c r="CM95" s="3645"/>
      <c r="CN95" s="3645"/>
      <c r="CO95" s="3645"/>
      <c r="CP95" s="3645"/>
      <c r="CQ95" s="3645"/>
      <c r="CR95" s="3645"/>
      <c r="CS95" s="3645"/>
      <c r="CT95" s="3646"/>
      <c r="CU95" s="3644"/>
      <c r="CV95" s="3645"/>
      <c r="CW95" s="3645"/>
      <c r="CX95" s="3645"/>
      <c r="CY95" s="3645"/>
      <c r="CZ95" s="3645"/>
      <c r="DA95" s="3645"/>
      <c r="DB95" s="3645"/>
      <c r="DC95" s="3645"/>
      <c r="DD95" s="3645"/>
      <c r="DE95" s="3645"/>
      <c r="DF95" s="3645"/>
      <c r="DG95" s="3645"/>
      <c r="DH95" s="3645"/>
      <c r="DI95" s="3645"/>
      <c r="DJ95" s="3645"/>
      <c r="DK95" s="3648"/>
      <c r="DL95" s="153"/>
      <c r="DM95" s="154"/>
      <c r="DN95" s="154"/>
    </row>
    <row r="96" spans="1:118" ht="6.75" customHeight="1">
      <c r="A96" s="146"/>
      <c r="B96" s="3607">
        <v>5</v>
      </c>
      <c r="C96" s="3608"/>
      <c r="D96" s="3650"/>
      <c r="E96" s="3651"/>
      <c r="F96" s="3651"/>
      <c r="G96" s="3651"/>
      <c r="H96" s="3651"/>
      <c r="I96" s="3651"/>
      <c r="J96" s="3651"/>
      <c r="K96" s="3651"/>
      <c r="L96" s="3651"/>
      <c r="M96" s="3651"/>
      <c r="N96" s="3651"/>
      <c r="O96" s="3651"/>
      <c r="P96" s="3651"/>
      <c r="Q96" s="3652"/>
      <c r="R96" s="3611"/>
      <c r="S96" s="3612"/>
      <c r="T96" s="3612"/>
      <c r="U96" s="3612"/>
      <c r="V96" s="3613"/>
      <c r="W96" s="3650"/>
      <c r="X96" s="3651"/>
      <c r="Y96" s="3651"/>
      <c r="Z96" s="3651"/>
      <c r="AA96" s="3651"/>
      <c r="AB96" s="3651"/>
      <c r="AC96" s="3651"/>
      <c r="AD96" s="3652"/>
      <c r="AE96" s="3557"/>
      <c r="AF96" s="3558"/>
      <c r="AG96" s="3558"/>
      <c r="AH96" s="3558"/>
      <c r="AI96" s="3558"/>
      <c r="AJ96" s="3558"/>
      <c r="AK96" s="3558"/>
      <c r="AL96" s="3558"/>
      <c r="AM96" s="3558"/>
      <c r="AN96" s="3558"/>
      <c r="AO96" s="3558"/>
      <c r="AP96" s="3558"/>
      <c r="AQ96" s="3558"/>
      <c r="AR96" s="3558"/>
      <c r="AS96" s="3558"/>
      <c r="AT96" s="3558"/>
      <c r="AU96" s="3558"/>
      <c r="AV96" s="3558"/>
      <c r="AW96" s="3558"/>
      <c r="AX96" s="3558"/>
      <c r="AY96" s="3559"/>
      <c r="AZ96" s="3557"/>
      <c r="BA96" s="3558"/>
      <c r="BB96" s="3558"/>
      <c r="BC96" s="3558"/>
      <c r="BD96" s="3558"/>
      <c r="BE96" s="3558"/>
      <c r="BF96" s="3558"/>
      <c r="BG96" s="3558"/>
      <c r="BH96" s="3558"/>
      <c r="BI96" s="3558"/>
      <c r="BJ96" s="3558"/>
      <c r="BK96" s="3558"/>
      <c r="BL96" s="3559"/>
      <c r="BM96" s="3557"/>
      <c r="BN96" s="3558"/>
      <c r="BO96" s="3558"/>
      <c r="BP96" s="3558"/>
      <c r="BQ96" s="3558"/>
      <c r="BR96" s="3558"/>
      <c r="BS96" s="3558"/>
      <c r="BT96" s="3558"/>
      <c r="BU96" s="3558"/>
      <c r="BV96" s="3558"/>
      <c r="BW96" s="3558"/>
      <c r="BX96" s="3558"/>
      <c r="BY96" s="3558"/>
      <c r="BZ96" s="3558"/>
      <c r="CA96" s="3558"/>
      <c r="CB96" s="3558"/>
      <c r="CC96" s="3559"/>
      <c r="CD96" s="3557"/>
      <c r="CE96" s="3558"/>
      <c r="CF96" s="3558"/>
      <c r="CG96" s="3558"/>
      <c r="CH96" s="3558"/>
      <c r="CI96" s="3558"/>
      <c r="CJ96" s="3558"/>
      <c r="CK96" s="3558"/>
      <c r="CL96" s="3558"/>
      <c r="CM96" s="3558"/>
      <c r="CN96" s="3558"/>
      <c r="CO96" s="3558"/>
      <c r="CP96" s="3558"/>
      <c r="CQ96" s="3558"/>
      <c r="CR96" s="3558"/>
      <c r="CS96" s="3558"/>
      <c r="CT96" s="3559"/>
      <c r="CU96" s="3557"/>
      <c r="CV96" s="3558"/>
      <c r="CW96" s="3558"/>
      <c r="CX96" s="3558"/>
      <c r="CY96" s="3558"/>
      <c r="CZ96" s="3558"/>
      <c r="DA96" s="3558"/>
      <c r="DB96" s="3558"/>
      <c r="DC96" s="3558"/>
      <c r="DD96" s="3558"/>
      <c r="DE96" s="3558"/>
      <c r="DF96" s="3558"/>
      <c r="DG96" s="3558"/>
      <c r="DH96" s="3558"/>
      <c r="DI96" s="3558"/>
      <c r="DJ96" s="3558"/>
      <c r="DK96" s="3649"/>
      <c r="DL96" s="153"/>
      <c r="DM96" s="154"/>
      <c r="DN96" s="154"/>
    </row>
    <row r="97" spans="1:143" ht="6.75" customHeight="1" thickBot="1">
      <c r="A97" s="146"/>
      <c r="B97" s="3609"/>
      <c r="C97" s="3610"/>
      <c r="D97" s="3614"/>
      <c r="E97" s="3615"/>
      <c r="F97" s="3615"/>
      <c r="G97" s="3615"/>
      <c r="H97" s="3615"/>
      <c r="I97" s="3615"/>
      <c r="J97" s="3615"/>
      <c r="K97" s="3615"/>
      <c r="L97" s="3615"/>
      <c r="M97" s="3615"/>
      <c r="N97" s="3615"/>
      <c r="O97" s="3615"/>
      <c r="P97" s="3615"/>
      <c r="Q97" s="3616"/>
      <c r="R97" s="3614"/>
      <c r="S97" s="3615"/>
      <c r="T97" s="3615"/>
      <c r="U97" s="3615"/>
      <c r="V97" s="3616"/>
      <c r="W97" s="3614"/>
      <c r="X97" s="3615"/>
      <c r="Y97" s="3615"/>
      <c r="Z97" s="3615"/>
      <c r="AA97" s="3615"/>
      <c r="AB97" s="3615"/>
      <c r="AC97" s="3615"/>
      <c r="AD97" s="3616"/>
      <c r="AE97" s="3560"/>
      <c r="AF97" s="3561"/>
      <c r="AG97" s="3561"/>
      <c r="AH97" s="3561"/>
      <c r="AI97" s="3561"/>
      <c r="AJ97" s="3561"/>
      <c r="AK97" s="3561"/>
      <c r="AL97" s="3561"/>
      <c r="AM97" s="3561"/>
      <c r="AN97" s="3561"/>
      <c r="AO97" s="3561"/>
      <c r="AP97" s="3561"/>
      <c r="AQ97" s="3561"/>
      <c r="AR97" s="3561"/>
      <c r="AS97" s="3561"/>
      <c r="AT97" s="3561"/>
      <c r="AU97" s="3561"/>
      <c r="AV97" s="3561"/>
      <c r="AW97" s="3561"/>
      <c r="AX97" s="3561"/>
      <c r="AY97" s="3562"/>
      <c r="AZ97" s="3560"/>
      <c r="BA97" s="3561"/>
      <c r="BB97" s="3561"/>
      <c r="BC97" s="3561"/>
      <c r="BD97" s="3561"/>
      <c r="BE97" s="3561"/>
      <c r="BF97" s="3561"/>
      <c r="BG97" s="3561"/>
      <c r="BH97" s="3561"/>
      <c r="BI97" s="3561"/>
      <c r="BJ97" s="3561"/>
      <c r="BK97" s="3561"/>
      <c r="BL97" s="3562"/>
      <c r="BM97" s="3560"/>
      <c r="BN97" s="3561"/>
      <c r="BO97" s="3561"/>
      <c r="BP97" s="3561"/>
      <c r="BQ97" s="3561"/>
      <c r="BR97" s="3561"/>
      <c r="BS97" s="3561"/>
      <c r="BT97" s="3561"/>
      <c r="BU97" s="3561"/>
      <c r="BV97" s="3561"/>
      <c r="BW97" s="3561"/>
      <c r="BX97" s="3561"/>
      <c r="BY97" s="3561"/>
      <c r="BZ97" s="3561"/>
      <c r="CA97" s="3561"/>
      <c r="CB97" s="3561"/>
      <c r="CC97" s="3562"/>
      <c r="CD97" s="3560"/>
      <c r="CE97" s="3561"/>
      <c r="CF97" s="3561"/>
      <c r="CG97" s="3561"/>
      <c r="CH97" s="3561"/>
      <c r="CI97" s="3561"/>
      <c r="CJ97" s="3561"/>
      <c r="CK97" s="3561"/>
      <c r="CL97" s="3561"/>
      <c r="CM97" s="3561"/>
      <c r="CN97" s="3561"/>
      <c r="CO97" s="3561"/>
      <c r="CP97" s="3561"/>
      <c r="CQ97" s="3561"/>
      <c r="CR97" s="3561"/>
      <c r="CS97" s="3561"/>
      <c r="CT97" s="3562"/>
      <c r="CU97" s="3560"/>
      <c r="CV97" s="3561"/>
      <c r="CW97" s="3561"/>
      <c r="CX97" s="3561"/>
      <c r="CY97" s="3561"/>
      <c r="CZ97" s="3561"/>
      <c r="DA97" s="3561"/>
      <c r="DB97" s="3561"/>
      <c r="DC97" s="3561"/>
      <c r="DD97" s="3561"/>
      <c r="DE97" s="3561"/>
      <c r="DF97" s="3561"/>
      <c r="DG97" s="3561"/>
      <c r="DH97" s="3561"/>
      <c r="DI97" s="3561"/>
      <c r="DJ97" s="3561"/>
      <c r="DK97" s="3727"/>
      <c r="DL97" s="153"/>
      <c r="DM97" s="154"/>
      <c r="DN97" s="154"/>
    </row>
    <row r="98" spans="1:143" ht="6.75" customHeight="1" thickTop="1" thickBot="1">
      <c r="A98" s="146"/>
      <c r="B98" s="149"/>
      <c r="C98" s="149"/>
      <c r="D98" s="149"/>
      <c r="E98" s="149"/>
      <c r="F98" s="149"/>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28"/>
      <c r="DL98" s="128"/>
    </row>
    <row r="99" spans="1:143" ht="6.75" customHeight="1" thickTop="1">
      <c r="A99" s="146"/>
      <c r="B99" s="3563" t="s">
        <v>280</v>
      </c>
      <c r="C99" s="3564"/>
      <c r="D99" s="3564"/>
      <c r="E99" s="3564"/>
      <c r="F99" s="3564"/>
      <c r="G99" s="3564"/>
      <c r="H99" s="3564"/>
      <c r="I99" s="3564"/>
      <c r="J99" s="3564"/>
      <c r="K99" s="3564"/>
      <c r="L99" s="3564"/>
      <c r="M99" s="3564"/>
      <c r="N99" s="3564"/>
      <c r="O99" s="3564"/>
      <c r="P99" s="3564"/>
      <c r="Q99" s="3564"/>
      <c r="R99" s="3564"/>
      <c r="S99" s="3564"/>
      <c r="T99" s="3564"/>
      <c r="U99" s="3564"/>
      <c r="V99" s="3564"/>
      <c r="W99" s="3564"/>
      <c r="X99" s="3564"/>
      <c r="Y99" s="3564"/>
      <c r="Z99" s="3564"/>
      <c r="AA99" s="3564"/>
      <c r="AB99" s="3564"/>
      <c r="AC99" s="3567" t="s">
        <v>281</v>
      </c>
      <c r="AD99" s="3567"/>
      <c r="AE99" s="3567"/>
      <c r="AF99" s="3567"/>
      <c r="AG99" s="3567"/>
      <c r="AH99" s="3567"/>
      <c r="AI99" s="3567"/>
      <c r="AJ99" s="3567"/>
      <c r="AK99" s="3567"/>
      <c r="AL99" s="3567"/>
      <c r="AM99" s="3567"/>
      <c r="AN99" s="3567"/>
      <c r="AO99" s="3567"/>
      <c r="AP99" s="3567"/>
      <c r="AQ99" s="3567"/>
      <c r="AR99" s="3567"/>
      <c r="AS99" s="3567"/>
      <c r="AT99" s="3567"/>
      <c r="AU99" s="3567"/>
      <c r="AV99" s="3567"/>
      <c r="AW99" s="3567"/>
      <c r="AX99" s="3567"/>
      <c r="AY99" s="3567"/>
      <c r="AZ99" s="3567"/>
      <c r="BA99" s="3567"/>
      <c r="BB99" s="3567"/>
      <c r="BC99" s="3567"/>
      <c r="BD99" s="3567"/>
      <c r="BE99" s="3567"/>
      <c r="BF99" s="3567"/>
      <c r="BG99" s="3567"/>
      <c r="BH99" s="3567"/>
      <c r="BI99" s="3567"/>
      <c r="BJ99" s="3567"/>
      <c r="BK99" s="3567"/>
      <c r="BL99" s="3567"/>
      <c r="BM99" s="3567"/>
      <c r="BN99" s="3567"/>
      <c r="BO99" s="3567"/>
      <c r="BP99" s="3567"/>
      <c r="BQ99" s="3567"/>
      <c r="BR99" s="3567"/>
      <c r="BS99" s="3567"/>
      <c r="BT99" s="3567"/>
      <c r="BU99" s="3567"/>
      <c r="BV99" s="3567"/>
      <c r="BW99" s="3567"/>
      <c r="BX99" s="3567"/>
      <c r="BY99" s="3567"/>
      <c r="BZ99" s="3567"/>
      <c r="CA99" s="3567"/>
      <c r="CB99" s="3567"/>
      <c r="CC99" s="3567"/>
      <c r="CD99" s="3567"/>
      <c r="CE99" s="3567"/>
      <c r="CF99" s="3567"/>
      <c r="CG99" s="3567"/>
      <c r="CH99" s="3567"/>
      <c r="CI99" s="3567"/>
      <c r="CJ99" s="3567"/>
      <c r="CK99" s="3567"/>
      <c r="CL99" s="3567"/>
      <c r="CM99" s="3567"/>
      <c r="CN99" s="3567"/>
      <c r="CO99" s="3567"/>
      <c r="CP99" s="3567"/>
      <c r="CQ99" s="3567"/>
      <c r="CR99" s="3567"/>
      <c r="CS99" s="3567"/>
      <c r="CT99" s="3567"/>
      <c r="CU99" s="3567"/>
      <c r="CV99" s="3567"/>
      <c r="CW99" s="3567"/>
      <c r="CX99" s="3567"/>
      <c r="CY99" s="3567"/>
      <c r="CZ99" s="3567"/>
      <c r="DA99" s="3567"/>
      <c r="DB99" s="3567"/>
      <c r="DC99" s="3567"/>
      <c r="DD99" s="3567"/>
      <c r="DE99" s="3567"/>
      <c r="DF99" s="3567"/>
      <c r="DG99" s="3567"/>
      <c r="DH99" s="3567"/>
      <c r="DI99" s="3567"/>
      <c r="DJ99" s="3567"/>
      <c r="DK99" s="3568"/>
      <c r="DL99" s="155"/>
      <c r="DM99" s="156"/>
      <c r="DN99" s="156"/>
      <c r="DO99" s="156"/>
      <c r="DP99" s="156"/>
      <c r="DQ99" s="156"/>
    </row>
    <row r="100" spans="1:143" ht="6.75" customHeight="1" thickBot="1">
      <c r="A100" s="146"/>
      <c r="B100" s="3565"/>
      <c r="C100" s="3566"/>
      <c r="D100" s="3566"/>
      <c r="E100" s="3566"/>
      <c r="F100" s="3566"/>
      <c r="G100" s="3566"/>
      <c r="H100" s="3566"/>
      <c r="I100" s="3566"/>
      <c r="J100" s="3566"/>
      <c r="K100" s="3566"/>
      <c r="L100" s="3566"/>
      <c r="M100" s="3566"/>
      <c r="N100" s="3566"/>
      <c r="O100" s="3566"/>
      <c r="P100" s="3566"/>
      <c r="Q100" s="3566"/>
      <c r="R100" s="3566"/>
      <c r="S100" s="3566"/>
      <c r="T100" s="3566"/>
      <c r="U100" s="3566"/>
      <c r="V100" s="3566"/>
      <c r="W100" s="3566"/>
      <c r="X100" s="3566"/>
      <c r="Y100" s="3566"/>
      <c r="Z100" s="3566"/>
      <c r="AA100" s="3566"/>
      <c r="AB100" s="3566"/>
      <c r="AC100" s="3569"/>
      <c r="AD100" s="3569"/>
      <c r="AE100" s="3569"/>
      <c r="AF100" s="3569"/>
      <c r="AG100" s="3569"/>
      <c r="AH100" s="3569"/>
      <c r="AI100" s="3569"/>
      <c r="AJ100" s="3569"/>
      <c r="AK100" s="3569"/>
      <c r="AL100" s="3569"/>
      <c r="AM100" s="3569"/>
      <c r="AN100" s="3569"/>
      <c r="AO100" s="3569"/>
      <c r="AP100" s="3569"/>
      <c r="AQ100" s="3569"/>
      <c r="AR100" s="3569"/>
      <c r="AS100" s="3569"/>
      <c r="AT100" s="3569"/>
      <c r="AU100" s="3569"/>
      <c r="AV100" s="3569"/>
      <c r="AW100" s="3569"/>
      <c r="AX100" s="3569"/>
      <c r="AY100" s="3569"/>
      <c r="AZ100" s="3569"/>
      <c r="BA100" s="3569"/>
      <c r="BB100" s="3569"/>
      <c r="BC100" s="3569"/>
      <c r="BD100" s="3569"/>
      <c r="BE100" s="3569"/>
      <c r="BF100" s="3569"/>
      <c r="BG100" s="3569"/>
      <c r="BH100" s="3569"/>
      <c r="BI100" s="3569"/>
      <c r="BJ100" s="3569"/>
      <c r="BK100" s="3569"/>
      <c r="BL100" s="3569"/>
      <c r="BM100" s="3569"/>
      <c r="BN100" s="3569"/>
      <c r="BO100" s="3569"/>
      <c r="BP100" s="3569"/>
      <c r="BQ100" s="3569"/>
      <c r="BR100" s="3569"/>
      <c r="BS100" s="3569"/>
      <c r="BT100" s="3569"/>
      <c r="BU100" s="3569"/>
      <c r="BV100" s="3569"/>
      <c r="BW100" s="3569"/>
      <c r="BX100" s="3569"/>
      <c r="BY100" s="3569"/>
      <c r="BZ100" s="3569"/>
      <c r="CA100" s="3569"/>
      <c r="CB100" s="3569"/>
      <c r="CC100" s="3569"/>
      <c r="CD100" s="3569"/>
      <c r="CE100" s="3569"/>
      <c r="CF100" s="3569"/>
      <c r="CG100" s="3569"/>
      <c r="CH100" s="3569"/>
      <c r="CI100" s="3569"/>
      <c r="CJ100" s="3569"/>
      <c r="CK100" s="3569"/>
      <c r="CL100" s="3569"/>
      <c r="CM100" s="3569"/>
      <c r="CN100" s="3569"/>
      <c r="CO100" s="3569"/>
      <c r="CP100" s="3569"/>
      <c r="CQ100" s="3569"/>
      <c r="CR100" s="3569"/>
      <c r="CS100" s="3569"/>
      <c r="CT100" s="3569"/>
      <c r="CU100" s="3569"/>
      <c r="CV100" s="3569"/>
      <c r="CW100" s="3569"/>
      <c r="CX100" s="3569"/>
      <c r="CY100" s="3569"/>
      <c r="CZ100" s="3569"/>
      <c r="DA100" s="3569"/>
      <c r="DB100" s="3569"/>
      <c r="DC100" s="3569"/>
      <c r="DD100" s="3569"/>
      <c r="DE100" s="3569"/>
      <c r="DF100" s="3569"/>
      <c r="DG100" s="3569"/>
      <c r="DH100" s="3569"/>
      <c r="DI100" s="3569"/>
      <c r="DJ100" s="3569"/>
      <c r="DK100" s="3570"/>
      <c r="DL100" s="155"/>
      <c r="DM100" s="156"/>
      <c r="DN100" s="156"/>
      <c r="DO100" s="156"/>
      <c r="DP100" s="156"/>
      <c r="DQ100" s="156"/>
    </row>
    <row r="101" spans="1:143" ht="6.75" customHeight="1">
      <c r="A101" s="146"/>
      <c r="B101" s="3571" t="s">
        <v>269</v>
      </c>
      <c r="C101" s="3572"/>
      <c r="D101" s="3577" t="s">
        <v>270</v>
      </c>
      <c r="E101" s="3578"/>
      <c r="F101" s="3578"/>
      <c r="G101" s="3578"/>
      <c r="H101" s="3578"/>
      <c r="I101" s="3578"/>
      <c r="J101" s="3578"/>
      <c r="K101" s="3579"/>
      <c r="L101" s="3577" t="s">
        <v>284</v>
      </c>
      <c r="M101" s="3578"/>
      <c r="N101" s="3578"/>
      <c r="O101" s="3578"/>
      <c r="P101" s="3578"/>
      <c r="Q101" s="3578"/>
      <c r="R101" s="3578"/>
      <c r="S101" s="3578"/>
      <c r="T101" s="3578"/>
      <c r="U101" s="3578"/>
      <c r="V101" s="3578"/>
      <c r="W101" s="3578"/>
      <c r="X101" s="3578"/>
      <c r="Y101" s="3578"/>
      <c r="Z101" s="3578"/>
      <c r="AA101" s="3578"/>
      <c r="AB101" s="3578"/>
      <c r="AC101" s="3578"/>
      <c r="AD101" s="3578"/>
      <c r="AE101" s="3578"/>
      <c r="AF101" s="3579"/>
      <c r="AG101" s="3586" t="s">
        <v>285</v>
      </c>
      <c r="AH101" s="3587"/>
      <c r="AI101" s="3587"/>
      <c r="AJ101" s="3587"/>
      <c r="AK101" s="3588"/>
      <c r="AL101" s="3586" t="s">
        <v>286</v>
      </c>
      <c r="AM101" s="3587"/>
      <c r="AN101" s="3587"/>
      <c r="AO101" s="3587"/>
      <c r="AP101" s="3587"/>
      <c r="AQ101" s="3587"/>
      <c r="AR101" s="3587"/>
      <c r="AS101" s="3587"/>
      <c r="AT101" s="3587"/>
      <c r="AU101" s="3587"/>
      <c r="AV101" s="3587"/>
      <c r="AW101" s="3587"/>
      <c r="AX101" s="3587"/>
      <c r="AY101" s="3587"/>
      <c r="AZ101" s="3587"/>
      <c r="BA101" s="3587"/>
      <c r="BB101" s="3587"/>
      <c r="BC101" s="3587"/>
      <c r="BD101" s="3587"/>
      <c r="BE101" s="3587"/>
      <c r="BF101" s="3587"/>
      <c r="BG101" s="3587"/>
      <c r="BH101" s="3587"/>
      <c r="BI101" s="3588"/>
      <c r="BJ101" s="3577" t="s">
        <v>287</v>
      </c>
      <c r="BK101" s="3578"/>
      <c r="BL101" s="3578"/>
      <c r="BM101" s="3578"/>
      <c r="BN101" s="3578"/>
      <c r="BO101" s="3579"/>
      <c r="BP101" s="3601" t="s">
        <v>288</v>
      </c>
      <c r="BQ101" s="3602"/>
      <c r="BR101" s="3602"/>
      <c r="BS101" s="3602"/>
      <c r="BT101" s="3602"/>
      <c r="BU101" s="3602"/>
      <c r="BV101" s="3602"/>
      <c r="BW101" s="3602"/>
      <c r="BX101" s="3602"/>
      <c r="BY101" s="3602"/>
      <c r="BZ101" s="3602"/>
      <c r="CA101" s="3602"/>
      <c r="CB101" s="3602"/>
      <c r="CC101" s="3602"/>
      <c r="CD101" s="3602"/>
      <c r="CE101" s="3602"/>
      <c r="CF101" s="3602"/>
      <c r="CG101" s="3603"/>
      <c r="CH101" s="3617" t="s">
        <v>289</v>
      </c>
      <c r="CI101" s="3618"/>
      <c r="CJ101" s="3618"/>
      <c r="CK101" s="3618"/>
      <c r="CL101" s="3619"/>
      <c r="CM101" s="3548" t="s">
        <v>290</v>
      </c>
      <c r="CN101" s="3549"/>
      <c r="CO101" s="3549"/>
      <c r="CP101" s="3549"/>
      <c r="CQ101" s="3549"/>
      <c r="CR101" s="3549"/>
      <c r="CS101" s="3549"/>
      <c r="CT101" s="3549"/>
      <c r="CU101" s="3549"/>
      <c r="CV101" s="3549"/>
      <c r="CW101" s="3549"/>
      <c r="CX101" s="3549"/>
      <c r="CY101" s="3549"/>
      <c r="CZ101" s="3549"/>
      <c r="DA101" s="3549"/>
      <c r="DB101" s="3549"/>
      <c r="DC101" s="3549"/>
      <c r="DD101" s="3549"/>
      <c r="DE101" s="3549"/>
      <c r="DF101" s="3549"/>
      <c r="DG101" s="3549"/>
      <c r="DH101" s="3549"/>
      <c r="DI101" s="3549"/>
      <c r="DJ101" s="3549"/>
      <c r="DK101" s="3550"/>
      <c r="DL101" s="156"/>
      <c r="DM101" s="156"/>
      <c r="DN101" s="156"/>
      <c r="DO101" s="156"/>
      <c r="DP101" s="157"/>
      <c r="DQ101" s="147"/>
    </row>
    <row r="102" spans="1:143" ht="6.75" customHeight="1">
      <c r="A102" s="146"/>
      <c r="B102" s="3573"/>
      <c r="C102" s="3574"/>
      <c r="D102" s="3580"/>
      <c r="E102" s="3581"/>
      <c r="F102" s="3581"/>
      <c r="G102" s="3581"/>
      <c r="H102" s="3581"/>
      <c r="I102" s="3581"/>
      <c r="J102" s="3581"/>
      <c r="K102" s="3582"/>
      <c r="L102" s="3580"/>
      <c r="M102" s="3581"/>
      <c r="N102" s="3581"/>
      <c r="O102" s="3581"/>
      <c r="P102" s="3581"/>
      <c r="Q102" s="3581"/>
      <c r="R102" s="3581"/>
      <c r="S102" s="3581"/>
      <c r="T102" s="3581"/>
      <c r="U102" s="3581"/>
      <c r="V102" s="3581"/>
      <c r="W102" s="3581"/>
      <c r="X102" s="3581"/>
      <c r="Y102" s="3581"/>
      <c r="Z102" s="3581"/>
      <c r="AA102" s="3581"/>
      <c r="AB102" s="3581"/>
      <c r="AC102" s="3581"/>
      <c r="AD102" s="3581"/>
      <c r="AE102" s="3581"/>
      <c r="AF102" s="3582"/>
      <c r="AG102" s="3589"/>
      <c r="AH102" s="3590"/>
      <c r="AI102" s="3590"/>
      <c r="AJ102" s="3590"/>
      <c r="AK102" s="3591"/>
      <c r="AL102" s="3589"/>
      <c r="AM102" s="3590"/>
      <c r="AN102" s="3590"/>
      <c r="AO102" s="3590"/>
      <c r="AP102" s="3590"/>
      <c r="AQ102" s="3590"/>
      <c r="AR102" s="3590"/>
      <c r="AS102" s="3590"/>
      <c r="AT102" s="3590"/>
      <c r="AU102" s="3590"/>
      <c r="AV102" s="3590"/>
      <c r="AW102" s="3590"/>
      <c r="AX102" s="3590"/>
      <c r="AY102" s="3590"/>
      <c r="AZ102" s="3590"/>
      <c r="BA102" s="3590"/>
      <c r="BB102" s="3590"/>
      <c r="BC102" s="3590"/>
      <c r="BD102" s="3590"/>
      <c r="BE102" s="3590"/>
      <c r="BF102" s="3590"/>
      <c r="BG102" s="3590"/>
      <c r="BH102" s="3590"/>
      <c r="BI102" s="3591"/>
      <c r="BJ102" s="3580"/>
      <c r="BK102" s="3581"/>
      <c r="BL102" s="3581"/>
      <c r="BM102" s="3581"/>
      <c r="BN102" s="3581"/>
      <c r="BO102" s="3582"/>
      <c r="BP102" s="3604"/>
      <c r="BQ102" s="3605"/>
      <c r="BR102" s="3605"/>
      <c r="BS102" s="3605"/>
      <c r="BT102" s="3605"/>
      <c r="BU102" s="3605"/>
      <c r="BV102" s="3605"/>
      <c r="BW102" s="3605"/>
      <c r="BX102" s="3605"/>
      <c r="BY102" s="3605"/>
      <c r="BZ102" s="3605"/>
      <c r="CA102" s="3605"/>
      <c r="CB102" s="3605"/>
      <c r="CC102" s="3605"/>
      <c r="CD102" s="3605"/>
      <c r="CE102" s="3605"/>
      <c r="CF102" s="3605"/>
      <c r="CG102" s="3606"/>
      <c r="CH102" s="3620"/>
      <c r="CI102" s="3621"/>
      <c r="CJ102" s="3621"/>
      <c r="CK102" s="3621"/>
      <c r="CL102" s="3622"/>
      <c r="CM102" s="3551"/>
      <c r="CN102" s="3552"/>
      <c r="CO102" s="3552"/>
      <c r="CP102" s="3552"/>
      <c r="CQ102" s="3552"/>
      <c r="CR102" s="3552"/>
      <c r="CS102" s="3552"/>
      <c r="CT102" s="3552"/>
      <c r="CU102" s="3552"/>
      <c r="CV102" s="3552"/>
      <c r="CW102" s="3552"/>
      <c r="CX102" s="3552"/>
      <c r="CY102" s="3552"/>
      <c r="CZ102" s="3552"/>
      <c r="DA102" s="3552"/>
      <c r="DB102" s="3552"/>
      <c r="DC102" s="3552"/>
      <c r="DD102" s="3552"/>
      <c r="DE102" s="3552"/>
      <c r="DF102" s="3552"/>
      <c r="DG102" s="3552"/>
      <c r="DH102" s="3552"/>
      <c r="DI102" s="3552"/>
      <c r="DJ102" s="3552"/>
      <c r="DK102" s="3553"/>
      <c r="DL102" s="156"/>
      <c r="DM102" s="156"/>
      <c r="DN102" s="156"/>
      <c r="DO102" s="156"/>
      <c r="DP102" s="157"/>
      <c r="DQ102" s="147"/>
    </row>
    <row r="103" spans="1:143" ht="6.75" customHeight="1">
      <c r="A103" s="146"/>
      <c r="B103" s="3573"/>
      <c r="C103" s="3574"/>
      <c r="D103" s="3580"/>
      <c r="E103" s="3581"/>
      <c r="F103" s="3581"/>
      <c r="G103" s="3581"/>
      <c r="H103" s="3581"/>
      <c r="I103" s="3581"/>
      <c r="J103" s="3581"/>
      <c r="K103" s="3582"/>
      <c r="L103" s="3580"/>
      <c r="M103" s="3581"/>
      <c r="N103" s="3581"/>
      <c r="O103" s="3581"/>
      <c r="P103" s="3581"/>
      <c r="Q103" s="3581"/>
      <c r="R103" s="3581"/>
      <c r="S103" s="3581"/>
      <c r="T103" s="3581"/>
      <c r="U103" s="3581"/>
      <c r="V103" s="3581"/>
      <c r="W103" s="3581"/>
      <c r="X103" s="3581"/>
      <c r="Y103" s="3581"/>
      <c r="Z103" s="3581"/>
      <c r="AA103" s="3581"/>
      <c r="AB103" s="3581"/>
      <c r="AC103" s="3581"/>
      <c r="AD103" s="3581"/>
      <c r="AE103" s="3581"/>
      <c r="AF103" s="3582"/>
      <c r="AG103" s="3589"/>
      <c r="AH103" s="3590"/>
      <c r="AI103" s="3590"/>
      <c r="AJ103" s="3590"/>
      <c r="AK103" s="3591"/>
      <c r="AL103" s="3589"/>
      <c r="AM103" s="3590"/>
      <c r="AN103" s="3590"/>
      <c r="AO103" s="3590"/>
      <c r="AP103" s="3590"/>
      <c r="AQ103" s="3590"/>
      <c r="AR103" s="3590"/>
      <c r="AS103" s="3590"/>
      <c r="AT103" s="3590"/>
      <c r="AU103" s="3590"/>
      <c r="AV103" s="3590"/>
      <c r="AW103" s="3590"/>
      <c r="AX103" s="3590"/>
      <c r="AY103" s="3590"/>
      <c r="AZ103" s="3590"/>
      <c r="BA103" s="3590"/>
      <c r="BB103" s="3590"/>
      <c r="BC103" s="3590"/>
      <c r="BD103" s="3590"/>
      <c r="BE103" s="3590"/>
      <c r="BF103" s="3590"/>
      <c r="BG103" s="3590"/>
      <c r="BH103" s="3590"/>
      <c r="BI103" s="3591"/>
      <c r="BJ103" s="3580"/>
      <c r="BK103" s="3581"/>
      <c r="BL103" s="3581"/>
      <c r="BM103" s="3581"/>
      <c r="BN103" s="3581"/>
      <c r="BO103" s="3582"/>
      <c r="BP103" s="3595" t="s">
        <v>291</v>
      </c>
      <c r="BQ103" s="3596"/>
      <c r="BR103" s="3596"/>
      <c r="BS103" s="3596"/>
      <c r="BT103" s="3596"/>
      <c r="BU103" s="3596"/>
      <c r="BV103" s="3596"/>
      <c r="BW103" s="3596"/>
      <c r="BX103" s="3596"/>
      <c r="BY103" s="3596"/>
      <c r="BZ103" s="3596"/>
      <c r="CA103" s="3596"/>
      <c r="CB103" s="3596"/>
      <c r="CC103" s="3596"/>
      <c r="CD103" s="3596"/>
      <c r="CE103" s="3596"/>
      <c r="CF103" s="3596"/>
      <c r="CG103" s="3597"/>
      <c r="CH103" s="3620"/>
      <c r="CI103" s="3621"/>
      <c r="CJ103" s="3621"/>
      <c r="CK103" s="3621"/>
      <c r="CL103" s="3622"/>
      <c r="CM103" s="3551"/>
      <c r="CN103" s="3552"/>
      <c r="CO103" s="3552"/>
      <c r="CP103" s="3552"/>
      <c r="CQ103" s="3552"/>
      <c r="CR103" s="3552"/>
      <c r="CS103" s="3552"/>
      <c r="CT103" s="3552"/>
      <c r="CU103" s="3552"/>
      <c r="CV103" s="3552"/>
      <c r="CW103" s="3552"/>
      <c r="CX103" s="3552"/>
      <c r="CY103" s="3552"/>
      <c r="CZ103" s="3552"/>
      <c r="DA103" s="3552"/>
      <c r="DB103" s="3552"/>
      <c r="DC103" s="3552"/>
      <c r="DD103" s="3552"/>
      <c r="DE103" s="3552"/>
      <c r="DF103" s="3552"/>
      <c r="DG103" s="3552"/>
      <c r="DH103" s="3552"/>
      <c r="DI103" s="3552"/>
      <c r="DJ103" s="3552"/>
      <c r="DK103" s="3553"/>
      <c r="DL103" s="156"/>
      <c r="DM103" s="156"/>
      <c r="DN103" s="156"/>
      <c r="DO103" s="156"/>
      <c r="DP103" s="157"/>
      <c r="DQ103" s="147"/>
    </row>
    <row r="104" spans="1:143" ht="6.75" customHeight="1">
      <c r="A104" s="146"/>
      <c r="B104" s="3575"/>
      <c r="C104" s="3576"/>
      <c r="D104" s="3583"/>
      <c r="E104" s="3584"/>
      <c r="F104" s="3584"/>
      <c r="G104" s="3584"/>
      <c r="H104" s="3584"/>
      <c r="I104" s="3584"/>
      <c r="J104" s="3584"/>
      <c r="K104" s="3585"/>
      <c r="L104" s="3583"/>
      <c r="M104" s="3584"/>
      <c r="N104" s="3584"/>
      <c r="O104" s="3584"/>
      <c r="P104" s="3584"/>
      <c r="Q104" s="3584"/>
      <c r="R104" s="3584"/>
      <c r="S104" s="3584"/>
      <c r="T104" s="3584"/>
      <c r="U104" s="3584"/>
      <c r="V104" s="3584"/>
      <c r="W104" s="3584"/>
      <c r="X104" s="3584"/>
      <c r="Y104" s="3584"/>
      <c r="Z104" s="3584"/>
      <c r="AA104" s="3584"/>
      <c r="AB104" s="3584"/>
      <c r="AC104" s="3584"/>
      <c r="AD104" s="3584"/>
      <c r="AE104" s="3584"/>
      <c r="AF104" s="3585"/>
      <c r="AG104" s="3592"/>
      <c r="AH104" s="3593"/>
      <c r="AI104" s="3593"/>
      <c r="AJ104" s="3593"/>
      <c r="AK104" s="3594"/>
      <c r="AL104" s="3592"/>
      <c r="AM104" s="3593"/>
      <c r="AN104" s="3593"/>
      <c r="AO104" s="3593"/>
      <c r="AP104" s="3593"/>
      <c r="AQ104" s="3593"/>
      <c r="AR104" s="3593"/>
      <c r="AS104" s="3593"/>
      <c r="AT104" s="3593"/>
      <c r="AU104" s="3593"/>
      <c r="AV104" s="3593"/>
      <c r="AW104" s="3593"/>
      <c r="AX104" s="3593"/>
      <c r="AY104" s="3593"/>
      <c r="AZ104" s="3593"/>
      <c r="BA104" s="3593"/>
      <c r="BB104" s="3593"/>
      <c r="BC104" s="3593"/>
      <c r="BD104" s="3593"/>
      <c r="BE104" s="3593"/>
      <c r="BF104" s="3593"/>
      <c r="BG104" s="3593"/>
      <c r="BH104" s="3593"/>
      <c r="BI104" s="3594"/>
      <c r="BJ104" s="3583"/>
      <c r="BK104" s="3584"/>
      <c r="BL104" s="3584"/>
      <c r="BM104" s="3584"/>
      <c r="BN104" s="3584"/>
      <c r="BO104" s="3585"/>
      <c r="BP104" s="3598"/>
      <c r="BQ104" s="3599"/>
      <c r="BR104" s="3599"/>
      <c r="BS104" s="3599"/>
      <c r="BT104" s="3599"/>
      <c r="BU104" s="3599"/>
      <c r="BV104" s="3599"/>
      <c r="BW104" s="3599"/>
      <c r="BX104" s="3599"/>
      <c r="BY104" s="3599"/>
      <c r="BZ104" s="3599"/>
      <c r="CA104" s="3599"/>
      <c r="CB104" s="3599"/>
      <c r="CC104" s="3599"/>
      <c r="CD104" s="3599"/>
      <c r="CE104" s="3599"/>
      <c r="CF104" s="3599"/>
      <c r="CG104" s="3600"/>
      <c r="CH104" s="3623"/>
      <c r="CI104" s="3624"/>
      <c r="CJ104" s="3624"/>
      <c r="CK104" s="3624"/>
      <c r="CL104" s="3625"/>
      <c r="CM104" s="3554"/>
      <c r="CN104" s="3555"/>
      <c r="CO104" s="3555"/>
      <c r="CP104" s="3555"/>
      <c r="CQ104" s="3555"/>
      <c r="CR104" s="3555"/>
      <c r="CS104" s="3555"/>
      <c r="CT104" s="3555"/>
      <c r="CU104" s="3555"/>
      <c r="CV104" s="3555"/>
      <c r="CW104" s="3555"/>
      <c r="CX104" s="3555"/>
      <c r="CY104" s="3555"/>
      <c r="CZ104" s="3555"/>
      <c r="DA104" s="3555"/>
      <c r="DB104" s="3555"/>
      <c r="DC104" s="3555"/>
      <c r="DD104" s="3555"/>
      <c r="DE104" s="3555"/>
      <c r="DF104" s="3555"/>
      <c r="DG104" s="3555"/>
      <c r="DH104" s="3555"/>
      <c r="DI104" s="3555"/>
      <c r="DJ104" s="3555"/>
      <c r="DK104" s="3556"/>
      <c r="DL104" s="156"/>
      <c r="DM104" s="156"/>
      <c r="DN104" s="156"/>
      <c r="DO104" s="156"/>
      <c r="DP104" s="157"/>
      <c r="DQ104" s="147"/>
      <c r="DR104" s="147"/>
      <c r="DS104" s="147"/>
      <c r="DT104" s="147"/>
      <c r="DU104" s="147"/>
      <c r="DV104" s="147"/>
      <c r="DW104" s="147"/>
      <c r="DX104" s="147"/>
      <c r="DY104" s="147"/>
      <c r="DZ104" s="147"/>
      <c r="EA104" s="147"/>
      <c r="EB104" s="147"/>
      <c r="EC104" s="147"/>
      <c r="ED104" s="147"/>
      <c r="EE104" s="147"/>
      <c r="EF104" s="147"/>
      <c r="EG104" s="147"/>
    </row>
    <row r="105" spans="1:143" ht="6.75" customHeight="1">
      <c r="A105" s="146"/>
      <c r="B105" s="3700" t="s">
        <v>277</v>
      </c>
      <c r="C105" s="3701"/>
      <c r="D105" s="3673" t="str">
        <f>IF(ISBLANK(D86),"",D86)</f>
        <v>SPA_4000_M6</v>
      </c>
      <c r="E105" s="3674"/>
      <c r="F105" s="3674"/>
      <c r="G105" s="3674"/>
      <c r="H105" s="3674"/>
      <c r="I105" s="3674"/>
      <c r="J105" s="3674"/>
      <c r="K105" s="3677"/>
      <c r="L105" s="3673" t="s">
        <v>292</v>
      </c>
      <c r="M105" s="3674"/>
      <c r="N105" s="3674"/>
      <c r="O105" s="3674"/>
      <c r="P105" s="3674"/>
      <c r="Q105" s="3674"/>
      <c r="R105" s="3674"/>
      <c r="S105" s="3674"/>
      <c r="T105" s="3674"/>
      <c r="U105" s="3674"/>
      <c r="V105" s="3677"/>
      <c r="W105" s="3673" t="s">
        <v>1354</v>
      </c>
      <c r="X105" s="3674"/>
      <c r="Y105" s="3674"/>
      <c r="Z105" s="3674"/>
      <c r="AA105" s="3674"/>
      <c r="AB105" s="3674"/>
      <c r="AC105" s="3674"/>
      <c r="AD105" s="3674"/>
      <c r="AE105" s="3674"/>
      <c r="AF105" s="3677"/>
      <c r="AG105" s="3673" t="s">
        <v>293</v>
      </c>
      <c r="AH105" s="3674"/>
      <c r="AI105" s="3674"/>
      <c r="AJ105" s="3674"/>
      <c r="AK105" s="3677"/>
      <c r="AL105" s="3770" t="s">
        <v>294</v>
      </c>
      <c r="AM105" s="3771"/>
      <c r="AN105" s="3771"/>
      <c r="AO105" s="3771"/>
      <c r="AP105" s="3771"/>
      <c r="AQ105" s="3771"/>
      <c r="AR105" s="3771"/>
      <c r="AS105" s="3771"/>
      <c r="AT105" s="3771"/>
      <c r="AU105" s="3771"/>
      <c r="AV105" s="3771"/>
      <c r="AW105" s="3771"/>
      <c r="AX105" s="3771"/>
      <c r="AY105" s="3771"/>
      <c r="AZ105" s="3771"/>
      <c r="BA105" s="3771"/>
      <c r="BB105" s="3771"/>
      <c r="BC105" s="3771"/>
      <c r="BD105" s="3771"/>
      <c r="BE105" s="3771"/>
      <c r="BF105" s="3771"/>
      <c r="BG105" s="3771"/>
      <c r="BH105" s="3771"/>
      <c r="BI105" s="3772"/>
      <c r="BJ105" s="3756" t="s">
        <v>295</v>
      </c>
      <c r="BK105" s="3757"/>
      <c r="BL105" s="3757"/>
      <c r="BM105" s="3757"/>
      <c r="BN105" s="3757"/>
      <c r="BO105" s="3758"/>
      <c r="BP105" s="3762">
        <v>20</v>
      </c>
      <c r="BQ105" s="3763"/>
      <c r="BR105" s="3763"/>
      <c r="BS105" s="3766">
        <v>23</v>
      </c>
      <c r="BT105" s="3766"/>
      <c r="BU105" s="3766"/>
      <c r="BV105" s="3733" t="s">
        <v>0</v>
      </c>
      <c r="BW105" s="3733"/>
      <c r="BX105" s="3768">
        <v>4</v>
      </c>
      <c r="BY105" s="3768"/>
      <c r="BZ105" s="3768"/>
      <c r="CA105" s="3733" t="s">
        <v>1</v>
      </c>
      <c r="CB105" s="3733"/>
      <c r="CC105" s="3768">
        <v>1</v>
      </c>
      <c r="CD105" s="3768"/>
      <c r="CE105" s="3768"/>
      <c r="CF105" s="3674" t="s">
        <v>2</v>
      </c>
      <c r="CG105" s="3677"/>
      <c r="CH105" s="3673" t="s">
        <v>559</v>
      </c>
      <c r="CI105" s="3674"/>
      <c r="CJ105" s="3674"/>
      <c r="CK105" s="3674"/>
      <c r="CL105" s="3677"/>
      <c r="CM105" s="3728"/>
      <c r="CN105" s="3729"/>
      <c r="CO105" s="3729"/>
      <c r="CP105" s="3729"/>
      <c r="CQ105" s="3729"/>
      <c r="CR105" s="3729"/>
      <c r="CS105" s="3729"/>
      <c r="CT105" s="3729"/>
      <c r="CU105" s="3729"/>
      <c r="CV105" s="3729"/>
      <c r="CW105" s="3729"/>
      <c r="CX105" s="3729"/>
      <c r="CY105" s="3729"/>
      <c r="CZ105" s="3729"/>
      <c r="DA105" s="3729"/>
      <c r="DB105" s="3729"/>
      <c r="DC105" s="3729"/>
      <c r="DD105" s="3729"/>
      <c r="DE105" s="3729"/>
      <c r="DF105" s="3729"/>
      <c r="DG105" s="3729"/>
      <c r="DH105" s="3729"/>
      <c r="DI105" s="3729"/>
      <c r="DJ105" s="3729"/>
      <c r="DK105" s="3730"/>
      <c r="DL105" s="156"/>
      <c r="DM105" s="156"/>
      <c r="DN105" s="156"/>
      <c r="DO105" s="156"/>
      <c r="DP105" s="157"/>
      <c r="DQ105" s="147"/>
      <c r="DR105" s="147"/>
      <c r="DS105" s="147"/>
      <c r="DT105" s="147"/>
      <c r="DU105" s="147"/>
      <c r="DV105" s="147"/>
      <c r="DW105" s="147"/>
      <c r="DX105" s="147"/>
      <c r="DY105" s="147"/>
      <c r="DZ105" s="147"/>
      <c r="EA105" s="147"/>
      <c r="EB105" s="147"/>
      <c r="EC105" s="147"/>
      <c r="ED105" s="147"/>
      <c r="EE105" s="147"/>
      <c r="EF105" s="147"/>
      <c r="EG105" s="147"/>
      <c r="EH105" s="147"/>
      <c r="EI105" s="147"/>
      <c r="EJ105" s="147"/>
      <c r="EK105" s="147"/>
      <c r="EL105" s="147"/>
      <c r="EM105" s="147"/>
    </row>
    <row r="106" spans="1:143" ht="6.75" customHeight="1" thickBot="1">
      <c r="A106" s="146"/>
      <c r="B106" s="3702"/>
      <c r="C106" s="3703"/>
      <c r="D106" s="3675"/>
      <c r="E106" s="3676"/>
      <c r="F106" s="3676"/>
      <c r="G106" s="3676"/>
      <c r="H106" s="3676"/>
      <c r="I106" s="3676"/>
      <c r="J106" s="3676"/>
      <c r="K106" s="3678"/>
      <c r="L106" s="3675"/>
      <c r="M106" s="3676"/>
      <c r="N106" s="3676"/>
      <c r="O106" s="3676"/>
      <c r="P106" s="3676"/>
      <c r="Q106" s="3676"/>
      <c r="R106" s="3676"/>
      <c r="S106" s="3676"/>
      <c r="T106" s="3676"/>
      <c r="U106" s="3676"/>
      <c r="V106" s="3678"/>
      <c r="W106" s="3675"/>
      <c r="X106" s="3676"/>
      <c r="Y106" s="3676"/>
      <c r="Z106" s="3676"/>
      <c r="AA106" s="3676"/>
      <c r="AB106" s="3676"/>
      <c r="AC106" s="3676"/>
      <c r="AD106" s="3676"/>
      <c r="AE106" s="3676"/>
      <c r="AF106" s="3678"/>
      <c r="AG106" s="3675"/>
      <c r="AH106" s="3676"/>
      <c r="AI106" s="3676"/>
      <c r="AJ106" s="3676"/>
      <c r="AK106" s="3678"/>
      <c r="AL106" s="3773"/>
      <c r="AM106" s="3774"/>
      <c r="AN106" s="3774"/>
      <c r="AO106" s="3774"/>
      <c r="AP106" s="3774"/>
      <c r="AQ106" s="3774"/>
      <c r="AR106" s="3774"/>
      <c r="AS106" s="3774"/>
      <c r="AT106" s="3774"/>
      <c r="AU106" s="3774"/>
      <c r="AV106" s="3774"/>
      <c r="AW106" s="3774"/>
      <c r="AX106" s="3774"/>
      <c r="AY106" s="3774"/>
      <c r="AZ106" s="3774"/>
      <c r="BA106" s="3774"/>
      <c r="BB106" s="3774"/>
      <c r="BC106" s="3774"/>
      <c r="BD106" s="3774"/>
      <c r="BE106" s="3774"/>
      <c r="BF106" s="3774"/>
      <c r="BG106" s="3774"/>
      <c r="BH106" s="3774"/>
      <c r="BI106" s="3775"/>
      <c r="BJ106" s="3759"/>
      <c r="BK106" s="3760"/>
      <c r="BL106" s="3760"/>
      <c r="BM106" s="3760"/>
      <c r="BN106" s="3760"/>
      <c r="BO106" s="3761"/>
      <c r="BP106" s="3764"/>
      <c r="BQ106" s="3765"/>
      <c r="BR106" s="3765"/>
      <c r="BS106" s="3767"/>
      <c r="BT106" s="3767"/>
      <c r="BU106" s="3767"/>
      <c r="BV106" s="3734"/>
      <c r="BW106" s="3734"/>
      <c r="BX106" s="3769"/>
      <c r="BY106" s="3769"/>
      <c r="BZ106" s="3769"/>
      <c r="CA106" s="3734"/>
      <c r="CB106" s="3734"/>
      <c r="CC106" s="3769"/>
      <c r="CD106" s="3769"/>
      <c r="CE106" s="3769"/>
      <c r="CF106" s="3676"/>
      <c r="CG106" s="3678"/>
      <c r="CH106" s="3675"/>
      <c r="CI106" s="3676"/>
      <c r="CJ106" s="3676"/>
      <c r="CK106" s="3676"/>
      <c r="CL106" s="3678"/>
      <c r="CM106" s="3731"/>
      <c r="CN106" s="3731"/>
      <c r="CO106" s="3731"/>
      <c r="CP106" s="3731"/>
      <c r="CQ106" s="3731"/>
      <c r="CR106" s="3731"/>
      <c r="CS106" s="3731"/>
      <c r="CT106" s="3731"/>
      <c r="CU106" s="3731"/>
      <c r="CV106" s="3731"/>
      <c r="CW106" s="3731"/>
      <c r="CX106" s="3731"/>
      <c r="CY106" s="3731"/>
      <c r="CZ106" s="3731"/>
      <c r="DA106" s="3731"/>
      <c r="DB106" s="3731"/>
      <c r="DC106" s="3731"/>
      <c r="DD106" s="3731"/>
      <c r="DE106" s="3731"/>
      <c r="DF106" s="3731"/>
      <c r="DG106" s="3731"/>
      <c r="DH106" s="3731"/>
      <c r="DI106" s="3731"/>
      <c r="DJ106" s="3731"/>
      <c r="DK106" s="3732"/>
      <c r="DL106" s="156"/>
      <c r="DM106" s="156"/>
      <c r="DN106" s="156"/>
      <c r="DO106" s="156"/>
      <c r="DP106" s="15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row>
    <row r="107" spans="1:143" ht="6.75" customHeight="1" thickTop="1">
      <c r="A107" s="146"/>
      <c r="B107" s="3725">
        <v>1</v>
      </c>
      <c r="C107" s="3726"/>
      <c r="D107" s="3972" t="str">
        <f>IF(ISBLANK(D88),"",D88)</f>
        <v/>
      </c>
      <c r="E107" s="3973"/>
      <c r="F107" s="3973"/>
      <c r="G107" s="3973"/>
      <c r="H107" s="3973"/>
      <c r="I107" s="3973"/>
      <c r="J107" s="3973"/>
      <c r="K107" s="3974"/>
      <c r="L107" s="3741"/>
      <c r="M107" s="3742"/>
      <c r="N107" s="3742"/>
      <c r="O107" s="3742"/>
      <c r="P107" s="3742"/>
      <c r="Q107" s="3742"/>
      <c r="R107" s="3742"/>
      <c r="S107" s="3742"/>
      <c r="T107" s="3742"/>
      <c r="U107" s="3742"/>
      <c r="V107" s="3743"/>
      <c r="W107" s="4819"/>
      <c r="X107" s="4820"/>
      <c r="Y107" s="4820"/>
      <c r="Z107" s="4820"/>
      <c r="AA107" s="4820"/>
      <c r="AB107" s="4820"/>
      <c r="AC107" s="4820"/>
      <c r="AD107" s="4820"/>
      <c r="AE107" s="4820"/>
      <c r="AF107" s="4821"/>
      <c r="AG107" s="3635"/>
      <c r="AH107" s="3636"/>
      <c r="AI107" s="3636"/>
      <c r="AJ107" s="3636"/>
      <c r="AK107" s="3637"/>
      <c r="AL107" s="4822"/>
      <c r="AM107" s="4823"/>
      <c r="AN107" s="4823"/>
      <c r="AO107" s="4823"/>
      <c r="AP107" s="4823"/>
      <c r="AQ107" s="4823"/>
      <c r="AR107" s="4823"/>
      <c r="AS107" s="4823"/>
      <c r="AT107" s="4823"/>
      <c r="AU107" s="4823"/>
      <c r="AV107" s="4823"/>
      <c r="AW107" s="4823"/>
      <c r="AX107" s="4823"/>
      <c r="AY107" s="4823"/>
      <c r="AZ107" s="4823"/>
      <c r="BA107" s="4823"/>
      <c r="BB107" s="4823"/>
      <c r="BC107" s="4823"/>
      <c r="BD107" s="4823"/>
      <c r="BE107" s="4823"/>
      <c r="BF107" s="4823"/>
      <c r="BG107" s="4823"/>
      <c r="BH107" s="4823"/>
      <c r="BI107" s="4824"/>
      <c r="BJ107" s="3785"/>
      <c r="BK107" s="3786"/>
      <c r="BL107" s="3786"/>
      <c r="BM107" s="3786"/>
      <c r="BN107" s="3786"/>
      <c r="BO107" s="3787"/>
      <c r="BP107" s="3824">
        <v>20</v>
      </c>
      <c r="BQ107" s="3825"/>
      <c r="BR107" s="3825"/>
      <c r="BS107" s="3830"/>
      <c r="BT107" s="3830"/>
      <c r="BU107" s="3830"/>
      <c r="BV107" s="3809" t="s">
        <v>1229</v>
      </c>
      <c r="BW107" s="3809"/>
      <c r="BX107" s="3806"/>
      <c r="BY107" s="3806"/>
      <c r="BZ107" s="3806"/>
      <c r="CA107" s="3809" t="s">
        <v>1230</v>
      </c>
      <c r="CB107" s="3809"/>
      <c r="CC107" s="3812">
        <v>1</v>
      </c>
      <c r="CD107" s="3812"/>
      <c r="CE107" s="3812"/>
      <c r="CF107" s="3815" t="s">
        <v>1233</v>
      </c>
      <c r="CG107" s="3816"/>
      <c r="CH107" s="3635"/>
      <c r="CI107" s="3636"/>
      <c r="CJ107" s="3636"/>
      <c r="CK107" s="3636"/>
      <c r="CL107" s="3637"/>
      <c r="CM107" s="3797" t="str">
        <f>IF(AG107="更新", "※「設置場所」が必須項目となります。", "")</f>
        <v/>
      </c>
      <c r="CN107" s="3798"/>
      <c r="CO107" s="3798"/>
      <c r="CP107" s="3798"/>
      <c r="CQ107" s="3798"/>
      <c r="CR107" s="3798"/>
      <c r="CS107" s="3798"/>
      <c r="CT107" s="3798"/>
      <c r="CU107" s="3798"/>
      <c r="CV107" s="3798"/>
      <c r="CW107" s="3798"/>
      <c r="CX107" s="3798"/>
      <c r="CY107" s="3798"/>
      <c r="CZ107" s="3798"/>
      <c r="DA107" s="3798"/>
      <c r="DB107" s="3798"/>
      <c r="DC107" s="3798"/>
      <c r="DD107" s="3798"/>
      <c r="DE107" s="3798"/>
      <c r="DF107" s="3798"/>
      <c r="DG107" s="3798"/>
      <c r="DH107" s="3798"/>
      <c r="DI107" s="3798"/>
      <c r="DJ107" s="3798"/>
      <c r="DK107" s="3799"/>
      <c r="DL107" s="156"/>
      <c r="DM107" s="156"/>
      <c r="DN107" s="156"/>
      <c r="DO107" s="156"/>
      <c r="DP107" s="157"/>
      <c r="DQ107" s="147"/>
      <c r="DR107" s="147"/>
      <c r="DS107" s="147"/>
      <c r="DT107" s="147"/>
      <c r="DU107" s="147"/>
      <c r="DV107" s="147"/>
      <c r="DW107" s="147"/>
      <c r="DX107" s="147"/>
      <c r="DY107" s="147"/>
      <c r="DZ107" s="147"/>
      <c r="EA107" s="147"/>
      <c r="EB107" s="147"/>
      <c r="EC107" s="147"/>
      <c r="ED107" s="147"/>
      <c r="EE107" s="147"/>
      <c r="EF107" s="147"/>
      <c r="EG107" s="147"/>
      <c r="EH107" s="147"/>
      <c r="EI107" s="147"/>
      <c r="EJ107" s="147"/>
      <c r="EK107" s="147"/>
      <c r="EL107" s="147"/>
      <c r="EM107" s="147"/>
    </row>
    <row r="108" spans="1:143" ht="6.75" customHeight="1" thickBot="1">
      <c r="A108" s="146"/>
      <c r="B108" s="3607"/>
      <c r="C108" s="3608"/>
      <c r="D108" s="4810"/>
      <c r="E108" s="4811"/>
      <c r="F108" s="4811"/>
      <c r="G108" s="4811"/>
      <c r="H108" s="4811"/>
      <c r="I108" s="4811"/>
      <c r="J108" s="4811"/>
      <c r="K108" s="4812"/>
      <c r="L108" s="3744"/>
      <c r="M108" s="3745"/>
      <c r="N108" s="3745"/>
      <c r="O108" s="3745"/>
      <c r="P108" s="3745"/>
      <c r="Q108" s="3745"/>
      <c r="R108" s="3745"/>
      <c r="S108" s="3745"/>
      <c r="T108" s="3745"/>
      <c r="U108" s="3745"/>
      <c r="V108" s="3746"/>
      <c r="W108" s="4813"/>
      <c r="X108" s="4814"/>
      <c r="Y108" s="4814"/>
      <c r="Z108" s="4814"/>
      <c r="AA108" s="4814"/>
      <c r="AB108" s="4814"/>
      <c r="AC108" s="4814"/>
      <c r="AD108" s="4814"/>
      <c r="AE108" s="4814"/>
      <c r="AF108" s="4815"/>
      <c r="AG108" s="3611"/>
      <c r="AH108" s="3612"/>
      <c r="AI108" s="3612"/>
      <c r="AJ108" s="3612"/>
      <c r="AK108" s="3613"/>
      <c r="AL108" s="4816"/>
      <c r="AM108" s="4817"/>
      <c r="AN108" s="4817"/>
      <c r="AO108" s="4817"/>
      <c r="AP108" s="4817"/>
      <c r="AQ108" s="4817"/>
      <c r="AR108" s="4817"/>
      <c r="AS108" s="4817"/>
      <c r="AT108" s="4817"/>
      <c r="AU108" s="4817"/>
      <c r="AV108" s="4817"/>
      <c r="AW108" s="4817"/>
      <c r="AX108" s="4817"/>
      <c r="AY108" s="4817"/>
      <c r="AZ108" s="4817"/>
      <c r="BA108" s="4817"/>
      <c r="BB108" s="4817"/>
      <c r="BC108" s="4817"/>
      <c r="BD108" s="4817"/>
      <c r="BE108" s="4817"/>
      <c r="BF108" s="4817"/>
      <c r="BG108" s="4817"/>
      <c r="BH108" s="4817"/>
      <c r="BI108" s="4818"/>
      <c r="BJ108" s="3788"/>
      <c r="BK108" s="3789"/>
      <c r="BL108" s="3789"/>
      <c r="BM108" s="3789"/>
      <c r="BN108" s="3789"/>
      <c r="BO108" s="3790"/>
      <c r="BP108" s="3826"/>
      <c r="BQ108" s="3827"/>
      <c r="BR108" s="3827"/>
      <c r="BS108" s="3831"/>
      <c r="BT108" s="3831"/>
      <c r="BU108" s="3831"/>
      <c r="BV108" s="3810"/>
      <c r="BW108" s="3810"/>
      <c r="BX108" s="3807"/>
      <c r="BY108" s="3807"/>
      <c r="BZ108" s="3807"/>
      <c r="CA108" s="3810"/>
      <c r="CB108" s="3810"/>
      <c r="CC108" s="3813"/>
      <c r="CD108" s="3813"/>
      <c r="CE108" s="3813"/>
      <c r="CF108" s="3817"/>
      <c r="CG108" s="3818"/>
      <c r="CH108" s="3638"/>
      <c r="CI108" s="3639"/>
      <c r="CJ108" s="3639"/>
      <c r="CK108" s="3639"/>
      <c r="CL108" s="3640"/>
      <c r="CM108" s="3800"/>
      <c r="CN108" s="3801"/>
      <c r="CO108" s="3801"/>
      <c r="CP108" s="3801"/>
      <c r="CQ108" s="3801"/>
      <c r="CR108" s="3801"/>
      <c r="CS108" s="3801"/>
      <c r="CT108" s="3801"/>
      <c r="CU108" s="3801"/>
      <c r="CV108" s="3801"/>
      <c r="CW108" s="3801"/>
      <c r="CX108" s="3801"/>
      <c r="CY108" s="3801"/>
      <c r="CZ108" s="3801"/>
      <c r="DA108" s="3801"/>
      <c r="DB108" s="3801"/>
      <c r="DC108" s="3801"/>
      <c r="DD108" s="3801"/>
      <c r="DE108" s="3801"/>
      <c r="DF108" s="3801"/>
      <c r="DG108" s="3801"/>
      <c r="DH108" s="3801"/>
      <c r="DI108" s="3801"/>
      <c r="DJ108" s="3801"/>
      <c r="DK108" s="3802"/>
      <c r="DL108" s="156"/>
      <c r="DM108" s="156"/>
      <c r="DN108" s="156"/>
      <c r="DO108" s="156"/>
      <c r="DP108" s="157"/>
      <c r="DQ108" s="147"/>
      <c r="DR108" s="147"/>
      <c r="DS108" s="147"/>
      <c r="DT108" s="147"/>
      <c r="DU108" s="147"/>
      <c r="DV108" s="147"/>
      <c r="DW108" s="147"/>
      <c r="DX108" s="147"/>
      <c r="DY108" s="147"/>
      <c r="DZ108" s="147"/>
      <c r="EA108" s="147"/>
      <c r="EB108" s="147"/>
      <c r="EC108" s="147"/>
      <c r="ED108" s="147"/>
      <c r="EE108" s="147"/>
      <c r="EF108" s="147"/>
      <c r="EG108" s="147"/>
      <c r="EH108" s="147"/>
      <c r="EI108" s="147"/>
      <c r="EJ108" s="147"/>
      <c r="EK108" s="147"/>
      <c r="EL108" s="147"/>
      <c r="EM108" s="147"/>
    </row>
    <row r="109" spans="1:143" ht="6.75" customHeight="1" thickTop="1">
      <c r="A109" s="146"/>
      <c r="B109" s="3607">
        <v>2</v>
      </c>
      <c r="C109" s="3608"/>
      <c r="D109" s="3972" t="str">
        <f>IF(ISBLANK(D90),"",D90)</f>
        <v/>
      </c>
      <c r="E109" s="3973"/>
      <c r="F109" s="3973"/>
      <c r="G109" s="3973"/>
      <c r="H109" s="3973"/>
      <c r="I109" s="3973"/>
      <c r="J109" s="3973"/>
      <c r="K109" s="3974"/>
      <c r="L109" s="3744"/>
      <c r="M109" s="3745"/>
      <c r="N109" s="3745"/>
      <c r="O109" s="3745"/>
      <c r="P109" s="3745"/>
      <c r="Q109" s="3745"/>
      <c r="R109" s="3745"/>
      <c r="S109" s="3745"/>
      <c r="T109" s="3745"/>
      <c r="U109" s="3745"/>
      <c r="V109" s="3746"/>
      <c r="W109" s="4798"/>
      <c r="X109" s="4799"/>
      <c r="Y109" s="4799"/>
      <c r="Z109" s="4799"/>
      <c r="AA109" s="4799"/>
      <c r="AB109" s="4799"/>
      <c r="AC109" s="4799"/>
      <c r="AD109" s="4799"/>
      <c r="AE109" s="4799"/>
      <c r="AF109" s="4800"/>
      <c r="AG109" s="3611"/>
      <c r="AH109" s="3612"/>
      <c r="AI109" s="3612"/>
      <c r="AJ109" s="3612"/>
      <c r="AK109" s="3613"/>
      <c r="AL109" s="4804"/>
      <c r="AM109" s="4805"/>
      <c r="AN109" s="4805"/>
      <c r="AO109" s="4805"/>
      <c r="AP109" s="4805"/>
      <c r="AQ109" s="4805"/>
      <c r="AR109" s="4805"/>
      <c r="AS109" s="4805"/>
      <c r="AT109" s="4805"/>
      <c r="AU109" s="4805"/>
      <c r="AV109" s="4805"/>
      <c r="AW109" s="4805"/>
      <c r="AX109" s="4805"/>
      <c r="AY109" s="4805"/>
      <c r="AZ109" s="4805"/>
      <c r="BA109" s="4805"/>
      <c r="BB109" s="4805"/>
      <c r="BC109" s="4805"/>
      <c r="BD109" s="4805"/>
      <c r="BE109" s="4805"/>
      <c r="BF109" s="4805"/>
      <c r="BG109" s="4805"/>
      <c r="BH109" s="4805"/>
      <c r="BI109" s="4806"/>
      <c r="BJ109" s="3788"/>
      <c r="BK109" s="3789"/>
      <c r="BL109" s="3789"/>
      <c r="BM109" s="3789"/>
      <c r="BN109" s="3789"/>
      <c r="BO109" s="3790"/>
      <c r="BP109" s="3826"/>
      <c r="BQ109" s="3827"/>
      <c r="BR109" s="3827"/>
      <c r="BS109" s="3831"/>
      <c r="BT109" s="3831"/>
      <c r="BU109" s="3831"/>
      <c r="BV109" s="3810"/>
      <c r="BW109" s="3810"/>
      <c r="BX109" s="3807"/>
      <c r="BY109" s="3807"/>
      <c r="BZ109" s="3807"/>
      <c r="CA109" s="3810"/>
      <c r="CB109" s="3810"/>
      <c r="CC109" s="3813"/>
      <c r="CD109" s="3813"/>
      <c r="CE109" s="3813"/>
      <c r="CF109" s="3817"/>
      <c r="CG109" s="3818"/>
      <c r="CH109" s="3650"/>
      <c r="CI109" s="3651"/>
      <c r="CJ109" s="3651"/>
      <c r="CK109" s="3651"/>
      <c r="CL109" s="3652"/>
      <c r="CM109" s="3803" t="str">
        <f>IF(AG109="更新", "※「設置場所」が必須項目となります。", "")</f>
        <v/>
      </c>
      <c r="CN109" s="3804"/>
      <c r="CO109" s="3804"/>
      <c r="CP109" s="3804"/>
      <c r="CQ109" s="3804"/>
      <c r="CR109" s="3804"/>
      <c r="CS109" s="3804"/>
      <c r="CT109" s="3804"/>
      <c r="CU109" s="3804"/>
      <c r="CV109" s="3804"/>
      <c r="CW109" s="3804"/>
      <c r="CX109" s="3804"/>
      <c r="CY109" s="3804"/>
      <c r="CZ109" s="3804"/>
      <c r="DA109" s="3804"/>
      <c r="DB109" s="3804"/>
      <c r="DC109" s="3804"/>
      <c r="DD109" s="3804"/>
      <c r="DE109" s="3804"/>
      <c r="DF109" s="3804"/>
      <c r="DG109" s="3804"/>
      <c r="DH109" s="3804"/>
      <c r="DI109" s="3804"/>
      <c r="DJ109" s="3804"/>
      <c r="DK109" s="3805"/>
      <c r="DL109" s="156"/>
      <c r="DM109" s="156"/>
      <c r="DN109" s="156"/>
      <c r="DO109" s="156"/>
      <c r="DP109" s="157"/>
      <c r="DQ109" s="147"/>
      <c r="DR109" s="147"/>
      <c r="DS109" s="147"/>
      <c r="DT109" s="147"/>
      <c r="DU109" s="147"/>
      <c r="DV109" s="147"/>
      <c r="DW109" s="147"/>
      <c r="DX109" s="147"/>
      <c r="DY109" s="147"/>
      <c r="DZ109" s="147"/>
      <c r="EA109" s="147"/>
      <c r="EB109" s="147"/>
      <c r="EC109" s="147"/>
      <c r="ED109" s="147"/>
      <c r="EE109" s="147"/>
      <c r="EF109" s="147"/>
      <c r="EG109" s="147"/>
      <c r="EH109" s="147"/>
      <c r="EI109" s="147"/>
      <c r="EJ109" s="147"/>
      <c r="EK109" s="147"/>
      <c r="EL109" s="147"/>
      <c r="EM109" s="147"/>
    </row>
    <row r="110" spans="1:143" ht="6.75" customHeight="1" thickBot="1">
      <c r="A110" s="146"/>
      <c r="B110" s="3607"/>
      <c r="C110" s="3608"/>
      <c r="D110" s="4810"/>
      <c r="E110" s="4811"/>
      <c r="F110" s="4811"/>
      <c r="G110" s="4811"/>
      <c r="H110" s="4811"/>
      <c r="I110" s="4811"/>
      <c r="J110" s="4811"/>
      <c r="K110" s="4812"/>
      <c r="L110" s="3744"/>
      <c r="M110" s="3745"/>
      <c r="N110" s="3745"/>
      <c r="O110" s="3745"/>
      <c r="P110" s="3745"/>
      <c r="Q110" s="3745"/>
      <c r="R110" s="3745"/>
      <c r="S110" s="3745"/>
      <c r="T110" s="3745"/>
      <c r="U110" s="3745"/>
      <c r="V110" s="3746"/>
      <c r="W110" s="4813"/>
      <c r="X110" s="4814"/>
      <c r="Y110" s="4814"/>
      <c r="Z110" s="4814"/>
      <c r="AA110" s="4814"/>
      <c r="AB110" s="4814"/>
      <c r="AC110" s="4814"/>
      <c r="AD110" s="4814"/>
      <c r="AE110" s="4814"/>
      <c r="AF110" s="4815"/>
      <c r="AG110" s="3611"/>
      <c r="AH110" s="3612"/>
      <c r="AI110" s="3612"/>
      <c r="AJ110" s="3612"/>
      <c r="AK110" s="3613"/>
      <c r="AL110" s="4816"/>
      <c r="AM110" s="4817"/>
      <c r="AN110" s="4817"/>
      <c r="AO110" s="4817"/>
      <c r="AP110" s="4817"/>
      <c r="AQ110" s="4817"/>
      <c r="AR110" s="4817"/>
      <c r="AS110" s="4817"/>
      <c r="AT110" s="4817"/>
      <c r="AU110" s="4817"/>
      <c r="AV110" s="4817"/>
      <c r="AW110" s="4817"/>
      <c r="AX110" s="4817"/>
      <c r="AY110" s="4817"/>
      <c r="AZ110" s="4817"/>
      <c r="BA110" s="4817"/>
      <c r="BB110" s="4817"/>
      <c r="BC110" s="4817"/>
      <c r="BD110" s="4817"/>
      <c r="BE110" s="4817"/>
      <c r="BF110" s="4817"/>
      <c r="BG110" s="4817"/>
      <c r="BH110" s="4817"/>
      <c r="BI110" s="4818"/>
      <c r="BJ110" s="3788"/>
      <c r="BK110" s="3789"/>
      <c r="BL110" s="3789"/>
      <c r="BM110" s="3789"/>
      <c r="BN110" s="3789"/>
      <c r="BO110" s="3790"/>
      <c r="BP110" s="3826"/>
      <c r="BQ110" s="3827"/>
      <c r="BR110" s="3827"/>
      <c r="BS110" s="3831"/>
      <c r="BT110" s="3831"/>
      <c r="BU110" s="3831"/>
      <c r="BV110" s="3810"/>
      <c r="BW110" s="3810"/>
      <c r="BX110" s="3807"/>
      <c r="BY110" s="3807"/>
      <c r="BZ110" s="3807"/>
      <c r="CA110" s="3810"/>
      <c r="CB110" s="3810"/>
      <c r="CC110" s="3813"/>
      <c r="CD110" s="3813"/>
      <c r="CE110" s="3813"/>
      <c r="CF110" s="3817"/>
      <c r="CG110" s="3818"/>
      <c r="CH110" s="3638"/>
      <c r="CI110" s="3639"/>
      <c r="CJ110" s="3639"/>
      <c r="CK110" s="3639"/>
      <c r="CL110" s="3640"/>
      <c r="CM110" s="3800"/>
      <c r="CN110" s="3801"/>
      <c r="CO110" s="3801"/>
      <c r="CP110" s="3801"/>
      <c r="CQ110" s="3801"/>
      <c r="CR110" s="3801"/>
      <c r="CS110" s="3801"/>
      <c r="CT110" s="3801"/>
      <c r="CU110" s="3801"/>
      <c r="CV110" s="3801"/>
      <c r="CW110" s="3801"/>
      <c r="CX110" s="3801"/>
      <c r="CY110" s="3801"/>
      <c r="CZ110" s="3801"/>
      <c r="DA110" s="3801"/>
      <c r="DB110" s="3801"/>
      <c r="DC110" s="3801"/>
      <c r="DD110" s="3801"/>
      <c r="DE110" s="3801"/>
      <c r="DF110" s="3801"/>
      <c r="DG110" s="3801"/>
      <c r="DH110" s="3801"/>
      <c r="DI110" s="3801"/>
      <c r="DJ110" s="3801"/>
      <c r="DK110" s="3802"/>
      <c r="DL110" s="156"/>
      <c r="DM110" s="156"/>
      <c r="DN110" s="156"/>
      <c r="DO110" s="156"/>
      <c r="DP110" s="157"/>
      <c r="DQ110" s="147"/>
      <c r="DR110" s="147"/>
      <c r="DS110" s="147"/>
      <c r="DT110" s="147"/>
      <c r="DU110" s="147"/>
      <c r="DV110" s="147"/>
      <c r="DW110" s="147"/>
      <c r="DX110" s="147"/>
      <c r="DY110" s="147"/>
      <c r="DZ110" s="147"/>
      <c r="EA110" s="147"/>
      <c r="EB110" s="147"/>
      <c r="EC110" s="147"/>
      <c r="ED110" s="147"/>
      <c r="EE110" s="147"/>
      <c r="EF110" s="147"/>
      <c r="EG110" s="147"/>
      <c r="EH110" s="147"/>
      <c r="EI110" s="147"/>
      <c r="EJ110" s="147"/>
      <c r="EK110" s="147"/>
      <c r="EL110" s="147"/>
      <c r="EM110" s="147"/>
    </row>
    <row r="111" spans="1:143" ht="6.75" customHeight="1" thickTop="1">
      <c r="A111" s="146"/>
      <c r="B111" s="3607">
        <v>3</v>
      </c>
      <c r="C111" s="3608"/>
      <c r="D111" s="3972" t="str">
        <f>IF(ISBLANK(D92),"",D92)</f>
        <v/>
      </c>
      <c r="E111" s="3973"/>
      <c r="F111" s="3973"/>
      <c r="G111" s="3973"/>
      <c r="H111" s="3973"/>
      <c r="I111" s="3973"/>
      <c r="J111" s="3973"/>
      <c r="K111" s="3974"/>
      <c r="L111" s="3744"/>
      <c r="M111" s="3745"/>
      <c r="N111" s="3745"/>
      <c r="O111" s="3745"/>
      <c r="P111" s="3745"/>
      <c r="Q111" s="3745"/>
      <c r="R111" s="3745"/>
      <c r="S111" s="3745"/>
      <c r="T111" s="3745"/>
      <c r="U111" s="3745"/>
      <c r="V111" s="3746"/>
      <c r="W111" s="4798"/>
      <c r="X111" s="4799"/>
      <c r="Y111" s="4799"/>
      <c r="Z111" s="4799"/>
      <c r="AA111" s="4799"/>
      <c r="AB111" s="4799"/>
      <c r="AC111" s="4799"/>
      <c r="AD111" s="4799"/>
      <c r="AE111" s="4799"/>
      <c r="AF111" s="4800"/>
      <c r="AG111" s="3611"/>
      <c r="AH111" s="3612"/>
      <c r="AI111" s="3612"/>
      <c r="AJ111" s="3612"/>
      <c r="AK111" s="3613"/>
      <c r="AL111" s="4804"/>
      <c r="AM111" s="4805"/>
      <c r="AN111" s="4805"/>
      <c r="AO111" s="4805"/>
      <c r="AP111" s="4805"/>
      <c r="AQ111" s="4805"/>
      <c r="AR111" s="4805"/>
      <c r="AS111" s="4805"/>
      <c r="AT111" s="4805"/>
      <c r="AU111" s="4805"/>
      <c r="AV111" s="4805"/>
      <c r="AW111" s="4805"/>
      <c r="AX111" s="4805"/>
      <c r="AY111" s="4805"/>
      <c r="AZ111" s="4805"/>
      <c r="BA111" s="4805"/>
      <c r="BB111" s="4805"/>
      <c r="BC111" s="4805"/>
      <c r="BD111" s="4805"/>
      <c r="BE111" s="4805"/>
      <c r="BF111" s="4805"/>
      <c r="BG111" s="4805"/>
      <c r="BH111" s="4805"/>
      <c r="BI111" s="4806"/>
      <c r="BJ111" s="3788"/>
      <c r="BK111" s="3789"/>
      <c r="BL111" s="3789"/>
      <c r="BM111" s="3789"/>
      <c r="BN111" s="3789"/>
      <c r="BO111" s="3790"/>
      <c r="BP111" s="3826"/>
      <c r="BQ111" s="3827"/>
      <c r="BR111" s="3827"/>
      <c r="BS111" s="3831"/>
      <c r="BT111" s="3831"/>
      <c r="BU111" s="3831"/>
      <c r="BV111" s="3810"/>
      <c r="BW111" s="3810"/>
      <c r="BX111" s="3807"/>
      <c r="BY111" s="3807"/>
      <c r="BZ111" s="3807"/>
      <c r="CA111" s="3810"/>
      <c r="CB111" s="3810"/>
      <c r="CC111" s="3813"/>
      <c r="CD111" s="3813"/>
      <c r="CE111" s="3813"/>
      <c r="CF111" s="3817"/>
      <c r="CG111" s="3818"/>
      <c r="CH111" s="3650"/>
      <c r="CI111" s="3651"/>
      <c r="CJ111" s="3651"/>
      <c r="CK111" s="3651"/>
      <c r="CL111" s="3652"/>
      <c r="CM111" s="3803" t="str">
        <f>IF(AG111="更新", "※「設置場所」が必須項目となります。", "")</f>
        <v/>
      </c>
      <c r="CN111" s="3804"/>
      <c r="CO111" s="3804"/>
      <c r="CP111" s="3804"/>
      <c r="CQ111" s="3804"/>
      <c r="CR111" s="3804"/>
      <c r="CS111" s="3804"/>
      <c r="CT111" s="3804"/>
      <c r="CU111" s="3804"/>
      <c r="CV111" s="3804"/>
      <c r="CW111" s="3804"/>
      <c r="CX111" s="3804"/>
      <c r="CY111" s="3804"/>
      <c r="CZ111" s="3804"/>
      <c r="DA111" s="3804"/>
      <c r="DB111" s="3804"/>
      <c r="DC111" s="3804"/>
      <c r="DD111" s="3804"/>
      <c r="DE111" s="3804"/>
      <c r="DF111" s="3804"/>
      <c r="DG111" s="3804"/>
      <c r="DH111" s="3804"/>
      <c r="DI111" s="3804"/>
      <c r="DJ111" s="3804"/>
      <c r="DK111" s="3805"/>
      <c r="DL111" s="156"/>
      <c r="DM111" s="156"/>
      <c r="DN111" s="156"/>
      <c r="DO111" s="156"/>
      <c r="DP111" s="157"/>
      <c r="DQ111" s="147"/>
      <c r="DR111" s="147"/>
      <c r="DS111" s="147"/>
      <c r="DT111" s="147"/>
      <c r="DU111" s="147"/>
      <c r="DV111" s="147"/>
      <c r="DW111" s="147"/>
      <c r="DX111" s="147"/>
      <c r="DY111" s="147"/>
      <c r="DZ111" s="147"/>
      <c r="EA111" s="147"/>
      <c r="EB111" s="147"/>
      <c r="EC111" s="147"/>
      <c r="ED111" s="147"/>
      <c r="EE111" s="147"/>
      <c r="EF111" s="147"/>
      <c r="EG111" s="147"/>
      <c r="EH111" s="147"/>
      <c r="EI111" s="147"/>
      <c r="EJ111" s="147"/>
      <c r="EK111" s="147"/>
      <c r="EL111" s="147"/>
      <c r="EM111" s="147"/>
    </row>
    <row r="112" spans="1:143" ht="6.75" customHeight="1" thickBot="1">
      <c r="A112" s="146"/>
      <c r="B112" s="3607"/>
      <c r="C112" s="3608"/>
      <c r="D112" s="4810"/>
      <c r="E112" s="4811"/>
      <c r="F112" s="4811"/>
      <c r="G112" s="4811"/>
      <c r="H112" s="4811"/>
      <c r="I112" s="4811"/>
      <c r="J112" s="4811"/>
      <c r="K112" s="4812"/>
      <c r="L112" s="3744"/>
      <c r="M112" s="3745"/>
      <c r="N112" s="3745"/>
      <c r="O112" s="3745"/>
      <c r="P112" s="3745"/>
      <c r="Q112" s="3745"/>
      <c r="R112" s="3745"/>
      <c r="S112" s="3745"/>
      <c r="T112" s="3745"/>
      <c r="U112" s="3745"/>
      <c r="V112" s="3746"/>
      <c r="W112" s="4813"/>
      <c r="X112" s="4814"/>
      <c r="Y112" s="4814"/>
      <c r="Z112" s="4814"/>
      <c r="AA112" s="4814"/>
      <c r="AB112" s="4814"/>
      <c r="AC112" s="4814"/>
      <c r="AD112" s="4814"/>
      <c r="AE112" s="4814"/>
      <c r="AF112" s="4815"/>
      <c r="AG112" s="3611"/>
      <c r="AH112" s="3612"/>
      <c r="AI112" s="3612"/>
      <c r="AJ112" s="3612"/>
      <c r="AK112" s="3613"/>
      <c r="AL112" s="4816"/>
      <c r="AM112" s="4817"/>
      <c r="AN112" s="4817"/>
      <c r="AO112" s="4817"/>
      <c r="AP112" s="4817"/>
      <c r="AQ112" s="4817"/>
      <c r="AR112" s="4817"/>
      <c r="AS112" s="4817"/>
      <c r="AT112" s="4817"/>
      <c r="AU112" s="4817"/>
      <c r="AV112" s="4817"/>
      <c r="AW112" s="4817"/>
      <c r="AX112" s="4817"/>
      <c r="AY112" s="4817"/>
      <c r="AZ112" s="4817"/>
      <c r="BA112" s="4817"/>
      <c r="BB112" s="4817"/>
      <c r="BC112" s="4817"/>
      <c r="BD112" s="4817"/>
      <c r="BE112" s="4817"/>
      <c r="BF112" s="4817"/>
      <c r="BG112" s="4817"/>
      <c r="BH112" s="4817"/>
      <c r="BI112" s="4818"/>
      <c r="BJ112" s="3788"/>
      <c r="BK112" s="3789"/>
      <c r="BL112" s="3789"/>
      <c r="BM112" s="3789"/>
      <c r="BN112" s="3789"/>
      <c r="BO112" s="3790"/>
      <c r="BP112" s="3826"/>
      <c r="BQ112" s="3827"/>
      <c r="BR112" s="3827"/>
      <c r="BS112" s="3831"/>
      <c r="BT112" s="3831"/>
      <c r="BU112" s="3831"/>
      <c r="BV112" s="3810"/>
      <c r="BW112" s="3810"/>
      <c r="BX112" s="3807"/>
      <c r="BY112" s="3807"/>
      <c r="BZ112" s="3807"/>
      <c r="CA112" s="3810"/>
      <c r="CB112" s="3810"/>
      <c r="CC112" s="3813"/>
      <c r="CD112" s="3813"/>
      <c r="CE112" s="3813"/>
      <c r="CF112" s="3817"/>
      <c r="CG112" s="3818"/>
      <c r="CH112" s="3638"/>
      <c r="CI112" s="3639"/>
      <c r="CJ112" s="3639"/>
      <c r="CK112" s="3639"/>
      <c r="CL112" s="3640"/>
      <c r="CM112" s="3800"/>
      <c r="CN112" s="3801"/>
      <c r="CO112" s="3801"/>
      <c r="CP112" s="3801"/>
      <c r="CQ112" s="3801"/>
      <c r="CR112" s="3801"/>
      <c r="CS112" s="3801"/>
      <c r="CT112" s="3801"/>
      <c r="CU112" s="3801"/>
      <c r="CV112" s="3801"/>
      <c r="CW112" s="3801"/>
      <c r="CX112" s="3801"/>
      <c r="CY112" s="3801"/>
      <c r="CZ112" s="3801"/>
      <c r="DA112" s="3801"/>
      <c r="DB112" s="3801"/>
      <c r="DC112" s="3801"/>
      <c r="DD112" s="3801"/>
      <c r="DE112" s="3801"/>
      <c r="DF112" s="3801"/>
      <c r="DG112" s="3801"/>
      <c r="DH112" s="3801"/>
      <c r="DI112" s="3801"/>
      <c r="DJ112" s="3801"/>
      <c r="DK112" s="3802"/>
      <c r="DL112" s="156"/>
      <c r="DM112" s="156"/>
      <c r="DN112" s="156"/>
      <c r="DO112" s="156"/>
      <c r="DP112" s="157"/>
      <c r="DQ112" s="147"/>
      <c r="DR112" s="147"/>
      <c r="DS112" s="147"/>
      <c r="DT112" s="147"/>
      <c r="DU112" s="147"/>
      <c r="DV112" s="147"/>
      <c r="DW112" s="147"/>
      <c r="DX112" s="147"/>
      <c r="DY112" s="147"/>
      <c r="DZ112" s="147"/>
      <c r="EA112" s="147"/>
      <c r="EB112" s="147"/>
      <c r="EC112" s="147"/>
      <c r="ED112" s="147"/>
      <c r="EE112" s="147"/>
      <c r="EF112" s="147"/>
      <c r="EG112" s="147"/>
      <c r="EH112" s="147"/>
      <c r="EI112" s="147"/>
      <c r="EJ112" s="147"/>
      <c r="EK112" s="147"/>
      <c r="EL112" s="147"/>
      <c r="EM112" s="147"/>
    </row>
    <row r="113" spans="1:146" ht="6.75" customHeight="1" thickTop="1">
      <c r="A113" s="146"/>
      <c r="B113" s="3607">
        <v>4</v>
      </c>
      <c r="C113" s="3608"/>
      <c r="D113" s="3972" t="str">
        <f>IF(ISBLANK(D94),"",D94)</f>
        <v/>
      </c>
      <c r="E113" s="3973"/>
      <c r="F113" s="3973"/>
      <c r="G113" s="3973"/>
      <c r="H113" s="3973"/>
      <c r="I113" s="3973"/>
      <c r="J113" s="3973"/>
      <c r="K113" s="3974"/>
      <c r="L113" s="3744"/>
      <c r="M113" s="3745"/>
      <c r="N113" s="3745"/>
      <c r="O113" s="3745"/>
      <c r="P113" s="3745"/>
      <c r="Q113" s="3745"/>
      <c r="R113" s="3745"/>
      <c r="S113" s="3745"/>
      <c r="T113" s="3745"/>
      <c r="U113" s="3745"/>
      <c r="V113" s="3746"/>
      <c r="W113" s="4798"/>
      <c r="X113" s="4799"/>
      <c r="Y113" s="4799"/>
      <c r="Z113" s="4799"/>
      <c r="AA113" s="4799"/>
      <c r="AB113" s="4799"/>
      <c r="AC113" s="4799"/>
      <c r="AD113" s="4799"/>
      <c r="AE113" s="4799"/>
      <c r="AF113" s="4800"/>
      <c r="AG113" s="3611"/>
      <c r="AH113" s="3612"/>
      <c r="AI113" s="3612"/>
      <c r="AJ113" s="3612"/>
      <c r="AK113" s="3613"/>
      <c r="AL113" s="4804"/>
      <c r="AM113" s="4805"/>
      <c r="AN113" s="4805"/>
      <c r="AO113" s="4805"/>
      <c r="AP113" s="4805"/>
      <c r="AQ113" s="4805"/>
      <c r="AR113" s="4805"/>
      <c r="AS113" s="4805"/>
      <c r="AT113" s="4805"/>
      <c r="AU113" s="4805"/>
      <c r="AV113" s="4805"/>
      <c r="AW113" s="4805"/>
      <c r="AX113" s="4805"/>
      <c r="AY113" s="4805"/>
      <c r="AZ113" s="4805"/>
      <c r="BA113" s="4805"/>
      <c r="BB113" s="4805"/>
      <c r="BC113" s="4805"/>
      <c r="BD113" s="4805"/>
      <c r="BE113" s="4805"/>
      <c r="BF113" s="4805"/>
      <c r="BG113" s="4805"/>
      <c r="BH113" s="4805"/>
      <c r="BI113" s="4806"/>
      <c r="BJ113" s="3788"/>
      <c r="BK113" s="3789"/>
      <c r="BL113" s="3789"/>
      <c r="BM113" s="3789"/>
      <c r="BN113" s="3789"/>
      <c r="BO113" s="3790"/>
      <c r="BP113" s="3826"/>
      <c r="BQ113" s="3827"/>
      <c r="BR113" s="3827"/>
      <c r="BS113" s="3831"/>
      <c r="BT113" s="3831"/>
      <c r="BU113" s="3831"/>
      <c r="BV113" s="3810"/>
      <c r="BW113" s="3810"/>
      <c r="BX113" s="3807"/>
      <c r="BY113" s="3807"/>
      <c r="BZ113" s="3807"/>
      <c r="CA113" s="3810"/>
      <c r="CB113" s="3810"/>
      <c r="CC113" s="3813"/>
      <c r="CD113" s="3813"/>
      <c r="CE113" s="3813"/>
      <c r="CF113" s="3817"/>
      <c r="CG113" s="3818"/>
      <c r="CH113" s="3650"/>
      <c r="CI113" s="3651"/>
      <c r="CJ113" s="3651"/>
      <c r="CK113" s="3651"/>
      <c r="CL113" s="3652"/>
      <c r="CM113" s="3803" t="str">
        <f>IF(AG113="更新", "※「設置場所」が必須項目となります。", "")</f>
        <v/>
      </c>
      <c r="CN113" s="3804"/>
      <c r="CO113" s="3804"/>
      <c r="CP113" s="3804"/>
      <c r="CQ113" s="3804"/>
      <c r="CR113" s="3804"/>
      <c r="CS113" s="3804"/>
      <c r="CT113" s="3804"/>
      <c r="CU113" s="3804"/>
      <c r="CV113" s="3804"/>
      <c r="CW113" s="3804"/>
      <c r="CX113" s="3804"/>
      <c r="CY113" s="3804"/>
      <c r="CZ113" s="3804"/>
      <c r="DA113" s="3804"/>
      <c r="DB113" s="3804"/>
      <c r="DC113" s="3804"/>
      <c r="DD113" s="3804"/>
      <c r="DE113" s="3804"/>
      <c r="DF113" s="3804"/>
      <c r="DG113" s="3804"/>
      <c r="DH113" s="3804"/>
      <c r="DI113" s="3804"/>
      <c r="DJ113" s="3804"/>
      <c r="DK113" s="3805"/>
      <c r="DL113" s="156"/>
      <c r="DM113" s="156"/>
      <c r="DN113" s="156"/>
      <c r="DO113" s="156"/>
      <c r="DP113" s="157"/>
      <c r="DQ113" s="147"/>
      <c r="DR113" s="147"/>
      <c r="DS113" s="147"/>
      <c r="DT113" s="147"/>
      <c r="DU113" s="147"/>
      <c r="DV113" s="147"/>
      <c r="DW113" s="147"/>
      <c r="DX113" s="147"/>
      <c r="DY113" s="147"/>
      <c r="DZ113" s="147"/>
      <c r="EA113" s="147"/>
      <c r="EB113" s="147"/>
      <c r="EC113" s="147"/>
      <c r="ED113" s="147"/>
      <c r="EE113" s="147"/>
      <c r="EF113" s="147"/>
      <c r="EG113" s="147"/>
      <c r="EH113" s="147"/>
      <c r="EI113" s="147"/>
      <c r="EJ113" s="147"/>
      <c r="EK113" s="147"/>
      <c r="EL113" s="147"/>
      <c r="EM113" s="147"/>
    </row>
    <row r="114" spans="1:146" ht="6.75" customHeight="1" thickBot="1">
      <c r="A114" s="146"/>
      <c r="B114" s="3607"/>
      <c r="C114" s="3608"/>
      <c r="D114" s="4810"/>
      <c r="E114" s="4811"/>
      <c r="F114" s="4811"/>
      <c r="G114" s="4811"/>
      <c r="H114" s="4811"/>
      <c r="I114" s="4811"/>
      <c r="J114" s="4811"/>
      <c r="K114" s="4812"/>
      <c r="L114" s="3744"/>
      <c r="M114" s="3745"/>
      <c r="N114" s="3745"/>
      <c r="O114" s="3745"/>
      <c r="P114" s="3745"/>
      <c r="Q114" s="3745"/>
      <c r="R114" s="3745"/>
      <c r="S114" s="3745"/>
      <c r="T114" s="3745"/>
      <c r="U114" s="3745"/>
      <c r="V114" s="3746"/>
      <c r="W114" s="4813"/>
      <c r="X114" s="4814"/>
      <c r="Y114" s="4814"/>
      <c r="Z114" s="4814"/>
      <c r="AA114" s="4814"/>
      <c r="AB114" s="4814"/>
      <c r="AC114" s="4814"/>
      <c r="AD114" s="4814"/>
      <c r="AE114" s="4814"/>
      <c r="AF114" s="4815"/>
      <c r="AG114" s="3611"/>
      <c r="AH114" s="3612"/>
      <c r="AI114" s="3612"/>
      <c r="AJ114" s="3612"/>
      <c r="AK114" s="3613"/>
      <c r="AL114" s="4816"/>
      <c r="AM114" s="4817"/>
      <c r="AN114" s="4817"/>
      <c r="AO114" s="4817"/>
      <c r="AP114" s="4817"/>
      <c r="AQ114" s="4817"/>
      <c r="AR114" s="4817"/>
      <c r="AS114" s="4817"/>
      <c r="AT114" s="4817"/>
      <c r="AU114" s="4817"/>
      <c r="AV114" s="4817"/>
      <c r="AW114" s="4817"/>
      <c r="AX114" s="4817"/>
      <c r="AY114" s="4817"/>
      <c r="AZ114" s="4817"/>
      <c r="BA114" s="4817"/>
      <c r="BB114" s="4817"/>
      <c r="BC114" s="4817"/>
      <c r="BD114" s="4817"/>
      <c r="BE114" s="4817"/>
      <c r="BF114" s="4817"/>
      <c r="BG114" s="4817"/>
      <c r="BH114" s="4817"/>
      <c r="BI114" s="4818"/>
      <c r="BJ114" s="3788"/>
      <c r="BK114" s="3789"/>
      <c r="BL114" s="3789"/>
      <c r="BM114" s="3789"/>
      <c r="BN114" s="3789"/>
      <c r="BO114" s="3790"/>
      <c r="BP114" s="3826"/>
      <c r="BQ114" s="3827"/>
      <c r="BR114" s="3827"/>
      <c r="BS114" s="3831"/>
      <c r="BT114" s="3831"/>
      <c r="BU114" s="3831"/>
      <c r="BV114" s="3810"/>
      <c r="BW114" s="3810"/>
      <c r="BX114" s="3807"/>
      <c r="BY114" s="3807"/>
      <c r="BZ114" s="3807"/>
      <c r="CA114" s="3810"/>
      <c r="CB114" s="3810"/>
      <c r="CC114" s="3813"/>
      <c r="CD114" s="3813"/>
      <c r="CE114" s="3813"/>
      <c r="CF114" s="3817"/>
      <c r="CG114" s="3818"/>
      <c r="CH114" s="3638"/>
      <c r="CI114" s="3639"/>
      <c r="CJ114" s="3639"/>
      <c r="CK114" s="3639"/>
      <c r="CL114" s="3640"/>
      <c r="CM114" s="3800"/>
      <c r="CN114" s="3801"/>
      <c r="CO114" s="3801"/>
      <c r="CP114" s="3801"/>
      <c r="CQ114" s="3801"/>
      <c r="CR114" s="3801"/>
      <c r="CS114" s="3801"/>
      <c r="CT114" s="3801"/>
      <c r="CU114" s="3801"/>
      <c r="CV114" s="3801"/>
      <c r="CW114" s="3801"/>
      <c r="CX114" s="3801"/>
      <c r="CY114" s="3801"/>
      <c r="CZ114" s="3801"/>
      <c r="DA114" s="3801"/>
      <c r="DB114" s="3801"/>
      <c r="DC114" s="3801"/>
      <c r="DD114" s="3801"/>
      <c r="DE114" s="3801"/>
      <c r="DF114" s="3801"/>
      <c r="DG114" s="3801"/>
      <c r="DH114" s="3801"/>
      <c r="DI114" s="3801"/>
      <c r="DJ114" s="3801"/>
      <c r="DK114" s="3802"/>
      <c r="DL114" s="156"/>
      <c r="DM114" s="156"/>
      <c r="DN114" s="156"/>
      <c r="DO114" s="156"/>
      <c r="DP114" s="157"/>
      <c r="DQ114" s="147"/>
      <c r="DR114" s="147"/>
      <c r="DS114" s="147"/>
      <c r="DT114" s="147"/>
      <c r="DU114" s="147"/>
      <c r="DV114" s="147"/>
      <c r="DW114" s="147"/>
      <c r="DX114" s="147"/>
      <c r="DY114" s="147"/>
      <c r="DZ114" s="147"/>
      <c r="EA114" s="147"/>
      <c r="EB114" s="147"/>
      <c r="EC114" s="147"/>
      <c r="ED114" s="147"/>
      <c r="EE114" s="147"/>
      <c r="EF114" s="147"/>
      <c r="EG114" s="147"/>
      <c r="EH114" s="147"/>
      <c r="EI114" s="147"/>
      <c r="EJ114" s="147"/>
      <c r="EK114" s="147"/>
      <c r="EL114" s="147"/>
      <c r="EM114" s="147"/>
    </row>
    <row r="115" spans="1:146" ht="6.75" customHeight="1" thickTop="1">
      <c r="A115" s="146"/>
      <c r="B115" s="3607">
        <v>5</v>
      </c>
      <c r="C115" s="3608"/>
      <c r="D115" s="3972" t="str">
        <f>IF(ISBLANK(D96),"",D96)</f>
        <v/>
      </c>
      <c r="E115" s="3973"/>
      <c r="F115" s="3973"/>
      <c r="G115" s="3973"/>
      <c r="H115" s="3973"/>
      <c r="I115" s="3973"/>
      <c r="J115" s="3973"/>
      <c r="K115" s="3974"/>
      <c r="L115" s="3744"/>
      <c r="M115" s="3745"/>
      <c r="N115" s="3745"/>
      <c r="O115" s="3745"/>
      <c r="P115" s="3745"/>
      <c r="Q115" s="3745"/>
      <c r="R115" s="3745"/>
      <c r="S115" s="3745"/>
      <c r="T115" s="3745"/>
      <c r="U115" s="3745"/>
      <c r="V115" s="3746"/>
      <c r="W115" s="4798"/>
      <c r="X115" s="4799"/>
      <c r="Y115" s="4799"/>
      <c r="Z115" s="4799"/>
      <c r="AA115" s="4799"/>
      <c r="AB115" s="4799"/>
      <c r="AC115" s="4799"/>
      <c r="AD115" s="4799"/>
      <c r="AE115" s="4799"/>
      <c r="AF115" s="4800"/>
      <c r="AG115" s="3611"/>
      <c r="AH115" s="3612"/>
      <c r="AI115" s="3612"/>
      <c r="AJ115" s="3612"/>
      <c r="AK115" s="3613"/>
      <c r="AL115" s="4804"/>
      <c r="AM115" s="4805"/>
      <c r="AN115" s="4805"/>
      <c r="AO115" s="4805"/>
      <c r="AP115" s="4805"/>
      <c r="AQ115" s="4805"/>
      <c r="AR115" s="4805"/>
      <c r="AS115" s="4805"/>
      <c r="AT115" s="4805"/>
      <c r="AU115" s="4805"/>
      <c r="AV115" s="4805"/>
      <c r="AW115" s="4805"/>
      <c r="AX115" s="4805"/>
      <c r="AY115" s="4805"/>
      <c r="AZ115" s="4805"/>
      <c r="BA115" s="4805"/>
      <c r="BB115" s="4805"/>
      <c r="BC115" s="4805"/>
      <c r="BD115" s="4805"/>
      <c r="BE115" s="4805"/>
      <c r="BF115" s="4805"/>
      <c r="BG115" s="4805"/>
      <c r="BH115" s="4805"/>
      <c r="BI115" s="4806"/>
      <c r="BJ115" s="3788"/>
      <c r="BK115" s="3789"/>
      <c r="BL115" s="3789"/>
      <c r="BM115" s="3789"/>
      <c r="BN115" s="3789"/>
      <c r="BO115" s="3790"/>
      <c r="BP115" s="3826"/>
      <c r="BQ115" s="3827"/>
      <c r="BR115" s="3827"/>
      <c r="BS115" s="3831"/>
      <c r="BT115" s="3831"/>
      <c r="BU115" s="3831"/>
      <c r="BV115" s="3810"/>
      <c r="BW115" s="3810"/>
      <c r="BX115" s="3807"/>
      <c r="BY115" s="3807"/>
      <c r="BZ115" s="3807"/>
      <c r="CA115" s="3810"/>
      <c r="CB115" s="3810"/>
      <c r="CC115" s="3813"/>
      <c r="CD115" s="3813"/>
      <c r="CE115" s="3813"/>
      <c r="CF115" s="3817"/>
      <c r="CG115" s="3818"/>
      <c r="CH115" s="3650"/>
      <c r="CI115" s="3651"/>
      <c r="CJ115" s="3651"/>
      <c r="CK115" s="3651"/>
      <c r="CL115" s="3652"/>
      <c r="CM115" s="3803" t="str">
        <f>IF(AG115="更新", "※「設置場所」が必須項目となります。", "")</f>
        <v/>
      </c>
      <c r="CN115" s="3804"/>
      <c r="CO115" s="3804"/>
      <c r="CP115" s="3804"/>
      <c r="CQ115" s="3804"/>
      <c r="CR115" s="3804"/>
      <c r="CS115" s="3804"/>
      <c r="CT115" s="3804"/>
      <c r="CU115" s="3804"/>
      <c r="CV115" s="3804"/>
      <c r="CW115" s="3804"/>
      <c r="CX115" s="3804"/>
      <c r="CY115" s="3804"/>
      <c r="CZ115" s="3804"/>
      <c r="DA115" s="3804"/>
      <c r="DB115" s="3804"/>
      <c r="DC115" s="3804"/>
      <c r="DD115" s="3804"/>
      <c r="DE115" s="3804"/>
      <c r="DF115" s="3804"/>
      <c r="DG115" s="3804"/>
      <c r="DH115" s="3804"/>
      <c r="DI115" s="3804"/>
      <c r="DJ115" s="3804"/>
      <c r="DK115" s="3805"/>
      <c r="DL115" s="156"/>
      <c r="DM115" s="156"/>
      <c r="DN115" s="156"/>
      <c r="DO115" s="156"/>
      <c r="DP115" s="157"/>
      <c r="DQ115" s="147"/>
      <c r="DR115" s="147"/>
      <c r="DS115" s="147"/>
      <c r="DT115" s="147"/>
      <c r="DU115" s="147"/>
      <c r="DV115" s="147"/>
      <c r="DW115" s="147"/>
      <c r="DX115" s="147"/>
      <c r="DY115" s="147"/>
      <c r="DZ115" s="147"/>
      <c r="EA115" s="147"/>
      <c r="EB115" s="147"/>
      <c r="EC115" s="147"/>
      <c r="ED115" s="147"/>
      <c r="EE115" s="147"/>
      <c r="EF115" s="147"/>
      <c r="EG115" s="147"/>
      <c r="EH115" s="147"/>
      <c r="EI115" s="147"/>
      <c r="EJ115" s="147"/>
      <c r="EK115" s="147"/>
      <c r="EL115" s="147"/>
      <c r="EM115" s="147"/>
    </row>
    <row r="116" spans="1:146" ht="6.75" customHeight="1" thickBot="1">
      <c r="A116" s="146"/>
      <c r="B116" s="3609"/>
      <c r="C116" s="3610"/>
      <c r="D116" s="4081"/>
      <c r="E116" s="4082"/>
      <c r="F116" s="4082"/>
      <c r="G116" s="4082"/>
      <c r="H116" s="4082"/>
      <c r="I116" s="4082"/>
      <c r="J116" s="4082"/>
      <c r="K116" s="4083"/>
      <c r="L116" s="3747"/>
      <c r="M116" s="3748"/>
      <c r="N116" s="3748"/>
      <c r="O116" s="3748"/>
      <c r="P116" s="3748"/>
      <c r="Q116" s="3748"/>
      <c r="R116" s="3748"/>
      <c r="S116" s="3748"/>
      <c r="T116" s="3748"/>
      <c r="U116" s="3748"/>
      <c r="V116" s="3749"/>
      <c r="W116" s="4801"/>
      <c r="X116" s="4802"/>
      <c r="Y116" s="4802"/>
      <c r="Z116" s="4802"/>
      <c r="AA116" s="4802"/>
      <c r="AB116" s="4802"/>
      <c r="AC116" s="4802"/>
      <c r="AD116" s="4802"/>
      <c r="AE116" s="4802"/>
      <c r="AF116" s="4803"/>
      <c r="AG116" s="3614"/>
      <c r="AH116" s="3615"/>
      <c r="AI116" s="3615"/>
      <c r="AJ116" s="3615"/>
      <c r="AK116" s="3616"/>
      <c r="AL116" s="4807"/>
      <c r="AM116" s="4808"/>
      <c r="AN116" s="4808"/>
      <c r="AO116" s="4808"/>
      <c r="AP116" s="4808"/>
      <c r="AQ116" s="4808"/>
      <c r="AR116" s="4808"/>
      <c r="AS116" s="4808"/>
      <c r="AT116" s="4808"/>
      <c r="AU116" s="4808"/>
      <c r="AV116" s="4808"/>
      <c r="AW116" s="4808"/>
      <c r="AX116" s="4808"/>
      <c r="AY116" s="4808"/>
      <c r="AZ116" s="4808"/>
      <c r="BA116" s="4808"/>
      <c r="BB116" s="4808"/>
      <c r="BC116" s="4808"/>
      <c r="BD116" s="4808"/>
      <c r="BE116" s="4808"/>
      <c r="BF116" s="4808"/>
      <c r="BG116" s="4808"/>
      <c r="BH116" s="4808"/>
      <c r="BI116" s="4809"/>
      <c r="BJ116" s="3791"/>
      <c r="BK116" s="3792"/>
      <c r="BL116" s="3792"/>
      <c r="BM116" s="3792"/>
      <c r="BN116" s="3792"/>
      <c r="BO116" s="3793"/>
      <c r="BP116" s="3828"/>
      <c r="BQ116" s="3829"/>
      <c r="BR116" s="3829"/>
      <c r="BS116" s="3832"/>
      <c r="BT116" s="3832"/>
      <c r="BU116" s="3832"/>
      <c r="BV116" s="3811"/>
      <c r="BW116" s="3811"/>
      <c r="BX116" s="3808"/>
      <c r="BY116" s="3808"/>
      <c r="BZ116" s="3808"/>
      <c r="CA116" s="3811"/>
      <c r="CB116" s="3811"/>
      <c r="CC116" s="3814"/>
      <c r="CD116" s="3814"/>
      <c r="CE116" s="3814"/>
      <c r="CF116" s="3819"/>
      <c r="CG116" s="3820"/>
      <c r="CH116" s="3614"/>
      <c r="CI116" s="3615"/>
      <c r="CJ116" s="3615"/>
      <c r="CK116" s="3615"/>
      <c r="CL116" s="3616"/>
      <c r="CM116" s="3821"/>
      <c r="CN116" s="3822"/>
      <c r="CO116" s="3822"/>
      <c r="CP116" s="3822"/>
      <c r="CQ116" s="3822"/>
      <c r="CR116" s="3822"/>
      <c r="CS116" s="3822"/>
      <c r="CT116" s="3822"/>
      <c r="CU116" s="3822"/>
      <c r="CV116" s="3822"/>
      <c r="CW116" s="3822"/>
      <c r="CX116" s="3822"/>
      <c r="CY116" s="3822"/>
      <c r="CZ116" s="3822"/>
      <c r="DA116" s="3822"/>
      <c r="DB116" s="3822"/>
      <c r="DC116" s="3822"/>
      <c r="DD116" s="3822"/>
      <c r="DE116" s="3822"/>
      <c r="DF116" s="3822"/>
      <c r="DG116" s="3822"/>
      <c r="DH116" s="3822"/>
      <c r="DI116" s="3822"/>
      <c r="DJ116" s="3822"/>
      <c r="DK116" s="3823"/>
      <c r="DL116" s="156"/>
      <c r="DM116" s="156"/>
      <c r="DN116" s="156"/>
      <c r="DO116" s="156"/>
      <c r="DP116" s="157"/>
      <c r="DQ116" s="147"/>
      <c r="DR116" s="147"/>
      <c r="DS116" s="147"/>
      <c r="DT116" s="147"/>
      <c r="DU116" s="147"/>
      <c r="DV116" s="147"/>
      <c r="DW116" s="147"/>
      <c r="DX116" s="147"/>
      <c r="DY116" s="147"/>
      <c r="DZ116" s="147"/>
      <c r="EA116" s="147"/>
      <c r="EB116" s="147"/>
      <c r="EC116" s="147"/>
      <c r="ED116" s="147"/>
      <c r="EE116" s="147"/>
      <c r="EF116" s="147"/>
      <c r="EG116" s="147"/>
      <c r="EH116" s="147"/>
      <c r="EI116" s="147"/>
      <c r="EJ116" s="147"/>
      <c r="EK116" s="147"/>
      <c r="EL116" s="147"/>
      <c r="EM116" s="147"/>
    </row>
    <row r="117" spans="1:146" ht="6.75" customHeight="1" thickTop="1" thickBot="1">
      <c r="A117" s="146"/>
      <c r="B117" s="158"/>
      <c r="C117" s="158"/>
      <c r="D117" s="159"/>
      <c r="E117" s="159"/>
      <c r="F117" s="159"/>
      <c r="G117" s="159"/>
      <c r="H117" s="159"/>
      <c r="I117" s="159"/>
      <c r="J117" s="159"/>
      <c r="K117" s="159"/>
      <c r="L117" s="159"/>
      <c r="M117" s="159"/>
      <c r="N117" s="160"/>
      <c r="O117" s="160"/>
      <c r="P117" s="160"/>
      <c r="Q117" s="160"/>
      <c r="R117" s="160"/>
      <c r="S117" s="160"/>
      <c r="T117" s="160"/>
      <c r="U117" s="160"/>
      <c r="V117" s="160"/>
      <c r="W117" s="160"/>
      <c r="X117" s="160"/>
      <c r="Y117" s="160"/>
      <c r="Z117" s="161"/>
      <c r="AA117" s="161"/>
      <c r="AB117" s="161"/>
      <c r="AC117" s="161"/>
      <c r="AD117" s="161"/>
      <c r="AE117" s="161"/>
      <c r="AF117" s="161"/>
      <c r="AG117" s="161"/>
      <c r="AH117" s="161"/>
      <c r="AI117" s="161"/>
      <c r="AJ117" s="161"/>
      <c r="AK117" s="161"/>
      <c r="AL117" s="159"/>
      <c r="AM117" s="159"/>
      <c r="AN117" s="159"/>
      <c r="AO117" s="159"/>
      <c r="AP117" s="159"/>
      <c r="AQ117" s="159"/>
      <c r="AR117" s="159"/>
      <c r="AS117" s="159"/>
      <c r="AT117" s="162"/>
      <c r="AU117" s="162"/>
      <c r="AV117" s="162"/>
      <c r="AW117" s="162"/>
      <c r="AX117" s="162"/>
      <c r="AY117" s="162"/>
      <c r="AZ117" s="163"/>
      <c r="BA117" s="163"/>
      <c r="BB117" s="164"/>
      <c r="BC117" s="164"/>
      <c r="BD117" s="165"/>
      <c r="BE117" s="165"/>
      <c r="BF117" s="166"/>
      <c r="BG117" s="166"/>
      <c r="BH117" s="167"/>
      <c r="BI117" s="167"/>
      <c r="BJ117" s="166"/>
      <c r="BK117" s="166"/>
      <c r="BL117" s="167"/>
      <c r="BM117" s="167"/>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55"/>
      <c r="DM117" s="156"/>
      <c r="DN117" s="156"/>
      <c r="DO117" s="156"/>
      <c r="DP117" s="156"/>
      <c r="DQ117" s="156"/>
      <c r="DR117" s="156"/>
      <c r="DS117" s="157"/>
      <c r="DT117" s="147"/>
      <c r="DU117" s="147"/>
      <c r="DV117" s="147"/>
      <c r="DW117" s="147"/>
      <c r="DX117" s="147"/>
      <c r="DY117" s="147"/>
      <c r="DZ117" s="147"/>
      <c r="EA117" s="147"/>
      <c r="EB117" s="147"/>
      <c r="EC117" s="147"/>
      <c r="ED117" s="147"/>
      <c r="EE117" s="147"/>
      <c r="EF117" s="147"/>
      <c r="EG117" s="147"/>
      <c r="EH117" s="147"/>
      <c r="EI117" s="147"/>
      <c r="EJ117" s="147"/>
      <c r="EK117" s="147"/>
      <c r="EL117" s="147"/>
      <c r="EM117" s="147"/>
      <c r="EN117" s="147"/>
      <c r="EO117" s="147"/>
      <c r="EP117" s="147"/>
    </row>
    <row r="118" spans="1:146" ht="6.75" customHeight="1" thickTop="1">
      <c r="A118" s="146"/>
      <c r="B118" s="4058" t="s">
        <v>297</v>
      </c>
      <c r="C118" s="4059"/>
      <c r="D118" s="4059"/>
      <c r="E118" s="4059"/>
      <c r="F118" s="4059"/>
      <c r="G118" s="4059"/>
      <c r="H118" s="4059"/>
      <c r="I118" s="4059"/>
      <c r="J118" s="4059"/>
      <c r="K118" s="4059"/>
      <c r="L118" s="4059"/>
      <c r="M118" s="4059"/>
      <c r="N118" s="4059"/>
      <c r="O118" s="4059"/>
      <c r="P118" s="4059"/>
      <c r="Q118" s="4059"/>
      <c r="R118" s="4059"/>
      <c r="S118" s="4059"/>
      <c r="T118" s="4059"/>
      <c r="U118" s="4033" t="s">
        <v>298</v>
      </c>
      <c r="V118" s="3918"/>
      <c r="W118" s="3918"/>
      <c r="X118" s="3918"/>
      <c r="Y118" s="3918"/>
      <c r="Z118" s="3918"/>
      <c r="AA118" s="3918"/>
      <c r="AB118" s="3918"/>
      <c r="AC118" s="3918"/>
      <c r="AD118" s="3918"/>
      <c r="AE118" s="3918"/>
      <c r="AF118" s="3918"/>
      <c r="AG118" s="3918"/>
      <c r="AH118" s="3918"/>
      <c r="AI118" s="3918"/>
      <c r="AJ118" s="3918"/>
      <c r="AK118" s="3918"/>
      <c r="AL118" s="3918"/>
      <c r="AM118" s="3918"/>
      <c r="AN118" s="3918"/>
      <c r="AO118" s="4052"/>
      <c r="AP118" s="4053"/>
      <c r="AQ118" s="4053"/>
      <c r="AR118" s="4053"/>
      <c r="AS118" s="4053"/>
      <c r="AT118" s="4053"/>
      <c r="AU118" s="4053"/>
      <c r="AV118" s="4053"/>
      <c r="AW118" s="4053"/>
      <c r="AX118" s="4053"/>
      <c r="AY118" s="4053"/>
      <c r="AZ118" s="4053"/>
      <c r="BA118" s="4053"/>
      <c r="BB118" s="4053"/>
      <c r="BC118" s="4053"/>
      <c r="BD118" s="4053"/>
      <c r="BE118" s="4053"/>
      <c r="BF118" s="4053"/>
      <c r="BG118" s="4053"/>
      <c r="BH118" s="4053"/>
      <c r="BI118" s="4053"/>
      <c r="BJ118" s="4053"/>
      <c r="BK118" s="4053"/>
      <c r="BL118" s="4053"/>
      <c r="BM118" s="4053"/>
      <c r="BN118" s="4053"/>
      <c r="BO118" s="4053"/>
      <c r="BP118" s="4053"/>
      <c r="BQ118" s="4053"/>
      <c r="BR118" s="4053"/>
      <c r="BS118" s="4053"/>
      <c r="BT118" s="4053"/>
      <c r="BU118" s="4053"/>
      <c r="BV118" s="4053"/>
      <c r="BW118" s="4053"/>
      <c r="BX118" s="4053"/>
      <c r="BY118" s="4053"/>
      <c r="BZ118" s="4053"/>
      <c r="CA118" s="4053"/>
      <c r="CB118" s="4053"/>
      <c r="CC118" s="4053"/>
      <c r="CD118" s="4053"/>
      <c r="CE118" s="4053"/>
      <c r="CF118" s="4053"/>
      <c r="CG118" s="4053"/>
      <c r="CH118" s="4053"/>
      <c r="CI118" s="4053"/>
      <c r="CJ118" s="4053"/>
      <c r="CK118" s="4053"/>
      <c r="CL118" s="4053"/>
      <c r="CM118" s="4053"/>
      <c r="CN118" s="4053"/>
      <c r="CO118" s="4053"/>
      <c r="CP118" s="4053"/>
      <c r="CQ118" s="4053"/>
      <c r="CR118" s="4053"/>
      <c r="CS118" s="4053"/>
      <c r="CT118" s="4053"/>
      <c r="CU118" s="4053"/>
      <c r="CV118" s="4053"/>
      <c r="CW118" s="4053"/>
      <c r="CX118" s="4053"/>
      <c r="CY118" s="4053"/>
      <c r="CZ118" s="4053"/>
      <c r="DA118" s="4053"/>
      <c r="DB118" s="4053"/>
      <c r="DC118" s="4053"/>
      <c r="DD118" s="4053"/>
      <c r="DE118" s="4053"/>
      <c r="DF118" s="4053"/>
      <c r="DG118" s="4053"/>
      <c r="DH118" s="4053"/>
      <c r="DI118" s="4053"/>
      <c r="DJ118" s="4053"/>
      <c r="DK118" s="4054"/>
      <c r="DL118" s="128"/>
    </row>
    <row r="119" spans="1:146" ht="6.75" customHeight="1" thickBot="1">
      <c r="A119" s="146"/>
      <c r="B119" s="4060"/>
      <c r="C119" s="4061"/>
      <c r="D119" s="4061"/>
      <c r="E119" s="4061"/>
      <c r="F119" s="4061"/>
      <c r="G119" s="4061"/>
      <c r="H119" s="4061"/>
      <c r="I119" s="4061"/>
      <c r="J119" s="4061"/>
      <c r="K119" s="4061"/>
      <c r="L119" s="4061"/>
      <c r="M119" s="4061"/>
      <c r="N119" s="4061"/>
      <c r="O119" s="4061"/>
      <c r="P119" s="4061"/>
      <c r="Q119" s="4061"/>
      <c r="R119" s="4061"/>
      <c r="S119" s="4061"/>
      <c r="T119" s="4061"/>
      <c r="U119" s="3919"/>
      <c r="V119" s="3919"/>
      <c r="W119" s="3919"/>
      <c r="X119" s="3919"/>
      <c r="Y119" s="3919"/>
      <c r="Z119" s="3919"/>
      <c r="AA119" s="3919"/>
      <c r="AB119" s="3919"/>
      <c r="AC119" s="3919"/>
      <c r="AD119" s="3919"/>
      <c r="AE119" s="3919"/>
      <c r="AF119" s="3919"/>
      <c r="AG119" s="3919"/>
      <c r="AH119" s="3919"/>
      <c r="AI119" s="3919"/>
      <c r="AJ119" s="3919"/>
      <c r="AK119" s="3919"/>
      <c r="AL119" s="3919"/>
      <c r="AM119" s="3919"/>
      <c r="AN119" s="3919"/>
      <c r="AO119" s="4055"/>
      <c r="AP119" s="4055"/>
      <c r="AQ119" s="4055"/>
      <c r="AR119" s="4055"/>
      <c r="AS119" s="4055"/>
      <c r="AT119" s="4055"/>
      <c r="AU119" s="4055"/>
      <c r="AV119" s="4055"/>
      <c r="AW119" s="4055"/>
      <c r="AX119" s="4055"/>
      <c r="AY119" s="4055"/>
      <c r="AZ119" s="4055"/>
      <c r="BA119" s="4055"/>
      <c r="BB119" s="4055"/>
      <c r="BC119" s="4055"/>
      <c r="BD119" s="4055"/>
      <c r="BE119" s="4055"/>
      <c r="BF119" s="4055"/>
      <c r="BG119" s="4055"/>
      <c r="BH119" s="4055"/>
      <c r="BI119" s="4055"/>
      <c r="BJ119" s="4055"/>
      <c r="BK119" s="4055"/>
      <c r="BL119" s="4055"/>
      <c r="BM119" s="4055"/>
      <c r="BN119" s="4055"/>
      <c r="BO119" s="4055"/>
      <c r="BP119" s="4055"/>
      <c r="BQ119" s="4055"/>
      <c r="BR119" s="4055"/>
      <c r="BS119" s="4055"/>
      <c r="BT119" s="4055"/>
      <c r="BU119" s="4055"/>
      <c r="BV119" s="4055"/>
      <c r="BW119" s="4055"/>
      <c r="BX119" s="4055"/>
      <c r="BY119" s="4055"/>
      <c r="BZ119" s="4055"/>
      <c r="CA119" s="4055"/>
      <c r="CB119" s="4055"/>
      <c r="CC119" s="4055"/>
      <c r="CD119" s="4055"/>
      <c r="CE119" s="4055"/>
      <c r="CF119" s="4055"/>
      <c r="CG119" s="4055"/>
      <c r="CH119" s="4055"/>
      <c r="CI119" s="4055"/>
      <c r="CJ119" s="4055"/>
      <c r="CK119" s="4055"/>
      <c r="CL119" s="4055"/>
      <c r="CM119" s="4055"/>
      <c r="CN119" s="4055"/>
      <c r="CO119" s="4055"/>
      <c r="CP119" s="4055"/>
      <c r="CQ119" s="4055"/>
      <c r="CR119" s="4055"/>
      <c r="CS119" s="4055"/>
      <c r="CT119" s="4055"/>
      <c r="CU119" s="4055"/>
      <c r="CV119" s="4055"/>
      <c r="CW119" s="4055"/>
      <c r="CX119" s="4055"/>
      <c r="CY119" s="4055"/>
      <c r="CZ119" s="4055"/>
      <c r="DA119" s="4055"/>
      <c r="DB119" s="4055"/>
      <c r="DC119" s="4055"/>
      <c r="DD119" s="4055"/>
      <c r="DE119" s="4055"/>
      <c r="DF119" s="4055"/>
      <c r="DG119" s="4055"/>
      <c r="DH119" s="4055"/>
      <c r="DI119" s="4055"/>
      <c r="DJ119" s="4055"/>
      <c r="DK119" s="4056"/>
      <c r="DL119" s="134"/>
    </row>
    <row r="120" spans="1:146" ht="6.75" customHeight="1">
      <c r="A120" s="146"/>
      <c r="B120" s="3571" t="s">
        <v>269</v>
      </c>
      <c r="C120" s="3572"/>
      <c r="D120" s="3577" t="s">
        <v>270</v>
      </c>
      <c r="E120" s="3578"/>
      <c r="F120" s="3578"/>
      <c r="G120" s="3578"/>
      <c r="H120" s="3578"/>
      <c r="I120" s="3578"/>
      <c r="J120" s="3578"/>
      <c r="K120" s="3578"/>
      <c r="L120" s="3578"/>
      <c r="M120" s="3578"/>
      <c r="N120" s="3578"/>
      <c r="O120" s="3578"/>
      <c r="P120" s="3578"/>
      <c r="Q120" s="3579"/>
      <c r="R120" s="3719" t="s">
        <v>301</v>
      </c>
      <c r="S120" s="3720"/>
      <c r="T120" s="3720"/>
      <c r="U120" s="3720"/>
      <c r="V120" s="3720"/>
      <c r="W120" s="3720"/>
      <c r="X120" s="3720"/>
      <c r="Y120" s="3720"/>
      <c r="Z120" s="3720"/>
      <c r="AA120" s="3720"/>
      <c r="AB120" s="3720"/>
      <c r="AC120" s="3720"/>
      <c r="AD120" s="3720"/>
      <c r="AE120" s="3720"/>
      <c r="AF120" s="3720"/>
      <c r="AG120" s="3720"/>
      <c r="AH120" s="3720"/>
      <c r="AI120" s="3720"/>
      <c r="AJ120" s="3720"/>
      <c r="AK120" s="3720"/>
      <c r="AL120" s="3720"/>
      <c r="AM120" s="3720"/>
      <c r="AN120" s="3720"/>
      <c r="AO120" s="3720"/>
      <c r="AP120" s="3720"/>
      <c r="AQ120" s="3720"/>
      <c r="AR120" s="3720"/>
      <c r="AS120" s="3720"/>
      <c r="AT120" s="3720"/>
      <c r="AU120" s="3720"/>
      <c r="AV120" s="3720"/>
      <c r="AW120" s="3720"/>
      <c r="AX120" s="3720"/>
      <c r="AY120" s="3720"/>
      <c r="AZ120" s="3720"/>
      <c r="BA120" s="3720"/>
      <c r="BB120" s="3720"/>
      <c r="BC120" s="3720"/>
      <c r="BD120" s="3720"/>
      <c r="BE120" s="3720"/>
      <c r="BF120" s="3720"/>
      <c r="BG120" s="3720"/>
      <c r="BH120" s="3720"/>
      <c r="BI120" s="3720"/>
      <c r="BJ120" s="3720"/>
      <c r="BK120" s="3720"/>
      <c r="BL120" s="3720"/>
      <c r="BM120" s="3720"/>
      <c r="BN120" s="3720"/>
      <c r="BO120" s="3720"/>
      <c r="BP120" s="3720"/>
      <c r="BQ120" s="3720"/>
      <c r="BR120" s="3720"/>
      <c r="BS120" s="3720"/>
      <c r="BT120" s="3720"/>
      <c r="BU120" s="3720"/>
      <c r="BV120" s="3720"/>
      <c r="BW120" s="3720"/>
      <c r="BX120" s="3720"/>
      <c r="BY120" s="3720"/>
      <c r="BZ120" s="3720"/>
      <c r="CA120" s="3720"/>
      <c r="CB120" s="3720"/>
      <c r="CC120" s="3720"/>
      <c r="CD120" s="3720"/>
      <c r="CE120" s="3720"/>
      <c r="CF120" s="3720"/>
      <c r="CG120" s="3720"/>
      <c r="CH120" s="3720"/>
      <c r="CI120" s="3720"/>
      <c r="CJ120" s="3720"/>
      <c r="CK120" s="3720"/>
      <c r="CL120" s="3720"/>
      <c r="CM120" s="3720"/>
      <c r="CN120" s="3720"/>
      <c r="CO120" s="3720"/>
      <c r="CP120" s="3720"/>
      <c r="CQ120" s="3720"/>
      <c r="CR120" s="3720"/>
      <c r="CS120" s="3720"/>
      <c r="CT120" s="3720"/>
      <c r="CU120" s="3720"/>
      <c r="CV120" s="3720"/>
      <c r="CW120" s="3720"/>
      <c r="CX120" s="3720"/>
      <c r="CY120" s="3720"/>
      <c r="CZ120" s="3720"/>
      <c r="DA120" s="3720"/>
      <c r="DB120" s="3720"/>
      <c r="DC120" s="3720"/>
      <c r="DD120" s="3720"/>
      <c r="DE120" s="3720"/>
      <c r="DF120" s="3720"/>
      <c r="DG120" s="3720"/>
      <c r="DH120" s="3720"/>
      <c r="DI120" s="3720"/>
      <c r="DJ120" s="3720"/>
      <c r="DK120" s="393"/>
      <c r="DL120" s="128"/>
    </row>
    <row r="121" spans="1:146" ht="6.75" customHeight="1">
      <c r="A121" s="146"/>
      <c r="B121" s="3573"/>
      <c r="C121" s="3574"/>
      <c r="D121" s="3580"/>
      <c r="E121" s="3581"/>
      <c r="F121" s="3581"/>
      <c r="G121" s="3581"/>
      <c r="H121" s="3581"/>
      <c r="I121" s="3581"/>
      <c r="J121" s="3581"/>
      <c r="K121" s="3581"/>
      <c r="L121" s="3581"/>
      <c r="M121" s="3581"/>
      <c r="N121" s="3581"/>
      <c r="O121" s="3581"/>
      <c r="P121" s="3581"/>
      <c r="Q121" s="3582"/>
      <c r="R121" s="3722"/>
      <c r="S121" s="3723"/>
      <c r="T121" s="3723"/>
      <c r="U121" s="3723"/>
      <c r="V121" s="3723"/>
      <c r="W121" s="3723"/>
      <c r="X121" s="3723"/>
      <c r="Y121" s="3723"/>
      <c r="Z121" s="3723"/>
      <c r="AA121" s="3723"/>
      <c r="AB121" s="3723"/>
      <c r="AC121" s="3723"/>
      <c r="AD121" s="3723"/>
      <c r="AE121" s="3723"/>
      <c r="AF121" s="3723"/>
      <c r="AG121" s="3723"/>
      <c r="AH121" s="3723"/>
      <c r="AI121" s="3723"/>
      <c r="AJ121" s="3723"/>
      <c r="AK121" s="3723"/>
      <c r="AL121" s="3723"/>
      <c r="AM121" s="3723"/>
      <c r="AN121" s="3723"/>
      <c r="AO121" s="3723"/>
      <c r="AP121" s="3723"/>
      <c r="AQ121" s="3723"/>
      <c r="AR121" s="3723"/>
      <c r="AS121" s="3723"/>
      <c r="AT121" s="3723"/>
      <c r="AU121" s="3723"/>
      <c r="AV121" s="3723"/>
      <c r="AW121" s="3723"/>
      <c r="AX121" s="3723"/>
      <c r="AY121" s="3723"/>
      <c r="AZ121" s="3723"/>
      <c r="BA121" s="3723"/>
      <c r="BB121" s="3723"/>
      <c r="BC121" s="3723"/>
      <c r="BD121" s="3723"/>
      <c r="BE121" s="3723"/>
      <c r="BF121" s="3723"/>
      <c r="BG121" s="3723"/>
      <c r="BH121" s="3723"/>
      <c r="BI121" s="3723"/>
      <c r="BJ121" s="3723"/>
      <c r="BK121" s="3723"/>
      <c r="BL121" s="3723"/>
      <c r="BM121" s="3723"/>
      <c r="BN121" s="3723"/>
      <c r="BO121" s="3723"/>
      <c r="BP121" s="3723"/>
      <c r="BQ121" s="3723"/>
      <c r="BR121" s="3723"/>
      <c r="BS121" s="3723"/>
      <c r="BT121" s="3723"/>
      <c r="BU121" s="3723"/>
      <c r="BV121" s="3723"/>
      <c r="BW121" s="3723"/>
      <c r="BX121" s="3723"/>
      <c r="BY121" s="3723"/>
      <c r="BZ121" s="3723"/>
      <c r="CA121" s="3723"/>
      <c r="CB121" s="3723"/>
      <c r="CC121" s="3723"/>
      <c r="CD121" s="3723"/>
      <c r="CE121" s="3723"/>
      <c r="CF121" s="3723"/>
      <c r="CG121" s="3723"/>
      <c r="CH121" s="3723"/>
      <c r="CI121" s="3723"/>
      <c r="CJ121" s="3723"/>
      <c r="CK121" s="3723"/>
      <c r="CL121" s="3723"/>
      <c r="CM121" s="3723"/>
      <c r="CN121" s="3723"/>
      <c r="CO121" s="3723"/>
      <c r="CP121" s="3723"/>
      <c r="CQ121" s="3723"/>
      <c r="CR121" s="3723"/>
      <c r="CS121" s="3723"/>
      <c r="CT121" s="3723"/>
      <c r="CU121" s="3723"/>
      <c r="CV121" s="3723"/>
      <c r="CW121" s="3723"/>
      <c r="CX121" s="3723"/>
      <c r="CY121" s="3723"/>
      <c r="CZ121" s="3723"/>
      <c r="DA121" s="3723"/>
      <c r="DB121" s="3723"/>
      <c r="DC121" s="3723"/>
      <c r="DD121" s="3723"/>
      <c r="DE121" s="3723"/>
      <c r="DF121" s="3723"/>
      <c r="DG121" s="3723"/>
      <c r="DH121" s="3723"/>
      <c r="DI121" s="3723"/>
      <c r="DJ121" s="3723"/>
      <c r="DK121" s="394"/>
      <c r="DL121" s="128"/>
    </row>
    <row r="122" spans="1:146" ht="6.75" customHeight="1">
      <c r="A122" s="146"/>
      <c r="B122" s="3573"/>
      <c r="C122" s="3574"/>
      <c r="D122" s="3580"/>
      <c r="E122" s="3581"/>
      <c r="F122" s="3581"/>
      <c r="G122" s="3581"/>
      <c r="H122" s="3581"/>
      <c r="I122" s="3581"/>
      <c r="J122" s="3581"/>
      <c r="K122" s="3581"/>
      <c r="L122" s="3581"/>
      <c r="M122" s="3581"/>
      <c r="N122" s="3581"/>
      <c r="O122" s="3581"/>
      <c r="P122" s="3581"/>
      <c r="Q122" s="3582"/>
      <c r="R122" s="3869" t="s">
        <v>302</v>
      </c>
      <c r="S122" s="3870"/>
      <c r="T122" s="3870"/>
      <c r="U122" s="3870"/>
      <c r="V122" s="3870"/>
      <c r="W122" s="3870"/>
      <c r="X122" s="3870"/>
      <c r="Y122" s="3871"/>
      <c r="Z122" s="3873" t="s">
        <v>40</v>
      </c>
      <c r="AA122" s="3870"/>
      <c r="AB122" s="3870"/>
      <c r="AC122" s="3870"/>
      <c r="AD122" s="3870"/>
      <c r="AE122" s="3870"/>
      <c r="AF122" s="3870"/>
      <c r="AG122" s="3870"/>
      <c r="AH122" s="3870"/>
      <c r="AI122" s="3870"/>
      <c r="AJ122" s="3870"/>
      <c r="AK122" s="3870"/>
      <c r="AL122" s="3870"/>
      <c r="AM122" s="3870"/>
      <c r="AN122" s="3870"/>
      <c r="AO122" s="3870"/>
      <c r="AP122" s="3870"/>
      <c r="AQ122" s="3870"/>
      <c r="AR122" s="3870"/>
      <c r="AS122" s="3870"/>
      <c r="AT122" s="3870"/>
      <c r="AU122" s="3870"/>
      <c r="AV122" s="3870"/>
      <c r="AW122" s="3870"/>
      <c r="AX122" s="3870"/>
      <c r="AY122" s="3870"/>
      <c r="AZ122" s="3870"/>
      <c r="BA122" s="3870"/>
      <c r="BB122" s="3870"/>
      <c r="BC122" s="3870"/>
      <c r="BD122" s="3870"/>
      <c r="BE122" s="3870"/>
      <c r="BF122" s="3871"/>
      <c r="BG122" s="3873" t="s">
        <v>303</v>
      </c>
      <c r="BH122" s="3870"/>
      <c r="BI122" s="3870"/>
      <c r="BJ122" s="3870"/>
      <c r="BK122" s="3870"/>
      <c r="BL122" s="3870"/>
      <c r="BM122" s="3871"/>
      <c r="BN122" s="3873" t="s">
        <v>304</v>
      </c>
      <c r="BO122" s="3870"/>
      <c r="BP122" s="3870"/>
      <c r="BQ122" s="3870"/>
      <c r="BR122" s="3871"/>
      <c r="BS122" s="3873" t="s">
        <v>305</v>
      </c>
      <c r="BT122" s="3870"/>
      <c r="BU122" s="3870"/>
      <c r="BV122" s="3870"/>
      <c r="BW122" s="3870"/>
      <c r="BX122" s="3870"/>
      <c r="BY122" s="3870"/>
      <c r="BZ122" s="3871"/>
      <c r="CA122" s="3873" t="s">
        <v>306</v>
      </c>
      <c r="CB122" s="3870"/>
      <c r="CC122" s="3870"/>
      <c r="CD122" s="3870"/>
      <c r="CE122" s="3870"/>
      <c r="CF122" s="3870"/>
      <c r="CG122" s="3870"/>
      <c r="CH122" s="3870"/>
      <c r="CI122" s="3870"/>
      <c r="CJ122" s="3870"/>
      <c r="CK122" s="3870"/>
      <c r="CL122" s="3871"/>
      <c r="CM122" s="3873" t="s">
        <v>307</v>
      </c>
      <c r="CN122" s="3870"/>
      <c r="CO122" s="3870"/>
      <c r="CP122" s="3870"/>
      <c r="CQ122" s="3870"/>
      <c r="CR122" s="3870"/>
      <c r="CS122" s="3870"/>
      <c r="CT122" s="3870"/>
      <c r="CU122" s="3870"/>
      <c r="CV122" s="3870"/>
      <c r="CW122" s="3870"/>
      <c r="CX122" s="3870"/>
      <c r="CY122" s="3870"/>
      <c r="CZ122" s="3870"/>
      <c r="DA122" s="3871"/>
      <c r="DB122" s="3873" t="s">
        <v>308</v>
      </c>
      <c r="DC122" s="3870"/>
      <c r="DD122" s="3870"/>
      <c r="DE122" s="3870"/>
      <c r="DF122" s="3870"/>
      <c r="DG122" s="3870"/>
      <c r="DH122" s="3870"/>
      <c r="DI122" s="3870"/>
      <c r="DJ122" s="3870"/>
      <c r="DK122" s="4057"/>
      <c r="DL122" s="128"/>
    </row>
    <row r="123" spans="1:146" ht="6.75" customHeight="1">
      <c r="A123" s="146"/>
      <c r="B123" s="3575"/>
      <c r="C123" s="3576"/>
      <c r="D123" s="3583"/>
      <c r="E123" s="3584"/>
      <c r="F123" s="3584"/>
      <c r="G123" s="3584"/>
      <c r="H123" s="3584"/>
      <c r="I123" s="3584"/>
      <c r="J123" s="3584"/>
      <c r="K123" s="3584"/>
      <c r="L123" s="3584"/>
      <c r="M123" s="3584"/>
      <c r="N123" s="3584"/>
      <c r="O123" s="3584"/>
      <c r="P123" s="3584"/>
      <c r="Q123" s="3585"/>
      <c r="R123" s="3554"/>
      <c r="S123" s="3555"/>
      <c r="T123" s="3555"/>
      <c r="U123" s="3555"/>
      <c r="V123" s="3555"/>
      <c r="W123" s="3555"/>
      <c r="X123" s="3555"/>
      <c r="Y123" s="3872"/>
      <c r="Z123" s="3874"/>
      <c r="AA123" s="3555"/>
      <c r="AB123" s="3555"/>
      <c r="AC123" s="3555"/>
      <c r="AD123" s="3555"/>
      <c r="AE123" s="3555"/>
      <c r="AF123" s="3555"/>
      <c r="AG123" s="3555"/>
      <c r="AH123" s="3555"/>
      <c r="AI123" s="3555"/>
      <c r="AJ123" s="3555"/>
      <c r="AK123" s="3555"/>
      <c r="AL123" s="3555"/>
      <c r="AM123" s="3555"/>
      <c r="AN123" s="3555"/>
      <c r="AO123" s="3555"/>
      <c r="AP123" s="3555"/>
      <c r="AQ123" s="3555"/>
      <c r="AR123" s="3555"/>
      <c r="AS123" s="3555"/>
      <c r="AT123" s="3555"/>
      <c r="AU123" s="3555"/>
      <c r="AV123" s="3555"/>
      <c r="AW123" s="3555"/>
      <c r="AX123" s="3555"/>
      <c r="AY123" s="3555"/>
      <c r="AZ123" s="3555"/>
      <c r="BA123" s="3555"/>
      <c r="BB123" s="3555"/>
      <c r="BC123" s="3555"/>
      <c r="BD123" s="3555"/>
      <c r="BE123" s="3555"/>
      <c r="BF123" s="3872"/>
      <c r="BG123" s="3874"/>
      <c r="BH123" s="3555"/>
      <c r="BI123" s="3555"/>
      <c r="BJ123" s="3555"/>
      <c r="BK123" s="3555"/>
      <c r="BL123" s="3555"/>
      <c r="BM123" s="3872"/>
      <c r="BN123" s="3874"/>
      <c r="BO123" s="3555"/>
      <c r="BP123" s="3555"/>
      <c r="BQ123" s="3555"/>
      <c r="BR123" s="3872"/>
      <c r="BS123" s="3874"/>
      <c r="BT123" s="3555"/>
      <c r="BU123" s="3555"/>
      <c r="BV123" s="3555"/>
      <c r="BW123" s="3555"/>
      <c r="BX123" s="3555"/>
      <c r="BY123" s="3555"/>
      <c r="BZ123" s="3872"/>
      <c r="CA123" s="3874"/>
      <c r="CB123" s="3555"/>
      <c r="CC123" s="3555"/>
      <c r="CD123" s="3555"/>
      <c r="CE123" s="3555"/>
      <c r="CF123" s="3555"/>
      <c r="CG123" s="3555"/>
      <c r="CH123" s="3555"/>
      <c r="CI123" s="3555"/>
      <c r="CJ123" s="3555"/>
      <c r="CK123" s="3555"/>
      <c r="CL123" s="3872"/>
      <c r="CM123" s="3874"/>
      <c r="CN123" s="3555"/>
      <c r="CO123" s="3555"/>
      <c r="CP123" s="3555"/>
      <c r="CQ123" s="3555"/>
      <c r="CR123" s="3555"/>
      <c r="CS123" s="3555"/>
      <c r="CT123" s="3555"/>
      <c r="CU123" s="3555"/>
      <c r="CV123" s="3555"/>
      <c r="CW123" s="3555"/>
      <c r="CX123" s="3555"/>
      <c r="CY123" s="3555"/>
      <c r="CZ123" s="3555"/>
      <c r="DA123" s="3872"/>
      <c r="DB123" s="3874"/>
      <c r="DC123" s="3555"/>
      <c r="DD123" s="3555"/>
      <c r="DE123" s="3555"/>
      <c r="DF123" s="3555"/>
      <c r="DG123" s="3555"/>
      <c r="DH123" s="3555"/>
      <c r="DI123" s="3555"/>
      <c r="DJ123" s="3555"/>
      <c r="DK123" s="3556"/>
      <c r="DL123" s="128"/>
    </row>
    <row r="124" spans="1:146" ht="6.75" customHeight="1">
      <c r="A124" s="146"/>
      <c r="B124" s="3700" t="s">
        <v>277</v>
      </c>
      <c r="C124" s="3701"/>
      <c r="D124" s="3673" t="str">
        <f>IF(ISBLANK(D105),"",D105)</f>
        <v>SPA_4000_M6</v>
      </c>
      <c r="E124" s="3674"/>
      <c r="F124" s="3674"/>
      <c r="G124" s="3674"/>
      <c r="H124" s="3674"/>
      <c r="I124" s="3674"/>
      <c r="J124" s="3674"/>
      <c r="K124" s="3674"/>
      <c r="L124" s="3674"/>
      <c r="M124" s="3674"/>
      <c r="N124" s="3674"/>
      <c r="O124" s="3674"/>
      <c r="P124" s="3674"/>
      <c r="Q124" s="3677"/>
      <c r="R124" s="3756" t="s">
        <v>309</v>
      </c>
      <c r="S124" s="3757"/>
      <c r="T124" s="3757"/>
      <c r="U124" s="3757"/>
      <c r="V124" s="3757"/>
      <c r="W124" s="3757"/>
      <c r="X124" s="3757"/>
      <c r="Y124" s="4129"/>
      <c r="Z124" s="4068" t="s">
        <v>310</v>
      </c>
      <c r="AA124" s="3921"/>
      <c r="AB124" s="3921"/>
      <c r="AC124" s="3921"/>
      <c r="AD124" s="3921"/>
      <c r="AE124" s="3921"/>
      <c r="AF124" s="3921"/>
      <c r="AG124" s="3921"/>
      <c r="AH124" s="3921"/>
      <c r="AI124" s="3921"/>
      <c r="AJ124" s="3921"/>
      <c r="AK124" s="3921"/>
      <c r="AL124" s="3921"/>
      <c r="AM124" s="3921"/>
      <c r="AN124" s="3921"/>
      <c r="AO124" s="3921"/>
      <c r="AP124" s="3921"/>
      <c r="AQ124" s="3921"/>
      <c r="AR124" s="3921"/>
      <c r="AS124" s="3921"/>
      <c r="AT124" s="3921"/>
      <c r="AU124" s="3921"/>
      <c r="AV124" s="3921"/>
      <c r="AW124" s="3921"/>
      <c r="AX124" s="3921"/>
      <c r="AY124" s="3921"/>
      <c r="AZ124" s="3921"/>
      <c r="BA124" s="3921"/>
      <c r="BB124" s="3921"/>
      <c r="BC124" s="3921"/>
      <c r="BD124" s="3921"/>
      <c r="BE124" s="3921"/>
      <c r="BF124" s="4069"/>
      <c r="BG124" s="4073" t="s">
        <v>311</v>
      </c>
      <c r="BH124" s="4074"/>
      <c r="BI124" s="4077" t="s">
        <v>312</v>
      </c>
      <c r="BJ124" s="4077"/>
      <c r="BK124" s="4077"/>
      <c r="BL124" s="4077"/>
      <c r="BM124" s="4078"/>
      <c r="BN124" s="3875" t="s">
        <v>313</v>
      </c>
      <c r="BO124" s="3876"/>
      <c r="BP124" s="3876"/>
      <c r="BQ124" s="3876"/>
      <c r="BR124" s="3877"/>
      <c r="BS124" s="3875" t="s">
        <v>314</v>
      </c>
      <c r="BT124" s="3876"/>
      <c r="BU124" s="3876"/>
      <c r="BV124" s="3876"/>
      <c r="BW124" s="3876"/>
      <c r="BX124" s="3876"/>
      <c r="BY124" s="3876"/>
      <c r="BZ124" s="3877"/>
      <c r="CA124" s="3875" t="s">
        <v>315</v>
      </c>
      <c r="CB124" s="3876"/>
      <c r="CC124" s="3876"/>
      <c r="CD124" s="3876"/>
      <c r="CE124" s="3876"/>
      <c r="CF124" s="3876"/>
      <c r="CG124" s="3876"/>
      <c r="CH124" s="3876"/>
      <c r="CI124" s="3876"/>
      <c r="CJ124" s="3876"/>
      <c r="CK124" s="3876"/>
      <c r="CL124" s="3877"/>
      <c r="CM124" s="4150" t="s">
        <v>316</v>
      </c>
      <c r="CN124" s="4151"/>
      <c r="CO124" s="4151"/>
      <c r="CP124" s="4151"/>
      <c r="CQ124" s="4151"/>
      <c r="CR124" s="4151"/>
      <c r="CS124" s="4151"/>
      <c r="CT124" s="4151"/>
      <c r="CU124" s="4151"/>
      <c r="CV124" s="4151"/>
      <c r="CW124" s="4151"/>
      <c r="CX124" s="4151"/>
      <c r="CY124" s="4151"/>
      <c r="CZ124" s="4151"/>
      <c r="DA124" s="4152"/>
      <c r="DB124" s="4062" t="s">
        <v>317</v>
      </c>
      <c r="DC124" s="4063"/>
      <c r="DD124" s="4063"/>
      <c r="DE124" s="4063"/>
      <c r="DF124" s="4063"/>
      <c r="DG124" s="4063"/>
      <c r="DH124" s="4063"/>
      <c r="DI124" s="4063"/>
      <c r="DJ124" s="4063"/>
      <c r="DK124" s="4064"/>
      <c r="DL124" s="153"/>
      <c r="DM124" s="154"/>
      <c r="DN124" s="154"/>
      <c r="DO124" s="154"/>
      <c r="DP124" s="154"/>
      <c r="DQ124" s="154"/>
    </row>
    <row r="125" spans="1:146" ht="6.75" customHeight="1" thickBot="1">
      <c r="A125" s="146"/>
      <c r="B125" s="3702"/>
      <c r="C125" s="3703"/>
      <c r="D125" s="3675"/>
      <c r="E125" s="3676"/>
      <c r="F125" s="3676"/>
      <c r="G125" s="3676"/>
      <c r="H125" s="3676"/>
      <c r="I125" s="3676"/>
      <c r="J125" s="3676"/>
      <c r="K125" s="3676"/>
      <c r="L125" s="3676"/>
      <c r="M125" s="3676"/>
      <c r="N125" s="3676"/>
      <c r="O125" s="3676"/>
      <c r="P125" s="3676"/>
      <c r="Q125" s="3678"/>
      <c r="R125" s="3759"/>
      <c r="S125" s="3760"/>
      <c r="T125" s="3760"/>
      <c r="U125" s="3760"/>
      <c r="V125" s="3760"/>
      <c r="W125" s="3760"/>
      <c r="X125" s="3760"/>
      <c r="Y125" s="4130"/>
      <c r="Z125" s="4070"/>
      <c r="AA125" s="4071"/>
      <c r="AB125" s="4071"/>
      <c r="AC125" s="4071"/>
      <c r="AD125" s="4071"/>
      <c r="AE125" s="4071"/>
      <c r="AF125" s="4071"/>
      <c r="AG125" s="4071"/>
      <c r="AH125" s="4071"/>
      <c r="AI125" s="4071"/>
      <c r="AJ125" s="4071"/>
      <c r="AK125" s="4071"/>
      <c r="AL125" s="4071"/>
      <c r="AM125" s="4071"/>
      <c r="AN125" s="4071"/>
      <c r="AO125" s="4071"/>
      <c r="AP125" s="4071"/>
      <c r="AQ125" s="4071"/>
      <c r="AR125" s="4071"/>
      <c r="AS125" s="4071"/>
      <c r="AT125" s="4071"/>
      <c r="AU125" s="4071"/>
      <c r="AV125" s="4071"/>
      <c r="AW125" s="4071"/>
      <c r="AX125" s="4071"/>
      <c r="AY125" s="4071"/>
      <c r="AZ125" s="4071"/>
      <c r="BA125" s="4071"/>
      <c r="BB125" s="4071"/>
      <c r="BC125" s="4071"/>
      <c r="BD125" s="4071"/>
      <c r="BE125" s="4071"/>
      <c r="BF125" s="4072"/>
      <c r="BG125" s="4075"/>
      <c r="BH125" s="4076"/>
      <c r="BI125" s="4079"/>
      <c r="BJ125" s="4079"/>
      <c r="BK125" s="4079"/>
      <c r="BL125" s="4079"/>
      <c r="BM125" s="4080"/>
      <c r="BN125" s="3878"/>
      <c r="BO125" s="3879"/>
      <c r="BP125" s="3879"/>
      <c r="BQ125" s="3879"/>
      <c r="BR125" s="3880"/>
      <c r="BS125" s="3878"/>
      <c r="BT125" s="3879"/>
      <c r="BU125" s="3879"/>
      <c r="BV125" s="3879"/>
      <c r="BW125" s="3879"/>
      <c r="BX125" s="3879"/>
      <c r="BY125" s="3879"/>
      <c r="BZ125" s="3880"/>
      <c r="CA125" s="3878"/>
      <c r="CB125" s="3879"/>
      <c r="CC125" s="3879"/>
      <c r="CD125" s="3879"/>
      <c r="CE125" s="3879"/>
      <c r="CF125" s="3879"/>
      <c r="CG125" s="3879"/>
      <c r="CH125" s="3879"/>
      <c r="CI125" s="3879"/>
      <c r="CJ125" s="3879"/>
      <c r="CK125" s="3879"/>
      <c r="CL125" s="3880"/>
      <c r="CM125" s="4153"/>
      <c r="CN125" s="4154"/>
      <c r="CO125" s="4154"/>
      <c r="CP125" s="4154"/>
      <c r="CQ125" s="4154"/>
      <c r="CR125" s="4154"/>
      <c r="CS125" s="4154"/>
      <c r="CT125" s="4154"/>
      <c r="CU125" s="4154"/>
      <c r="CV125" s="4154"/>
      <c r="CW125" s="4154"/>
      <c r="CX125" s="4154"/>
      <c r="CY125" s="4154"/>
      <c r="CZ125" s="4154"/>
      <c r="DA125" s="4155"/>
      <c r="DB125" s="4065"/>
      <c r="DC125" s="4066"/>
      <c r="DD125" s="4066"/>
      <c r="DE125" s="4066"/>
      <c r="DF125" s="4066"/>
      <c r="DG125" s="4066"/>
      <c r="DH125" s="4066"/>
      <c r="DI125" s="4066"/>
      <c r="DJ125" s="4066"/>
      <c r="DK125" s="4067"/>
      <c r="DL125" s="153"/>
      <c r="DM125" s="154"/>
      <c r="DN125" s="154"/>
      <c r="DO125" s="154"/>
      <c r="DP125" s="154"/>
      <c r="DQ125" s="154"/>
    </row>
    <row r="126" spans="1:146" ht="6.75" customHeight="1" thickTop="1">
      <c r="A126" s="146"/>
      <c r="B126" s="3725">
        <v>1</v>
      </c>
      <c r="C126" s="3726"/>
      <c r="D126" s="3833" t="str">
        <f>IF(ISBLANK(D107),"",D107)</f>
        <v/>
      </c>
      <c r="E126" s="3815"/>
      <c r="F126" s="3815"/>
      <c r="G126" s="3815"/>
      <c r="H126" s="3815"/>
      <c r="I126" s="3815"/>
      <c r="J126" s="3815"/>
      <c r="K126" s="3815"/>
      <c r="L126" s="3815"/>
      <c r="M126" s="3815"/>
      <c r="N126" s="3815"/>
      <c r="O126" s="3815"/>
      <c r="P126" s="3815"/>
      <c r="Q126" s="3816"/>
      <c r="R126" s="3785"/>
      <c r="S126" s="3786"/>
      <c r="T126" s="3786"/>
      <c r="U126" s="3786"/>
      <c r="V126" s="3786"/>
      <c r="W126" s="3786"/>
      <c r="X126" s="3786"/>
      <c r="Y126" s="4791"/>
      <c r="Z126" s="4792"/>
      <c r="AA126" s="4793"/>
      <c r="AB126" s="4793"/>
      <c r="AC126" s="4793"/>
      <c r="AD126" s="4793"/>
      <c r="AE126" s="4793"/>
      <c r="AF126" s="4793"/>
      <c r="AG126" s="4793"/>
      <c r="AH126" s="4793"/>
      <c r="AI126" s="4793"/>
      <c r="AJ126" s="4793"/>
      <c r="AK126" s="4793"/>
      <c r="AL126" s="4793"/>
      <c r="AM126" s="4793"/>
      <c r="AN126" s="4793"/>
      <c r="AO126" s="4793"/>
      <c r="AP126" s="4793"/>
      <c r="AQ126" s="4793"/>
      <c r="AR126" s="4793"/>
      <c r="AS126" s="4793"/>
      <c r="AT126" s="4793"/>
      <c r="AU126" s="4793"/>
      <c r="AV126" s="4793"/>
      <c r="AW126" s="4793"/>
      <c r="AX126" s="4793"/>
      <c r="AY126" s="4793"/>
      <c r="AZ126" s="4793"/>
      <c r="BA126" s="4793"/>
      <c r="BB126" s="4793"/>
      <c r="BC126" s="4793"/>
      <c r="BD126" s="4793"/>
      <c r="BE126" s="4793"/>
      <c r="BF126" s="4794"/>
      <c r="BG126" s="3843" t="s">
        <v>1232</v>
      </c>
      <c r="BH126" s="3844"/>
      <c r="BI126" s="3847"/>
      <c r="BJ126" s="3847"/>
      <c r="BK126" s="3847"/>
      <c r="BL126" s="3847"/>
      <c r="BM126" s="3848"/>
      <c r="BN126" s="3851"/>
      <c r="BO126" s="3852"/>
      <c r="BP126" s="3852"/>
      <c r="BQ126" s="3852"/>
      <c r="BR126" s="3853"/>
      <c r="BS126" s="3857"/>
      <c r="BT126" s="3858"/>
      <c r="BU126" s="3858"/>
      <c r="BV126" s="3858"/>
      <c r="BW126" s="3858"/>
      <c r="BX126" s="3858"/>
      <c r="BY126" s="3858"/>
      <c r="BZ126" s="3859"/>
      <c r="CA126" s="3857"/>
      <c r="CB126" s="3858"/>
      <c r="CC126" s="3858"/>
      <c r="CD126" s="3858"/>
      <c r="CE126" s="3858"/>
      <c r="CF126" s="3858"/>
      <c r="CG126" s="3858"/>
      <c r="CH126" s="3858"/>
      <c r="CI126" s="3858"/>
      <c r="CJ126" s="3858"/>
      <c r="CK126" s="3858"/>
      <c r="CL126" s="3859"/>
      <c r="CM126" s="4046"/>
      <c r="CN126" s="4047"/>
      <c r="CO126" s="4047"/>
      <c r="CP126" s="4047"/>
      <c r="CQ126" s="4047"/>
      <c r="CR126" s="4047"/>
      <c r="CS126" s="4047"/>
      <c r="CT126" s="4047"/>
      <c r="CU126" s="4047"/>
      <c r="CV126" s="4047"/>
      <c r="CW126" s="4047"/>
      <c r="CX126" s="4047"/>
      <c r="CY126" s="4047"/>
      <c r="CZ126" s="4047"/>
      <c r="DA126" s="4048"/>
      <c r="DB126" s="4795"/>
      <c r="DC126" s="4796"/>
      <c r="DD126" s="4796"/>
      <c r="DE126" s="4796"/>
      <c r="DF126" s="4796"/>
      <c r="DG126" s="4796"/>
      <c r="DH126" s="4796"/>
      <c r="DI126" s="4796"/>
      <c r="DJ126" s="4796"/>
      <c r="DK126" s="4797"/>
      <c r="DL126" s="153"/>
      <c r="DM126" s="154"/>
      <c r="DN126" s="154"/>
      <c r="DO126" s="154"/>
      <c r="DP126" s="154"/>
      <c r="DQ126" s="154"/>
    </row>
    <row r="127" spans="1:146" ht="6.75" customHeight="1" thickBot="1">
      <c r="A127" s="146"/>
      <c r="B127" s="3607"/>
      <c r="C127" s="3608"/>
      <c r="D127" s="4779"/>
      <c r="E127" s="4780"/>
      <c r="F127" s="4780"/>
      <c r="G127" s="4780"/>
      <c r="H127" s="4780"/>
      <c r="I127" s="4780"/>
      <c r="J127" s="4780"/>
      <c r="K127" s="4780"/>
      <c r="L127" s="4780"/>
      <c r="M127" s="4780"/>
      <c r="N127" s="4780"/>
      <c r="O127" s="4780"/>
      <c r="P127" s="4780"/>
      <c r="Q127" s="4781"/>
      <c r="R127" s="3903"/>
      <c r="S127" s="3904"/>
      <c r="T127" s="3904"/>
      <c r="U127" s="3904"/>
      <c r="V127" s="3904"/>
      <c r="W127" s="3904"/>
      <c r="X127" s="3904"/>
      <c r="Y127" s="3905"/>
      <c r="Z127" s="4782"/>
      <c r="AA127" s="4783"/>
      <c r="AB127" s="4783"/>
      <c r="AC127" s="4783"/>
      <c r="AD127" s="4783"/>
      <c r="AE127" s="4783"/>
      <c r="AF127" s="4783"/>
      <c r="AG127" s="4783"/>
      <c r="AH127" s="4783"/>
      <c r="AI127" s="4783"/>
      <c r="AJ127" s="4783"/>
      <c r="AK127" s="4783"/>
      <c r="AL127" s="4783"/>
      <c r="AM127" s="4783"/>
      <c r="AN127" s="4783"/>
      <c r="AO127" s="4783"/>
      <c r="AP127" s="4783"/>
      <c r="AQ127" s="4783"/>
      <c r="AR127" s="4783"/>
      <c r="AS127" s="4783"/>
      <c r="AT127" s="4783"/>
      <c r="AU127" s="4783"/>
      <c r="AV127" s="4783"/>
      <c r="AW127" s="4783"/>
      <c r="AX127" s="4783"/>
      <c r="AY127" s="4783"/>
      <c r="AZ127" s="4783"/>
      <c r="BA127" s="4783"/>
      <c r="BB127" s="4783"/>
      <c r="BC127" s="4783"/>
      <c r="BD127" s="4783"/>
      <c r="BE127" s="4783"/>
      <c r="BF127" s="4784"/>
      <c r="BG127" s="3845"/>
      <c r="BH127" s="3846"/>
      <c r="BI127" s="3849"/>
      <c r="BJ127" s="3849"/>
      <c r="BK127" s="3849"/>
      <c r="BL127" s="3849"/>
      <c r="BM127" s="3850"/>
      <c r="BN127" s="3854"/>
      <c r="BO127" s="3855"/>
      <c r="BP127" s="3855"/>
      <c r="BQ127" s="3855"/>
      <c r="BR127" s="3856"/>
      <c r="BS127" s="3860"/>
      <c r="BT127" s="3861"/>
      <c r="BU127" s="3861"/>
      <c r="BV127" s="3861"/>
      <c r="BW127" s="3861"/>
      <c r="BX127" s="3861"/>
      <c r="BY127" s="3861"/>
      <c r="BZ127" s="3862"/>
      <c r="CA127" s="3860"/>
      <c r="CB127" s="3861"/>
      <c r="CC127" s="3861"/>
      <c r="CD127" s="3861"/>
      <c r="CE127" s="3861"/>
      <c r="CF127" s="3861"/>
      <c r="CG127" s="3861"/>
      <c r="CH127" s="3861"/>
      <c r="CI127" s="3861"/>
      <c r="CJ127" s="3861"/>
      <c r="CK127" s="3861"/>
      <c r="CL127" s="3862"/>
      <c r="CM127" s="4037"/>
      <c r="CN127" s="4038"/>
      <c r="CO127" s="4038"/>
      <c r="CP127" s="4038"/>
      <c r="CQ127" s="4038"/>
      <c r="CR127" s="4038"/>
      <c r="CS127" s="4038"/>
      <c r="CT127" s="4038"/>
      <c r="CU127" s="4038"/>
      <c r="CV127" s="4038"/>
      <c r="CW127" s="4038"/>
      <c r="CX127" s="4038"/>
      <c r="CY127" s="4038"/>
      <c r="CZ127" s="4038"/>
      <c r="DA127" s="4039"/>
      <c r="DB127" s="4766"/>
      <c r="DC127" s="4767"/>
      <c r="DD127" s="4767"/>
      <c r="DE127" s="4767"/>
      <c r="DF127" s="4767"/>
      <c r="DG127" s="4767"/>
      <c r="DH127" s="4767"/>
      <c r="DI127" s="4767"/>
      <c r="DJ127" s="4767"/>
      <c r="DK127" s="4768"/>
      <c r="DL127" s="153"/>
      <c r="DM127" s="154"/>
      <c r="DN127" s="154"/>
      <c r="DO127" s="154"/>
      <c r="DP127" s="154"/>
      <c r="DQ127" s="154"/>
    </row>
    <row r="128" spans="1:146" ht="6.75" customHeight="1" thickTop="1">
      <c r="A128" s="146"/>
      <c r="B128" s="3607">
        <v>2</v>
      </c>
      <c r="C128" s="3608"/>
      <c r="D128" s="3833" t="str">
        <f t="shared" ref="D128" si="0">IF(ISBLANK(D109),"",D109)</f>
        <v/>
      </c>
      <c r="E128" s="3815"/>
      <c r="F128" s="3815"/>
      <c r="G128" s="3815"/>
      <c r="H128" s="3815"/>
      <c r="I128" s="3815"/>
      <c r="J128" s="3815"/>
      <c r="K128" s="3815"/>
      <c r="L128" s="3815"/>
      <c r="M128" s="3815"/>
      <c r="N128" s="3815"/>
      <c r="O128" s="3815"/>
      <c r="P128" s="3815"/>
      <c r="Q128" s="3816"/>
      <c r="R128" s="4769"/>
      <c r="S128" s="4770"/>
      <c r="T128" s="4770"/>
      <c r="U128" s="4770"/>
      <c r="V128" s="4770"/>
      <c r="W128" s="4770"/>
      <c r="X128" s="4770"/>
      <c r="Y128" s="4771"/>
      <c r="Z128" s="4773"/>
      <c r="AA128" s="4774"/>
      <c r="AB128" s="4774"/>
      <c r="AC128" s="4774"/>
      <c r="AD128" s="4774"/>
      <c r="AE128" s="4774"/>
      <c r="AF128" s="4774"/>
      <c r="AG128" s="4774"/>
      <c r="AH128" s="4774"/>
      <c r="AI128" s="4774"/>
      <c r="AJ128" s="4774"/>
      <c r="AK128" s="4774"/>
      <c r="AL128" s="4774"/>
      <c r="AM128" s="4774"/>
      <c r="AN128" s="4774"/>
      <c r="AO128" s="4774"/>
      <c r="AP128" s="4774"/>
      <c r="AQ128" s="4774"/>
      <c r="AR128" s="4774"/>
      <c r="AS128" s="4774"/>
      <c r="AT128" s="4774"/>
      <c r="AU128" s="4774"/>
      <c r="AV128" s="4774"/>
      <c r="AW128" s="4774"/>
      <c r="AX128" s="4774"/>
      <c r="AY128" s="4774"/>
      <c r="AZ128" s="4774"/>
      <c r="BA128" s="4774"/>
      <c r="BB128" s="4774"/>
      <c r="BC128" s="4774"/>
      <c r="BD128" s="4774"/>
      <c r="BE128" s="4774"/>
      <c r="BF128" s="4775"/>
      <c r="BG128" s="3887" t="s">
        <v>1232</v>
      </c>
      <c r="BH128" s="3888"/>
      <c r="BI128" s="3889"/>
      <c r="BJ128" s="3889"/>
      <c r="BK128" s="3889"/>
      <c r="BL128" s="3889"/>
      <c r="BM128" s="3890"/>
      <c r="BN128" s="3915"/>
      <c r="BO128" s="3916"/>
      <c r="BP128" s="3916"/>
      <c r="BQ128" s="3916"/>
      <c r="BR128" s="3917"/>
      <c r="BS128" s="3884"/>
      <c r="BT128" s="3885"/>
      <c r="BU128" s="3885"/>
      <c r="BV128" s="3885"/>
      <c r="BW128" s="3885"/>
      <c r="BX128" s="3885"/>
      <c r="BY128" s="3885"/>
      <c r="BZ128" s="3886"/>
      <c r="CA128" s="3884"/>
      <c r="CB128" s="3885"/>
      <c r="CC128" s="3885"/>
      <c r="CD128" s="3885"/>
      <c r="CE128" s="3885"/>
      <c r="CF128" s="3885"/>
      <c r="CG128" s="3885"/>
      <c r="CH128" s="3885"/>
      <c r="CI128" s="3885"/>
      <c r="CJ128" s="3885"/>
      <c r="CK128" s="3885"/>
      <c r="CL128" s="3886"/>
      <c r="CM128" s="4034"/>
      <c r="CN128" s="4035"/>
      <c r="CO128" s="4035"/>
      <c r="CP128" s="4035"/>
      <c r="CQ128" s="4035"/>
      <c r="CR128" s="4035"/>
      <c r="CS128" s="4035"/>
      <c r="CT128" s="4035"/>
      <c r="CU128" s="4035"/>
      <c r="CV128" s="4035"/>
      <c r="CW128" s="4035"/>
      <c r="CX128" s="4035"/>
      <c r="CY128" s="4035"/>
      <c r="CZ128" s="4035"/>
      <c r="DA128" s="4036"/>
      <c r="DB128" s="4785"/>
      <c r="DC128" s="4786"/>
      <c r="DD128" s="4786"/>
      <c r="DE128" s="4786"/>
      <c r="DF128" s="4786"/>
      <c r="DG128" s="4786"/>
      <c r="DH128" s="4786"/>
      <c r="DI128" s="4786"/>
      <c r="DJ128" s="4786"/>
      <c r="DK128" s="4787"/>
      <c r="DL128" s="153"/>
      <c r="DM128" s="154"/>
      <c r="DN128" s="154"/>
      <c r="DO128" s="154"/>
      <c r="DP128" s="154"/>
      <c r="DQ128" s="154"/>
    </row>
    <row r="129" spans="1:148" ht="6.75" customHeight="1" thickBot="1">
      <c r="A129" s="146"/>
      <c r="B129" s="3607"/>
      <c r="C129" s="3608"/>
      <c r="D129" s="4779"/>
      <c r="E129" s="4780"/>
      <c r="F129" s="4780"/>
      <c r="G129" s="4780"/>
      <c r="H129" s="4780"/>
      <c r="I129" s="4780"/>
      <c r="J129" s="4780"/>
      <c r="K129" s="4780"/>
      <c r="L129" s="4780"/>
      <c r="M129" s="4780"/>
      <c r="N129" s="4780"/>
      <c r="O129" s="4780"/>
      <c r="P129" s="4780"/>
      <c r="Q129" s="4781"/>
      <c r="R129" s="3903"/>
      <c r="S129" s="3904"/>
      <c r="T129" s="3904"/>
      <c r="U129" s="3904"/>
      <c r="V129" s="3904"/>
      <c r="W129" s="3904"/>
      <c r="X129" s="3904"/>
      <c r="Y129" s="3905"/>
      <c r="Z129" s="4782"/>
      <c r="AA129" s="4783"/>
      <c r="AB129" s="4783"/>
      <c r="AC129" s="4783"/>
      <c r="AD129" s="4783"/>
      <c r="AE129" s="4783"/>
      <c r="AF129" s="4783"/>
      <c r="AG129" s="4783"/>
      <c r="AH129" s="4783"/>
      <c r="AI129" s="4783"/>
      <c r="AJ129" s="4783"/>
      <c r="AK129" s="4783"/>
      <c r="AL129" s="4783"/>
      <c r="AM129" s="4783"/>
      <c r="AN129" s="4783"/>
      <c r="AO129" s="4783"/>
      <c r="AP129" s="4783"/>
      <c r="AQ129" s="4783"/>
      <c r="AR129" s="4783"/>
      <c r="AS129" s="4783"/>
      <c r="AT129" s="4783"/>
      <c r="AU129" s="4783"/>
      <c r="AV129" s="4783"/>
      <c r="AW129" s="4783"/>
      <c r="AX129" s="4783"/>
      <c r="AY129" s="4783"/>
      <c r="AZ129" s="4783"/>
      <c r="BA129" s="4783"/>
      <c r="BB129" s="4783"/>
      <c r="BC129" s="4783"/>
      <c r="BD129" s="4783"/>
      <c r="BE129" s="4783"/>
      <c r="BF129" s="4784"/>
      <c r="BG129" s="3845"/>
      <c r="BH129" s="3846"/>
      <c r="BI129" s="3849"/>
      <c r="BJ129" s="3849"/>
      <c r="BK129" s="3849"/>
      <c r="BL129" s="3849"/>
      <c r="BM129" s="3850"/>
      <c r="BN129" s="3854"/>
      <c r="BO129" s="3855"/>
      <c r="BP129" s="3855"/>
      <c r="BQ129" s="3855"/>
      <c r="BR129" s="3856"/>
      <c r="BS129" s="3860"/>
      <c r="BT129" s="3861"/>
      <c r="BU129" s="3861"/>
      <c r="BV129" s="3861"/>
      <c r="BW129" s="3861"/>
      <c r="BX129" s="3861"/>
      <c r="BY129" s="3861"/>
      <c r="BZ129" s="3862"/>
      <c r="CA129" s="3860"/>
      <c r="CB129" s="3861"/>
      <c r="CC129" s="3861"/>
      <c r="CD129" s="3861"/>
      <c r="CE129" s="3861"/>
      <c r="CF129" s="3861"/>
      <c r="CG129" s="3861"/>
      <c r="CH129" s="3861"/>
      <c r="CI129" s="3861"/>
      <c r="CJ129" s="3861"/>
      <c r="CK129" s="3861"/>
      <c r="CL129" s="3862"/>
      <c r="CM129" s="4037"/>
      <c r="CN129" s="4038"/>
      <c r="CO129" s="4038"/>
      <c r="CP129" s="4038"/>
      <c r="CQ129" s="4038"/>
      <c r="CR129" s="4038"/>
      <c r="CS129" s="4038"/>
      <c r="CT129" s="4038"/>
      <c r="CU129" s="4038"/>
      <c r="CV129" s="4038"/>
      <c r="CW129" s="4038"/>
      <c r="CX129" s="4038"/>
      <c r="CY129" s="4038"/>
      <c r="CZ129" s="4038"/>
      <c r="DA129" s="4039"/>
      <c r="DB129" s="4788"/>
      <c r="DC129" s="4789"/>
      <c r="DD129" s="4789"/>
      <c r="DE129" s="4789"/>
      <c r="DF129" s="4789"/>
      <c r="DG129" s="4789"/>
      <c r="DH129" s="4789"/>
      <c r="DI129" s="4789"/>
      <c r="DJ129" s="4789"/>
      <c r="DK129" s="4790"/>
      <c r="DL129" s="153"/>
      <c r="DM129" s="154"/>
      <c r="DN129" s="154"/>
      <c r="DO129" s="154"/>
      <c r="DP129" s="154"/>
      <c r="DQ129" s="154"/>
    </row>
    <row r="130" spans="1:148" ht="6.75" customHeight="1" thickTop="1">
      <c r="A130" s="146"/>
      <c r="B130" s="3607">
        <v>3</v>
      </c>
      <c r="C130" s="3608"/>
      <c r="D130" s="3833" t="str">
        <f t="shared" ref="D130" si="1">IF(ISBLANK(D111),"",D111)</f>
        <v/>
      </c>
      <c r="E130" s="3815"/>
      <c r="F130" s="3815"/>
      <c r="G130" s="3815"/>
      <c r="H130" s="3815"/>
      <c r="I130" s="3815"/>
      <c r="J130" s="3815"/>
      <c r="K130" s="3815"/>
      <c r="L130" s="3815"/>
      <c r="M130" s="3815"/>
      <c r="N130" s="3815"/>
      <c r="O130" s="3815"/>
      <c r="P130" s="3815"/>
      <c r="Q130" s="3816"/>
      <c r="R130" s="4769"/>
      <c r="S130" s="4770"/>
      <c r="T130" s="4770"/>
      <c r="U130" s="4770"/>
      <c r="V130" s="4770"/>
      <c r="W130" s="4770"/>
      <c r="X130" s="4770"/>
      <c r="Y130" s="4771"/>
      <c r="Z130" s="4773"/>
      <c r="AA130" s="4774"/>
      <c r="AB130" s="4774"/>
      <c r="AC130" s="4774"/>
      <c r="AD130" s="4774"/>
      <c r="AE130" s="4774"/>
      <c r="AF130" s="4774"/>
      <c r="AG130" s="4774"/>
      <c r="AH130" s="4774"/>
      <c r="AI130" s="4774"/>
      <c r="AJ130" s="4774"/>
      <c r="AK130" s="4774"/>
      <c r="AL130" s="4774"/>
      <c r="AM130" s="4774"/>
      <c r="AN130" s="4774"/>
      <c r="AO130" s="4774"/>
      <c r="AP130" s="4774"/>
      <c r="AQ130" s="4774"/>
      <c r="AR130" s="4774"/>
      <c r="AS130" s="4774"/>
      <c r="AT130" s="4774"/>
      <c r="AU130" s="4774"/>
      <c r="AV130" s="4774"/>
      <c r="AW130" s="4774"/>
      <c r="AX130" s="4774"/>
      <c r="AY130" s="4774"/>
      <c r="AZ130" s="4774"/>
      <c r="BA130" s="4774"/>
      <c r="BB130" s="4774"/>
      <c r="BC130" s="4774"/>
      <c r="BD130" s="4774"/>
      <c r="BE130" s="4774"/>
      <c r="BF130" s="4775"/>
      <c r="BG130" s="3887" t="s">
        <v>1232</v>
      </c>
      <c r="BH130" s="3888"/>
      <c r="BI130" s="3889"/>
      <c r="BJ130" s="3889"/>
      <c r="BK130" s="3889"/>
      <c r="BL130" s="3889"/>
      <c r="BM130" s="3890"/>
      <c r="BN130" s="3915"/>
      <c r="BO130" s="3916"/>
      <c r="BP130" s="3916"/>
      <c r="BQ130" s="3916"/>
      <c r="BR130" s="3917"/>
      <c r="BS130" s="3884"/>
      <c r="BT130" s="3885"/>
      <c r="BU130" s="3885"/>
      <c r="BV130" s="3885"/>
      <c r="BW130" s="3885"/>
      <c r="BX130" s="3885"/>
      <c r="BY130" s="3885"/>
      <c r="BZ130" s="3886"/>
      <c r="CA130" s="3884"/>
      <c r="CB130" s="3885"/>
      <c r="CC130" s="3885"/>
      <c r="CD130" s="3885"/>
      <c r="CE130" s="3885"/>
      <c r="CF130" s="3885"/>
      <c r="CG130" s="3885"/>
      <c r="CH130" s="3885"/>
      <c r="CI130" s="3885"/>
      <c r="CJ130" s="3885"/>
      <c r="CK130" s="3885"/>
      <c r="CL130" s="3886"/>
      <c r="CM130" s="4034"/>
      <c r="CN130" s="4035"/>
      <c r="CO130" s="4035"/>
      <c r="CP130" s="4035"/>
      <c r="CQ130" s="4035"/>
      <c r="CR130" s="4035"/>
      <c r="CS130" s="4035"/>
      <c r="CT130" s="4035"/>
      <c r="CU130" s="4035"/>
      <c r="CV130" s="4035"/>
      <c r="CW130" s="4035"/>
      <c r="CX130" s="4035"/>
      <c r="CY130" s="4035"/>
      <c r="CZ130" s="4035"/>
      <c r="DA130" s="4036"/>
      <c r="DB130" s="4760"/>
      <c r="DC130" s="4761"/>
      <c r="DD130" s="4761"/>
      <c r="DE130" s="4761"/>
      <c r="DF130" s="4761"/>
      <c r="DG130" s="4761"/>
      <c r="DH130" s="4761"/>
      <c r="DI130" s="4761"/>
      <c r="DJ130" s="4761"/>
      <c r="DK130" s="4762"/>
      <c r="DL130" s="153"/>
      <c r="DM130" s="154"/>
      <c r="DN130" s="154"/>
      <c r="DO130" s="154"/>
      <c r="DP130" s="154"/>
      <c r="DQ130" s="154"/>
    </row>
    <row r="131" spans="1:148" ht="6.75" customHeight="1" thickBot="1">
      <c r="A131" s="146"/>
      <c r="B131" s="3607"/>
      <c r="C131" s="3608"/>
      <c r="D131" s="4779"/>
      <c r="E131" s="4780"/>
      <c r="F131" s="4780"/>
      <c r="G131" s="4780"/>
      <c r="H131" s="4780"/>
      <c r="I131" s="4780"/>
      <c r="J131" s="4780"/>
      <c r="K131" s="4780"/>
      <c r="L131" s="4780"/>
      <c r="M131" s="4780"/>
      <c r="N131" s="4780"/>
      <c r="O131" s="4780"/>
      <c r="P131" s="4780"/>
      <c r="Q131" s="4781"/>
      <c r="R131" s="3903"/>
      <c r="S131" s="3904"/>
      <c r="T131" s="3904"/>
      <c r="U131" s="3904"/>
      <c r="V131" s="3904"/>
      <c r="W131" s="3904"/>
      <c r="X131" s="3904"/>
      <c r="Y131" s="3905"/>
      <c r="Z131" s="4782"/>
      <c r="AA131" s="4783"/>
      <c r="AB131" s="4783"/>
      <c r="AC131" s="4783"/>
      <c r="AD131" s="4783"/>
      <c r="AE131" s="4783"/>
      <c r="AF131" s="4783"/>
      <c r="AG131" s="4783"/>
      <c r="AH131" s="4783"/>
      <c r="AI131" s="4783"/>
      <c r="AJ131" s="4783"/>
      <c r="AK131" s="4783"/>
      <c r="AL131" s="4783"/>
      <c r="AM131" s="4783"/>
      <c r="AN131" s="4783"/>
      <c r="AO131" s="4783"/>
      <c r="AP131" s="4783"/>
      <c r="AQ131" s="4783"/>
      <c r="AR131" s="4783"/>
      <c r="AS131" s="4783"/>
      <c r="AT131" s="4783"/>
      <c r="AU131" s="4783"/>
      <c r="AV131" s="4783"/>
      <c r="AW131" s="4783"/>
      <c r="AX131" s="4783"/>
      <c r="AY131" s="4783"/>
      <c r="AZ131" s="4783"/>
      <c r="BA131" s="4783"/>
      <c r="BB131" s="4783"/>
      <c r="BC131" s="4783"/>
      <c r="BD131" s="4783"/>
      <c r="BE131" s="4783"/>
      <c r="BF131" s="4784"/>
      <c r="BG131" s="3845"/>
      <c r="BH131" s="3846"/>
      <c r="BI131" s="3849"/>
      <c r="BJ131" s="3849"/>
      <c r="BK131" s="3849"/>
      <c r="BL131" s="3849"/>
      <c r="BM131" s="3850"/>
      <c r="BN131" s="3854"/>
      <c r="BO131" s="3855"/>
      <c r="BP131" s="3855"/>
      <c r="BQ131" s="3855"/>
      <c r="BR131" s="3856"/>
      <c r="BS131" s="3860"/>
      <c r="BT131" s="3861"/>
      <c r="BU131" s="3861"/>
      <c r="BV131" s="3861"/>
      <c r="BW131" s="3861"/>
      <c r="BX131" s="3861"/>
      <c r="BY131" s="3861"/>
      <c r="BZ131" s="3862"/>
      <c r="CA131" s="3860"/>
      <c r="CB131" s="3861"/>
      <c r="CC131" s="3861"/>
      <c r="CD131" s="3861"/>
      <c r="CE131" s="3861"/>
      <c r="CF131" s="3861"/>
      <c r="CG131" s="3861"/>
      <c r="CH131" s="3861"/>
      <c r="CI131" s="3861"/>
      <c r="CJ131" s="3861"/>
      <c r="CK131" s="3861"/>
      <c r="CL131" s="3862"/>
      <c r="CM131" s="4037"/>
      <c r="CN131" s="4038"/>
      <c r="CO131" s="4038"/>
      <c r="CP131" s="4038"/>
      <c r="CQ131" s="4038"/>
      <c r="CR131" s="4038"/>
      <c r="CS131" s="4038"/>
      <c r="CT131" s="4038"/>
      <c r="CU131" s="4038"/>
      <c r="CV131" s="4038"/>
      <c r="CW131" s="4038"/>
      <c r="CX131" s="4038"/>
      <c r="CY131" s="4038"/>
      <c r="CZ131" s="4038"/>
      <c r="DA131" s="4039"/>
      <c r="DB131" s="4766"/>
      <c r="DC131" s="4767"/>
      <c r="DD131" s="4767"/>
      <c r="DE131" s="4767"/>
      <c r="DF131" s="4767"/>
      <c r="DG131" s="4767"/>
      <c r="DH131" s="4767"/>
      <c r="DI131" s="4767"/>
      <c r="DJ131" s="4767"/>
      <c r="DK131" s="4768"/>
      <c r="DL131" s="153"/>
      <c r="DM131" s="154"/>
      <c r="DN131" s="154"/>
      <c r="DO131" s="154"/>
      <c r="DP131" s="154"/>
      <c r="DQ131" s="154"/>
    </row>
    <row r="132" spans="1:148" ht="6.75" customHeight="1" thickTop="1">
      <c r="A132" s="146"/>
      <c r="B132" s="3607">
        <v>4</v>
      </c>
      <c r="C132" s="3608"/>
      <c r="D132" s="3833" t="str">
        <f t="shared" ref="D132" si="2">IF(ISBLANK(D113),"",D113)</f>
        <v/>
      </c>
      <c r="E132" s="3815"/>
      <c r="F132" s="3815"/>
      <c r="G132" s="3815"/>
      <c r="H132" s="3815"/>
      <c r="I132" s="3815"/>
      <c r="J132" s="3815"/>
      <c r="K132" s="3815"/>
      <c r="L132" s="3815"/>
      <c r="M132" s="3815"/>
      <c r="N132" s="3815"/>
      <c r="O132" s="3815"/>
      <c r="P132" s="3815"/>
      <c r="Q132" s="3816"/>
      <c r="R132" s="4769"/>
      <c r="S132" s="4770"/>
      <c r="T132" s="4770"/>
      <c r="U132" s="4770"/>
      <c r="V132" s="4770"/>
      <c r="W132" s="4770"/>
      <c r="X132" s="4770"/>
      <c r="Y132" s="4771"/>
      <c r="Z132" s="4773"/>
      <c r="AA132" s="4774"/>
      <c r="AB132" s="4774"/>
      <c r="AC132" s="4774"/>
      <c r="AD132" s="4774"/>
      <c r="AE132" s="4774"/>
      <c r="AF132" s="4774"/>
      <c r="AG132" s="4774"/>
      <c r="AH132" s="4774"/>
      <c r="AI132" s="4774"/>
      <c r="AJ132" s="4774"/>
      <c r="AK132" s="4774"/>
      <c r="AL132" s="4774"/>
      <c r="AM132" s="4774"/>
      <c r="AN132" s="4774"/>
      <c r="AO132" s="4774"/>
      <c r="AP132" s="4774"/>
      <c r="AQ132" s="4774"/>
      <c r="AR132" s="4774"/>
      <c r="AS132" s="4774"/>
      <c r="AT132" s="4774"/>
      <c r="AU132" s="4774"/>
      <c r="AV132" s="4774"/>
      <c r="AW132" s="4774"/>
      <c r="AX132" s="4774"/>
      <c r="AY132" s="4774"/>
      <c r="AZ132" s="4774"/>
      <c r="BA132" s="4774"/>
      <c r="BB132" s="4774"/>
      <c r="BC132" s="4774"/>
      <c r="BD132" s="4774"/>
      <c r="BE132" s="4774"/>
      <c r="BF132" s="4775"/>
      <c r="BG132" s="3887" t="s">
        <v>1232</v>
      </c>
      <c r="BH132" s="3888"/>
      <c r="BI132" s="3889"/>
      <c r="BJ132" s="3889"/>
      <c r="BK132" s="3889"/>
      <c r="BL132" s="3889"/>
      <c r="BM132" s="3890"/>
      <c r="BN132" s="3915"/>
      <c r="BO132" s="3916"/>
      <c r="BP132" s="3916"/>
      <c r="BQ132" s="3916"/>
      <c r="BR132" s="3917"/>
      <c r="BS132" s="3884"/>
      <c r="BT132" s="3885"/>
      <c r="BU132" s="3885"/>
      <c r="BV132" s="3885"/>
      <c r="BW132" s="3885"/>
      <c r="BX132" s="3885"/>
      <c r="BY132" s="3885"/>
      <c r="BZ132" s="3886"/>
      <c r="CA132" s="3884"/>
      <c r="CB132" s="3885"/>
      <c r="CC132" s="3885"/>
      <c r="CD132" s="3885"/>
      <c r="CE132" s="3885"/>
      <c r="CF132" s="3885"/>
      <c r="CG132" s="3885"/>
      <c r="CH132" s="3885"/>
      <c r="CI132" s="3885"/>
      <c r="CJ132" s="3885"/>
      <c r="CK132" s="3885"/>
      <c r="CL132" s="3886"/>
      <c r="CM132" s="4034"/>
      <c r="CN132" s="4035"/>
      <c r="CO132" s="4035"/>
      <c r="CP132" s="4035"/>
      <c r="CQ132" s="4035"/>
      <c r="CR132" s="4035"/>
      <c r="CS132" s="4035"/>
      <c r="CT132" s="4035"/>
      <c r="CU132" s="4035"/>
      <c r="CV132" s="4035"/>
      <c r="CW132" s="4035"/>
      <c r="CX132" s="4035"/>
      <c r="CY132" s="4035"/>
      <c r="CZ132" s="4035"/>
      <c r="DA132" s="4036"/>
      <c r="DB132" s="4760"/>
      <c r="DC132" s="4761"/>
      <c r="DD132" s="4761"/>
      <c r="DE132" s="4761"/>
      <c r="DF132" s="4761"/>
      <c r="DG132" s="4761"/>
      <c r="DH132" s="4761"/>
      <c r="DI132" s="4761"/>
      <c r="DJ132" s="4761"/>
      <c r="DK132" s="4762"/>
      <c r="DL132" s="153"/>
      <c r="DM132" s="154"/>
      <c r="DN132" s="154"/>
      <c r="DO132" s="154"/>
      <c r="DP132" s="154"/>
      <c r="DQ132" s="154"/>
    </row>
    <row r="133" spans="1:148" ht="6.75" customHeight="1" thickBot="1">
      <c r="A133" s="146"/>
      <c r="B133" s="3607"/>
      <c r="C133" s="3608"/>
      <c r="D133" s="4779"/>
      <c r="E133" s="4780"/>
      <c r="F133" s="4780"/>
      <c r="G133" s="4780"/>
      <c r="H133" s="4780"/>
      <c r="I133" s="4780"/>
      <c r="J133" s="4780"/>
      <c r="K133" s="4780"/>
      <c r="L133" s="4780"/>
      <c r="M133" s="4780"/>
      <c r="N133" s="4780"/>
      <c r="O133" s="4780"/>
      <c r="P133" s="4780"/>
      <c r="Q133" s="4781"/>
      <c r="R133" s="3903"/>
      <c r="S133" s="3904"/>
      <c r="T133" s="3904"/>
      <c r="U133" s="3904"/>
      <c r="V133" s="3904"/>
      <c r="W133" s="3904"/>
      <c r="X133" s="3904"/>
      <c r="Y133" s="3905"/>
      <c r="Z133" s="4782"/>
      <c r="AA133" s="4783"/>
      <c r="AB133" s="4783"/>
      <c r="AC133" s="4783"/>
      <c r="AD133" s="4783"/>
      <c r="AE133" s="4783"/>
      <c r="AF133" s="4783"/>
      <c r="AG133" s="4783"/>
      <c r="AH133" s="4783"/>
      <c r="AI133" s="4783"/>
      <c r="AJ133" s="4783"/>
      <c r="AK133" s="4783"/>
      <c r="AL133" s="4783"/>
      <c r="AM133" s="4783"/>
      <c r="AN133" s="4783"/>
      <c r="AO133" s="4783"/>
      <c r="AP133" s="4783"/>
      <c r="AQ133" s="4783"/>
      <c r="AR133" s="4783"/>
      <c r="AS133" s="4783"/>
      <c r="AT133" s="4783"/>
      <c r="AU133" s="4783"/>
      <c r="AV133" s="4783"/>
      <c r="AW133" s="4783"/>
      <c r="AX133" s="4783"/>
      <c r="AY133" s="4783"/>
      <c r="AZ133" s="4783"/>
      <c r="BA133" s="4783"/>
      <c r="BB133" s="4783"/>
      <c r="BC133" s="4783"/>
      <c r="BD133" s="4783"/>
      <c r="BE133" s="4783"/>
      <c r="BF133" s="4784"/>
      <c r="BG133" s="3845"/>
      <c r="BH133" s="3846"/>
      <c r="BI133" s="3849"/>
      <c r="BJ133" s="3849"/>
      <c r="BK133" s="3849"/>
      <c r="BL133" s="3849"/>
      <c r="BM133" s="3850"/>
      <c r="BN133" s="3854"/>
      <c r="BO133" s="3855"/>
      <c r="BP133" s="3855"/>
      <c r="BQ133" s="3855"/>
      <c r="BR133" s="3856"/>
      <c r="BS133" s="3860"/>
      <c r="BT133" s="3861"/>
      <c r="BU133" s="3861"/>
      <c r="BV133" s="3861"/>
      <c r="BW133" s="3861"/>
      <c r="BX133" s="3861"/>
      <c r="BY133" s="3861"/>
      <c r="BZ133" s="3862"/>
      <c r="CA133" s="3860"/>
      <c r="CB133" s="3861"/>
      <c r="CC133" s="3861"/>
      <c r="CD133" s="3861"/>
      <c r="CE133" s="3861"/>
      <c r="CF133" s="3861"/>
      <c r="CG133" s="3861"/>
      <c r="CH133" s="3861"/>
      <c r="CI133" s="3861"/>
      <c r="CJ133" s="3861"/>
      <c r="CK133" s="3861"/>
      <c r="CL133" s="3862"/>
      <c r="CM133" s="4037"/>
      <c r="CN133" s="4038"/>
      <c r="CO133" s="4038"/>
      <c r="CP133" s="4038"/>
      <c r="CQ133" s="4038"/>
      <c r="CR133" s="4038"/>
      <c r="CS133" s="4038"/>
      <c r="CT133" s="4038"/>
      <c r="CU133" s="4038"/>
      <c r="CV133" s="4038"/>
      <c r="CW133" s="4038"/>
      <c r="CX133" s="4038"/>
      <c r="CY133" s="4038"/>
      <c r="CZ133" s="4038"/>
      <c r="DA133" s="4039"/>
      <c r="DB133" s="4766"/>
      <c r="DC133" s="4767"/>
      <c r="DD133" s="4767"/>
      <c r="DE133" s="4767"/>
      <c r="DF133" s="4767"/>
      <c r="DG133" s="4767"/>
      <c r="DH133" s="4767"/>
      <c r="DI133" s="4767"/>
      <c r="DJ133" s="4767"/>
      <c r="DK133" s="4768"/>
      <c r="DL133" s="153"/>
      <c r="DM133" s="154"/>
      <c r="DN133" s="154"/>
      <c r="DO133" s="154"/>
      <c r="DP133" s="154"/>
      <c r="DQ133" s="154"/>
    </row>
    <row r="134" spans="1:148" ht="6.75" customHeight="1" thickTop="1">
      <c r="A134" s="146"/>
      <c r="B134" s="3607">
        <v>5</v>
      </c>
      <c r="C134" s="3608"/>
      <c r="D134" s="3833" t="str">
        <f t="shared" ref="D134" si="3">IF(ISBLANK(D115),"",D115)</f>
        <v/>
      </c>
      <c r="E134" s="3815"/>
      <c r="F134" s="3815"/>
      <c r="G134" s="3815"/>
      <c r="H134" s="3815"/>
      <c r="I134" s="3815"/>
      <c r="J134" s="3815"/>
      <c r="K134" s="3815"/>
      <c r="L134" s="3815"/>
      <c r="M134" s="3815"/>
      <c r="N134" s="3815"/>
      <c r="O134" s="3815"/>
      <c r="P134" s="3815"/>
      <c r="Q134" s="3816"/>
      <c r="R134" s="4769"/>
      <c r="S134" s="4770"/>
      <c r="T134" s="4770"/>
      <c r="U134" s="4770"/>
      <c r="V134" s="4770"/>
      <c r="W134" s="4770"/>
      <c r="X134" s="4770"/>
      <c r="Y134" s="4771"/>
      <c r="Z134" s="4773"/>
      <c r="AA134" s="4774"/>
      <c r="AB134" s="4774"/>
      <c r="AC134" s="4774"/>
      <c r="AD134" s="4774"/>
      <c r="AE134" s="4774"/>
      <c r="AF134" s="4774"/>
      <c r="AG134" s="4774"/>
      <c r="AH134" s="4774"/>
      <c r="AI134" s="4774"/>
      <c r="AJ134" s="4774"/>
      <c r="AK134" s="4774"/>
      <c r="AL134" s="4774"/>
      <c r="AM134" s="4774"/>
      <c r="AN134" s="4774"/>
      <c r="AO134" s="4774"/>
      <c r="AP134" s="4774"/>
      <c r="AQ134" s="4774"/>
      <c r="AR134" s="4774"/>
      <c r="AS134" s="4774"/>
      <c r="AT134" s="4774"/>
      <c r="AU134" s="4774"/>
      <c r="AV134" s="4774"/>
      <c r="AW134" s="4774"/>
      <c r="AX134" s="4774"/>
      <c r="AY134" s="4774"/>
      <c r="AZ134" s="4774"/>
      <c r="BA134" s="4774"/>
      <c r="BB134" s="4774"/>
      <c r="BC134" s="4774"/>
      <c r="BD134" s="4774"/>
      <c r="BE134" s="4774"/>
      <c r="BF134" s="4775"/>
      <c r="BG134" s="3887" t="s">
        <v>1232</v>
      </c>
      <c r="BH134" s="3888"/>
      <c r="BI134" s="3889"/>
      <c r="BJ134" s="3889"/>
      <c r="BK134" s="3889"/>
      <c r="BL134" s="3889"/>
      <c r="BM134" s="3890"/>
      <c r="BN134" s="3915"/>
      <c r="BO134" s="3916"/>
      <c r="BP134" s="3916"/>
      <c r="BQ134" s="3916"/>
      <c r="BR134" s="3917"/>
      <c r="BS134" s="3884"/>
      <c r="BT134" s="3885"/>
      <c r="BU134" s="3885"/>
      <c r="BV134" s="3885"/>
      <c r="BW134" s="3885"/>
      <c r="BX134" s="3885"/>
      <c r="BY134" s="3885"/>
      <c r="BZ134" s="3886"/>
      <c r="CA134" s="3884"/>
      <c r="CB134" s="3885"/>
      <c r="CC134" s="3885"/>
      <c r="CD134" s="3885"/>
      <c r="CE134" s="3885"/>
      <c r="CF134" s="3885"/>
      <c r="CG134" s="3885"/>
      <c r="CH134" s="3885"/>
      <c r="CI134" s="3885"/>
      <c r="CJ134" s="3885"/>
      <c r="CK134" s="3885"/>
      <c r="CL134" s="3886"/>
      <c r="CM134" s="4034"/>
      <c r="CN134" s="4035"/>
      <c r="CO134" s="4035"/>
      <c r="CP134" s="4035"/>
      <c r="CQ134" s="4035"/>
      <c r="CR134" s="4035"/>
      <c r="CS134" s="4035"/>
      <c r="CT134" s="4035"/>
      <c r="CU134" s="4035"/>
      <c r="CV134" s="4035"/>
      <c r="CW134" s="4035"/>
      <c r="CX134" s="4035"/>
      <c r="CY134" s="4035"/>
      <c r="CZ134" s="4035"/>
      <c r="DA134" s="4036"/>
      <c r="DB134" s="4760"/>
      <c r="DC134" s="4761"/>
      <c r="DD134" s="4761"/>
      <c r="DE134" s="4761"/>
      <c r="DF134" s="4761"/>
      <c r="DG134" s="4761"/>
      <c r="DH134" s="4761"/>
      <c r="DI134" s="4761"/>
      <c r="DJ134" s="4761"/>
      <c r="DK134" s="4762"/>
      <c r="DL134" s="153"/>
      <c r="DM134" s="154"/>
      <c r="DN134" s="154"/>
      <c r="DO134" s="154"/>
      <c r="DP134" s="154"/>
      <c r="DQ134" s="154"/>
    </row>
    <row r="135" spans="1:148" ht="6.75" customHeight="1" thickBot="1">
      <c r="A135" s="146"/>
      <c r="B135" s="3609"/>
      <c r="C135" s="3610"/>
      <c r="D135" s="3834"/>
      <c r="E135" s="3835"/>
      <c r="F135" s="3835"/>
      <c r="G135" s="3835"/>
      <c r="H135" s="3835"/>
      <c r="I135" s="3835"/>
      <c r="J135" s="3835"/>
      <c r="K135" s="3835"/>
      <c r="L135" s="3835"/>
      <c r="M135" s="3835"/>
      <c r="N135" s="3835"/>
      <c r="O135" s="3835"/>
      <c r="P135" s="3835"/>
      <c r="Q135" s="3836"/>
      <c r="R135" s="3791"/>
      <c r="S135" s="3792"/>
      <c r="T135" s="3792"/>
      <c r="U135" s="3792"/>
      <c r="V135" s="3792"/>
      <c r="W135" s="3792"/>
      <c r="X135" s="3792"/>
      <c r="Y135" s="4772"/>
      <c r="Z135" s="4776"/>
      <c r="AA135" s="4777"/>
      <c r="AB135" s="4777"/>
      <c r="AC135" s="4777"/>
      <c r="AD135" s="4777"/>
      <c r="AE135" s="4777"/>
      <c r="AF135" s="4777"/>
      <c r="AG135" s="4777"/>
      <c r="AH135" s="4777"/>
      <c r="AI135" s="4777"/>
      <c r="AJ135" s="4777"/>
      <c r="AK135" s="4777"/>
      <c r="AL135" s="4777"/>
      <c r="AM135" s="4777"/>
      <c r="AN135" s="4777"/>
      <c r="AO135" s="4777"/>
      <c r="AP135" s="4777"/>
      <c r="AQ135" s="4777"/>
      <c r="AR135" s="4777"/>
      <c r="AS135" s="4777"/>
      <c r="AT135" s="4777"/>
      <c r="AU135" s="4777"/>
      <c r="AV135" s="4777"/>
      <c r="AW135" s="4777"/>
      <c r="AX135" s="4777"/>
      <c r="AY135" s="4777"/>
      <c r="AZ135" s="4777"/>
      <c r="BA135" s="4777"/>
      <c r="BB135" s="4777"/>
      <c r="BC135" s="4777"/>
      <c r="BD135" s="4777"/>
      <c r="BE135" s="4777"/>
      <c r="BF135" s="4778"/>
      <c r="BG135" s="3909"/>
      <c r="BH135" s="3910"/>
      <c r="BI135" s="3913"/>
      <c r="BJ135" s="3913"/>
      <c r="BK135" s="3913"/>
      <c r="BL135" s="3913"/>
      <c r="BM135" s="3914"/>
      <c r="BN135" s="3894"/>
      <c r="BO135" s="3895"/>
      <c r="BP135" s="3895"/>
      <c r="BQ135" s="3895"/>
      <c r="BR135" s="3896"/>
      <c r="BS135" s="3900"/>
      <c r="BT135" s="3901"/>
      <c r="BU135" s="3901"/>
      <c r="BV135" s="3901"/>
      <c r="BW135" s="3901"/>
      <c r="BX135" s="3901"/>
      <c r="BY135" s="3901"/>
      <c r="BZ135" s="3902"/>
      <c r="CA135" s="3900"/>
      <c r="CB135" s="3901"/>
      <c r="CC135" s="3901"/>
      <c r="CD135" s="3901"/>
      <c r="CE135" s="3901"/>
      <c r="CF135" s="3901"/>
      <c r="CG135" s="3901"/>
      <c r="CH135" s="3901"/>
      <c r="CI135" s="3901"/>
      <c r="CJ135" s="3901"/>
      <c r="CK135" s="3901"/>
      <c r="CL135" s="3902"/>
      <c r="CM135" s="4098"/>
      <c r="CN135" s="4099"/>
      <c r="CO135" s="4099"/>
      <c r="CP135" s="4099"/>
      <c r="CQ135" s="4099"/>
      <c r="CR135" s="4099"/>
      <c r="CS135" s="4099"/>
      <c r="CT135" s="4099"/>
      <c r="CU135" s="4099"/>
      <c r="CV135" s="4099"/>
      <c r="CW135" s="4099"/>
      <c r="CX135" s="4099"/>
      <c r="CY135" s="4099"/>
      <c r="CZ135" s="4099"/>
      <c r="DA135" s="4100"/>
      <c r="DB135" s="4763"/>
      <c r="DC135" s="4764"/>
      <c r="DD135" s="4764"/>
      <c r="DE135" s="4764"/>
      <c r="DF135" s="4764"/>
      <c r="DG135" s="4764"/>
      <c r="DH135" s="4764"/>
      <c r="DI135" s="4764"/>
      <c r="DJ135" s="4764"/>
      <c r="DK135" s="4765"/>
      <c r="DL135" s="153"/>
      <c r="DM135" s="154"/>
      <c r="DN135" s="154"/>
      <c r="DO135" s="154"/>
      <c r="DP135" s="154"/>
      <c r="DQ135" s="154"/>
    </row>
    <row r="136" spans="1:148" ht="6.75" customHeight="1" thickTop="1" thickBot="1">
      <c r="A136" s="146"/>
      <c r="B136" s="169"/>
      <c r="C136" s="169"/>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1"/>
      <c r="AR136" s="171"/>
      <c r="AS136" s="171"/>
      <c r="AT136" s="171"/>
      <c r="AU136" s="171"/>
      <c r="AV136" s="171"/>
      <c r="AW136" s="171"/>
      <c r="AX136" s="171"/>
      <c r="AY136" s="171"/>
      <c r="AZ136" s="171"/>
      <c r="BA136" s="171"/>
      <c r="BB136" s="172"/>
      <c r="BC136" s="172"/>
      <c r="BD136" s="172"/>
      <c r="BE136" s="172"/>
      <c r="BF136" s="172"/>
      <c r="BG136" s="172"/>
      <c r="BH136" s="172"/>
      <c r="BI136" s="172"/>
      <c r="BJ136" s="172"/>
      <c r="BK136" s="172"/>
      <c r="BL136" s="172"/>
      <c r="BM136" s="172"/>
      <c r="BN136" s="172"/>
      <c r="BO136" s="155"/>
      <c r="BP136" s="155"/>
      <c r="BQ136" s="155"/>
      <c r="BR136" s="155"/>
      <c r="BS136" s="155"/>
      <c r="BT136" s="173"/>
      <c r="BU136" s="173"/>
      <c r="BV136" s="173"/>
      <c r="BW136" s="173"/>
      <c r="BX136" s="173"/>
      <c r="BY136" s="173"/>
      <c r="BZ136" s="173"/>
      <c r="CA136" s="173"/>
      <c r="CB136" s="173"/>
      <c r="CC136" s="172"/>
      <c r="CD136" s="172"/>
      <c r="CE136" s="172"/>
      <c r="CF136" s="172"/>
      <c r="CG136" s="172"/>
      <c r="CH136" s="172"/>
      <c r="CI136" s="172"/>
      <c r="CJ136" s="172"/>
      <c r="CK136" s="172"/>
      <c r="CL136" s="172"/>
      <c r="CM136" s="172"/>
      <c r="CN136" s="172"/>
      <c r="CO136" s="172"/>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6"/>
      <c r="DL136" s="155"/>
      <c r="DM136" s="156"/>
      <c r="DN136" s="156"/>
      <c r="DO136" s="156"/>
      <c r="DP136" s="156"/>
      <c r="DQ136" s="156"/>
    </row>
    <row r="137" spans="1:148" ht="6.75" customHeight="1" thickTop="1">
      <c r="A137" s="146"/>
      <c r="B137" s="3563" t="s">
        <v>318</v>
      </c>
      <c r="C137" s="3564"/>
      <c r="D137" s="3564"/>
      <c r="E137" s="3564"/>
      <c r="F137" s="3564"/>
      <c r="G137" s="3564"/>
      <c r="H137" s="3564"/>
      <c r="I137" s="3564"/>
      <c r="J137" s="3564"/>
      <c r="K137" s="3564"/>
      <c r="L137" s="3564"/>
      <c r="M137" s="3564"/>
      <c r="N137" s="3564"/>
      <c r="O137" s="3564"/>
      <c r="P137" s="3564"/>
      <c r="Q137" s="3564"/>
      <c r="R137" s="3564"/>
      <c r="S137" s="3564"/>
      <c r="T137" s="3564"/>
      <c r="U137" s="3918" t="s">
        <v>319</v>
      </c>
      <c r="V137" s="3918"/>
      <c r="W137" s="3918"/>
      <c r="X137" s="3918"/>
      <c r="Y137" s="3918"/>
      <c r="Z137" s="3918"/>
      <c r="AA137" s="3918"/>
      <c r="AB137" s="3918"/>
      <c r="AC137" s="3918"/>
      <c r="AD137" s="3918"/>
      <c r="AE137" s="3918"/>
      <c r="AF137" s="3918"/>
      <c r="AG137" s="3918"/>
      <c r="AH137" s="3918"/>
      <c r="AI137" s="3918"/>
      <c r="AJ137" s="3918"/>
      <c r="AK137" s="3918"/>
      <c r="AL137" s="3918"/>
      <c r="AM137" s="3918"/>
      <c r="AN137" s="3918"/>
      <c r="AO137" s="395"/>
      <c r="AP137" s="395"/>
      <c r="AQ137" s="395"/>
      <c r="AR137" s="395"/>
      <c r="AS137" s="395"/>
      <c r="AT137" s="395"/>
      <c r="AU137" s="395"/>
      <c r="AV137" s="395"/>
      <c r="AW137" s="395"/>
      <c r="AX137" s="395"/>
      <c r="AY137" s="395"/>
      <c r="AZ137" s="396"/>
      <c r="BA137" s="396"/>
      <c r="BB137" s="396"/>
      <c r="BC137" s="396"/>
      <c r="BD137" s="396"/>
      <c r="BE137" s="396"/>
      <c r="BF137" s="396"/>
      <c r="BG137" s="396"/>
      <c r="BH137" s="396"/>
      <c r="BI137" s="396"/>
      <c r="BJ137" s="396"/>
      <c r="BK137" s="396"/>
      <c r="BL137" s="396"/>
      <c r="BM137" s="396"/>
      <c r="BN137" s="396"/>
      <c r="BO137" s="396"/>
      <c r="BP137" s="395"/>
      <c r="BQ137" s="395"/>
      <c r="BR137" s="395"/>
      <c r="BS137" s="395"/>
      <c r="BT137" s="395"/>
      <c r="BU137" s="395"/>
      <c r="BV137" s="395"/>
      <c r="BW137" s="395"/>
      <c r="BX137" s="395"/>
      <c r="BY137" s="395"/>
      <c r="BZ137" s="395"/>
      <c r="CA137" s="395"/>
      <c r="CB137" s="395"/>
      <c r="CC137" s="395"/>
      <c r="CD137" s="395"/>
      <c r="CE137" s="395"/>
      <c r="CF137" s="395"/>
      <c r="CG137" s="395"/>
      <c r="CH137" s="395"/>
      <c r="CI137" s="395"/>
      <c r="CJ137" s="395"/>
      <c r="CK137" s="395"/>
      <c r="CL137" s="395"/>
      <c r="CM137" s="395"/>
      <c r="CN137" s="395"/>
      <c r="CO137" s="395"/>
      <c r="CP137" s="395"/>
      <c r="CQ137" s="395"/>
      <c r="CR137" s="395"/>
      <c r="CS137" s="395"/>
      <c r="CT137" s="395"/>
      <c r="CU137" s="395"/>
      <c r="CV137" s="395"/>
      <c r="CW137" s="395"/>
      <c r="CX137" s="395"/>
      <c r="CY137" s="395"/>
      <c r="CZ137" s="395"/>
      <c r="DA137" s="395"/>
      <c r="DB137" s="395"/>
      <c r="DC137" s="395"/>
      <c r="DD137" s="395"/>
      <c r="DE137" s="395"/>
      <c r="DF137" s="395"/>
      <c r="DG137" s="395"/>
      <c r="DH137" s="395"/>
      <c r="DI137" s="395"/>
      <c r="DJ137" s="395"/>
      <c r="DK137" s="397"/>
      <c r="DL137" s="128"/>
      <c r="DM137" s="156"/>
      <c r="DN137" s="156"/>
      <c r="DO137" s="156"/>
      <c r="DP137" s="156"/>
      <c r="DQ137" s="156"/>
      <c r="DR137" s="156"/>
      <c r="DS137" s="156"/>
      <c r="DT137" s="156"/>
      <c r="DU137" s="157"/>
      <c r="DV137" s="147"/>
      <c r="DW137" s="147"/>
      <c r="DX137" s="147"/>
      <c r="DY137" s="147"/>
      <c r="DZ137" s="147"/>
      <c r="EA137" s="147"/>
      <c r="EB137" s="147"/>
      <c r="EC137" s="147"/>
      <c r="ED137" s="147"/>
      <c r="EE137" s="147"/>
      <c r="EF137" s="147"/>
      <c r="EG137" s="147"/>
      <c r="EH137" s="147"/>
      <c r="EI137" s="147"/>
      <c r="EJ137" s="147"/>
      <c r="EK137" s="147"/>
      <c r="EL137" s="147"/>
      <c r="EM137" s="147"/>
      <c r="EN137" s="147"/>
      <c r="EO137" s="147"/>
      <c r="EP137" s="147"/>
      <c r="EQ137" s="147"/>
      <c r="ER137" s="147"/>
    </row>
    <row r="138" spans="1:148" ht="6.75" customHeight="1" thickBot="1">
      <c r="A138" s="146"/>
      <c r="B138" s="3565"/>
      <c r="C138" s="3566"/>
      <c r="D138" s="3566"/>
      <c r="E138" s="3566"/>
      <c r="F138" s="3566"/>
      <c r="G138" s="3566"/>
      <c r="H138" s="3566"/>
      <c r="I138" s="3566"/>
      <c r="J138" s="3566"/>
      <c r="K138" s="3566"/>
      <c r="L138" s="3566"/>
      <c r="M138" s="3566"/>
      <c r="N138" s="3566"/>
      <c r="O138" s="3566"/>
      <c r="P138" s="3566"/>
      <c r="Q138" s="3566"/>
      <c r="R138" s="3566"/>
      <c r="S138" s="3566"/>
      <c r="T138" s="3566"/>
      <c r="U138" s="3919"/>
      <c r="V138" s="3919"/>
      <c r="W138" s="3919"/>
      <c r="X138" s="3919"/>
      <c r="Y138" s="3919"/>
      <c r="Z138" s="3919"/>
      <c r="AA138" s="3919"/>
      <c r="AB138" s="3919"/>
      <c r="AC138" s="3919"/>
      <c r="AD138" s="3919"/>
      <c r="AE138" s="3919"/>
      <c r="AF138" s="3919"/>
      <c r="AG138" s="3919"/>
      <c r="AH138" s="3919"/>
      <c r="AI138" s="3919"/>
      <c r="AJ138" s="3919"/>
      <c r="AK138" s="3919"/>
      <c r="AL138" s="3919"/>
      <c r="AM138" s="3919"/>
      <c r="AN138" s="3919"/>
      <c r="AO138" s="168"/>
      <c r="AP138" s="168"/>
      <c r="AQ138" s="168"/>
      <c r="AR138" s="362"/>
      <c r="AS138" s="362"/>
      <c r="AT138" s="362"/>
      <c r="AU138" s="362"/>
      <c r="AV138" s="362"/>
      <c r="AW138" s="362"/>
      <c r="AX138" s="362"/>
      <c r="AY138" s="362"/>
      <c r="AZ138" s="398"/>
      <c r="BA138" s="398"/>
      <c r="BB138" s="398"/>
      <c r="BC138" s="398"/>
      <c r="BD138" s="398"/>
      <c r="BE138" s="398"/>
      <c r="BF138" s="398"/>
      <c r="BG138" s="398"/>
      <c r="BH138" s="398"/>
      <c r="BI138" s="398"/>
      <c r="BJ138" s="398"/>
      <c r="BK138" s="398"/>
      <c r="BL138" s="398"/>
      <c r="BM138" s="398"/>
      <c r="BN138" s="398"/>
      <c r="BO138" s="398"/>
      <c r="BP138" s="168"/>
      <c r="BQ138" s="168"/>
      <c r="BR138" s="168"/>
      <c r="BS138" s="168"/>
      <c r="BT138" s="168"/>
      <c r="BU138" s="168"/>
      <c r="BV138" s="168"/>
      <c r="BW138" s="168"/>
      <c r="BX138" s="168"/>
      <c r="BY138" s="168"/>
      <c r="BZ138" s="168"/>
      <c r="CA138" s="168"/>
      <c r="CB138" s="168"/>
      <c r="CC138" s="168"/>
      <c r="CD138" s="168"/>
      <c r="CE138" s="168"/>
      <c r="CF138" s="168"/>
      <c r="CG138" s="168"/>
      <c r="CH138" s="168"/>
      <c r="CI138" s="168"/>
      <c r="CJ138" s="168"/>
      <c r="CK138" s="168"/>
      <c r="CL138" s="168"/>
      <c r="CM138" s="168"/>
      <c r="CN138" s="168"/>
      <c r="CO138" s="168"/>
      <c r="CP138" s="168"/>
      <c r="CQ138" s="168"/>
      <c r="CR138" s="168"/>
      <c r="CS138" s="168"/>
      <c r="CT138" s="168"/>
      <c r="CU138" s="168"/>
      <c r="CV138" s="168"/>
      <c r="CW138" s="168"/>
      <c r="CX138" s="168"/>
      <c r="CY138" s="168"/>
      <c r="CZ138" s="168"/>
      <c r="DA138" s="168"/>
      <c r="DB138" s="168"/>
      <c r="DC138" s="168"/>
      <c r="DD138" s="168"/>
      <c r="DE138" s="168"/>
      <c r="DF138" s="168"/>
      <c r="DG138" s="168"/>
      <c r="DH138" s="168"/>
      <c r="DI138" s="168"/>
      <c r="DJ138" s="168"/>
      <c r="DK138" s="399"/>
      <c r="DL138" s="128"/>
      <c r="DM138" s="156"/>
      <c r="DN138" s="156"/>
      <c r="DO138" s="156"/>
      <c r="DP138" s="156"/>
      <c r="DQ138" s="156"/>
      <c r="DR138" s="156"/>
      <c r="DS138" s="156"/>
      <c r="DT138" s="156"/>
      <c r="DU138" s="15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row>
    <row r="139" spans="1:148" ht="6.75" customHeight="1">
      <c r="A139" s="146"/>
      <c r="B139" s="3571" t="s">
        <v>269</v>
      </c>
      <c r="C139" s="3572"/>
      <c r="D139" s="3577" t="s">
        <v>321</v>
      </c>
      <c r="E139" s="3578"/>
      <c r="F139" s="3578"/>
      <c r="G139" s="3578"/>
      <c r="H139" s="3578"/>
      <c r="I139" s="3578"/>
      <c r="J139" s="3578"/>
      <c r="K139" s="3578"/>
      <c r="L139" s="3578"/>
      <c r="M139" s="3578"/>
      <c r="N139" s="3578"/>
      <c r="O139" s="3578"/>
      <c r="P139" s="3578"/>
      <c r="Q139" s="3578"/>
      <c r="R139" s="3578"/>
      <c r="S139" s="3578"/>
      <c r="T139" s="3578"/>
      <c r="U139" s="3578"/>
      <c r="V139" s="3578"/>
      <c r="W139" s="3578"/>
      <c r="X139" s="3578"/>
      <c r="Y139" s="3578"/>
      <c r="Z139" s="3578"/>
      <c r="AA139" s="3579"/>
      <c r="AB139" s="4109" t="s">
        <v>322</v>
      </c>
      <c r="AC139" s="4109"/>
      <c r="AD139" s="4109"/>
      <c r="AE139" s="4109"/>
      <c r="AF139" s="4109"/>
      <c r="AG139" s="4109"/>
      <c r="AH139" s="4109"/>
      <c r="AI139" s="4117" t="s">
        <v>323</v>
      </c>
      <c r="AJ139" s="4118"/>
      <c r="AK139" s="4118"/>
      <c r="AL139" s="4118"/>
      <c r="AM139" s="4118"/>
      <c r="AN139" s="4118"/>
      <c r="AO139" s="4118"/>
      <c r="AP139" s="4118"/>
      <c r="AQ139" s="4119"/>
      <c r="AR139" s="4111" t="s">
        <v>324</v>
      </c>
      <c r="AS139" s="4112"/>
      <c r="AT139" s="4112"/>
      <c r="AU139" s="4112"/>
      <c r="AV139" s="4112"/>
      <c r="AW139" s="4112"/>
      <c r="AX139" s="4112"/>
      <c r="AY139" s="4112"/>
      <c r="AZ139" s="4112"/>
      <c r="BA139" s="4112"/>
      <c r="BB139" s="4112"/>
      <c r="BC139" s="4112"/>
      <c r="BD139" s="4112"/>
      <c r="BE139" s="4113"/>
      <c r="BF139" s="3586" t="s">
        <v>325</v>
      </c>
      <c r="BG139" s="3587"/>
      <c r="BH139" s="3587"/>
      <c r="BI139" s="3587"/>
      <c r="BJ139" s="3587"/>
      <c r="BK139" s="3587"/>
      <c r="BL139" s="3587"/>
      <c r="BM139" s="3587"/>
      <c r="BN139" s="3587"/>
      <c r="BO139" s="3587"/>
      <c r="BP139" s="3587"/>
      <c r="BQ139" s="3587"/>
      <c r="BR139" s="3587"/>
      <c r="BS139" s="3587"/>
      <c r="BT139" s="3587"/>
      <c r="BU139" s="3588"/>
      <c r="BV139" s="3586" t="s">
        <v>817</v>
      </c>
      <c r="BW139" s="3587"/>
      <c r="BX139" s="3587"/>
      <c r="BY139" s="3587"/>
      <c r="BZ139" s="3587"/>
      <c r="CA139" s="3588"/>
      <c r="CB139" s="3578" t="s">
        <v>287</v>
      </c>
      <c r="CC139" s="3578"/>
      <c r="CD139" s="3579"/>
      <c r="CE139" s="3601" t="s">
        <v>288</v>
      </c>
      <c r="CF139" s="3602"/>
      <c r="CG139" s="3602"/>
      <c r="CH139" s="3602"/>
      <c r="CI139" s="3602"/>
      <c r="CJ139" s="3602"/>
      <c r="CK139" s="3602"/>
      <c r="CL139" s="3602"/>
      <c r="CM139" s="3602"/>
      <c r="CN139" s="3602"/>
      <c r="CO139" s="3602"/>
      <c r="CP139" s="3602"/>
      <c r="CQ139" s="3602"/>
      <c r="CR139" s="3602"/>
      <c r="CS139" s="3602"/>
      <c r="CT139" s="3602"/>
      <c r="CU139" s="3602"/>
      <c r="CV139" s="3603"/>
      <c r="CW139" s="3548" t="s">
        <v>290</v>
      </c>
      <c r="CX139" s="3549"/>
      <c r="CY139" s="3549"/>
      <c r="CZ139" s="3549"/>
      <c r="DA139" s="3549"/>
      <c r="DB139" s="3549"/>
      <c r="DC139" s="3549"/>
      <c r="DD139" s="3549"/>
      <c r="DE139" s="3549"/>
      <c r="DF139" s="3549"/>
      <c r="DG139" s="3549"/>
      <c r="DH139" s="3549"/>
      <c r="DI139" s="3549"/>
      <c r="DJ139" s="3549"/>
      <c r="DK139" s="3550"/>
      <c r="DL139" s="147"/>
      <c r="DM139" s="147"/>
      <c r="DN139" s="147"/>
      <c r="DO139" s="147"/>
      <c r="DP139" s="147"/>
      <c r="DQ139" s="147"/>
      <c r="DR139" s="147"/>
      <c r="DS139" s="147"/>
      <c r="DT139" s="147"/>
      <c r="DU139" s="147"/>
      <c r="DV139" s="147"/>
      <c r="DW139" s="147"/>
      <c r="DX139" s="147"/>
      <c r="DY139" s="147"/>
      <c r="DZ139" s="147"/>
      <c r="EA139" s="147"/>
    </row>
    <row r="140" spans="1:148" ht="6.75" customHeight="1">
      <c r="A140" s="146"/>
      <c r="B140" s="3573"/>
      <c r="C140" s="3574"/>
      <c r="D140" s="3580"/>
      <c r="E140" s="3581"/>
      <c r="F140" s="3581"/>
      <c r="G140" s="3581"/>
      <c r="H140" s="3581"/>
      <c r="I140" s="3581"/>
      <c r="J140" s="3581"/>
      <c r="K140" s="3581"/>
      <c r="L140" s="3581"/>
      <c r="M140" s="3581"/>
      <c r="N140" s="3581"/>
      <c r="O140" s="3581"/>
      <c r="P140" s="3581"/>
      <c r="Q140" s="3581"/>
      <c r="R140" s="3581"/>
      <c r="S140" s="3581"/>
      <c r="T140" s="3581"/>
      <c r="U140" s="3581"/>
      <c r="V140" s="3581"/>
      <c r="W140" s="3581"/>
      <c r="X140" s="3581"/>
      <c r="Y140" s="3581"/>
      <c r="Z140" s="3581"/>
      <c r="AA140" s="3582"/>
      <c r="AB140" s="4110"/>
      <c r="AC140" s="4110"/>
      <c r="AD140" s="4110"/>
      <c r="AE140" s="4110"/>
      <c r="AF140" s="4110"/>
      <c r="AG140" s="4110"/>
      <c r="AH140" s="4110"/>
      <c r="AI140" s="4120"/>
      <c r="AJ140" s="4121"/>
      <c r="AK140" s="4121"/>
      <c r="AL140" s="4121"/>
      <c r="AM140" s="4121"/>
      <c r="AN140" s="4121"/>
      <c r="AO140" s="4121"/>
      <c r="AP140" s="4121"/>
      <c r="AQ140" s="4122"/>
      <c r="AR140" s="4114"/>
      <c r="AS140" s="4115"/>
      <c r="AT140" s="4115"/>
      <c r="AU140" s="4115"/>
      <c r="AV140" s="4115"/>
      <c r="AW140" s="4115"/>
      <c r="AX140" s="4115"/>
      <c r="AY140" s="4115"/>
      <c r="AZ140" s="4115"/>
      <c r="BA140" s="4115"/>
      <c r="BB140" s="4115"/>
      <c r="BC140" s="4115"/>
      <c r="BD140" s="4115"/>
      <c r="BE140" s="4116"/>
      <c r="BF140" s="3589"/>
      <c r="BG140" s="3590"/>
      <c r="BH140" s="3590"/>
      <c r="BI140" s="3590"/>
      <c r="BJ140" s="3590"/>
      <c r="BK140" s="3590"/>
      <c r="BL140" s="3590"/>
      <c r="BM140" s="3590"/>
      <c r="BN140" s="3590"/>
      <c r="BO140" s="3590"/>
      <c r="BP140" s="3590"/>
      <c r="BQ140" s="3590"/>
      <c r="BR140" s="3590"/>
      <c r="BS140" s="3590"/>
      <c r="BT140" s="3590"/>
      <c r="BU140" s="3591"/>
      <c r="BV140" s="3589"/>
      <c r="BW140" s="3590"/>
      <c r="BX140" s="3590"/>
      <c r="BY140" s="3590"/>
      <c r="BZ140" s="3590"/>
      <c r="CA140" s="3591"/>
      <c r="CB140" s="3581"/>
      <c r="CC140" s="3581"/>
      <c r="CD140" s="3582"/>
      <c r="CE140" s="3604"/>
      <c r="CF140" s="3605"/>
      <c r="CG140" s="3605"/>
      <c r="CH140" s="3605"/>
      <c r="CI140" s="3605"/>
      <c r="CJ140" s="3605"/>
      <c r="CK140" s="3605"/>
      <c r="CL140" s="3605"/>
      <c r="CM140" s="3605"/>
      <c r="CN140" s="3605"/>
      <c r="CO140" s="3605"/>
      <c r="CP140" s="3605"/>
      <c r="CQ140" s="3605"/>
      <c r="CR140" s="3605"/>
      <c r="CS140" s="3605"/>
      <c r="CT140" s="3605"/>
      <c r="CU140" s="3605"/>
      <c r="CV140" s="3606"/>
      <c r="CW140" s="3551"/>
      <c r="CX140" s="3552"/>
      <c r="CY140" s="3552"/>
      <c r="CZ140" s="3552"/>
      <c r="DA140" s="3552"/>
      <c r="DB140" s="3552"/>
      <c r="DC140" s="3552"/>
      <c r="DD140" s="3552"/>
      <c r="DE140" s="3552"/>
      <c r="DF140" s="3552"/>
      <c r="DG140" s="3552"/>
      <c r="DH140" s="3552"/>
      <c r="DI140" s="3552"/>
      <c r="DJ140" s="3552"/>
      <c r="DK140" s="3553"/>
      <c r="DL140" s="147"/>
      <c r="DM140" s="147"/>
      <c r="DN140" s="147"/>
      <c r="DO140" s="147"/>
      <c r="DP140" s="147"/>
      <c r="DQ140" s="147"/>
      <c r="DR140" s="147"/>
      <c r="DS140" s="147"/>
      <c r="DT140" s="147"/>
      <c r="DU140" s="147"/>
      <c r="DV140" s="147"/>
      <c r="DW140" s="147"/>
      <c r="DX140" s="147"/>
      <c r="DY140" s="147"/>
      <c r="DZ140" s="147"/>
      <c r="EA140" s="147"/>
    </row>
    <row r="141" spans="1:148" ht="6.75" customHeight="1">
      <c r="A141" s="146"/>
      <c r="B141" s="3573"/>
      <c r="C141" s="3574"/>
      <c r="D141" s="3580"/>
      <c r="E141" s="3581"/>
      <c r="F141" s="3581"/>
      <c r="G141" s="3581"/>
      <c r="H141" s="3581"/>
      <c r="I141" s="3581"/>
      <c r="J141" s="3581"/>
      <c r="K141" s="3581"/>
      <c r="L141" s="3581"/>
      <c r="M141" s="3581"/>
      <c r="N141" s="3581"/>
      <c r="O141" s="3581"/>
      <c r="P141" s="3581"/>
      <c r="Q141" s="3581"/>
      <c r="R141" s="3581"/>
      <c r="S141" s="3581"/>
      <c r="T141" s="3581"/>
      <c r="U141" s="3581"/>
      <c r="V141" s="3581"/>
      <c r="W141" s="3581"/>
      <c r="X141" s="3581"/>
      <c r="Y141" s="3581"/>
      <c r="Z141" s="3581"/>
      <c r="AA141" s="3582"/>
      <c r="AB141" s="4110"/>
      <c r="AC141" s="4110"/>
      <c r="AD141" s="4110"/>
      <c r="AE141" s="4110"/>
      <c r="AF141" s="4110"/>
      <c r="AG141" s="4110"/>
      <c r="AH141" s="4110"/>
      <c r="AI141" s="4120"/>
      <c r="AJ141" s="4121"/>
      <c r="AK141" s="4121"/>
      <c r="AL141" s="4121"/>
      <c r="AM141" s="4121"/>
      <c r="AN141" s="4121"/>
      <c r="AO141" s="4121"/>
      <c r="AP141" s="4121"/>
      <c r="AQ141" s="4122"/>
      <c r="AR141" s="4114"/>
      <c r="AS141" s="4115"/>
      <c r="AT141" s="4115"/>
      <c r="AU141" s="4115"/>
      <c r="AV141" s="4115"/>
      <c r="AW141" s="4115"/>
      <c r="AX141" s="4115"/>
      <c r="AY141" s="4115"/>
      <c r="AZ141" s="4115"/>
      <c r="BA141" s="4115"/>
      <c r="BB141" s="4115"/>
      <c r="BC141" s="4115"/>
      <c r="BD141" s="4115"/>
      <c r="BE141" s="4116"/>
      <c r="BF141" s="3589"/>
      <c r="BG141" s="3590"/>
      <c r="BH141" s="3590"/>
      <c r="BI141" s="3590"/>
      <c r="BJ141" s="3590"/>
      <c r="BK141" s="3590"/>
      <c r="BL141" s="3590"/>
      <c r="BM141" s="3590"/>
      <c r="BN141" s="3590"/>
      <c r="BO141" s="3590"/>
      <c r="BP141" s="3590"/>
      <c r="BQ141" s="3590"/>
      <c r="BR141" s="3590"/>
      <c r="BS141" s="3590"/>
      <c r="BT141" s="3590"/>
      <c r="BU141" s="3591"/>
      <c r="BV141" s="3589"/>
      <c r="BW141" s="3590"/>
      <c r="BX141" s="3590"/>
      <c r="BY141" s="3590"/>
      <c r="BZ141" s="3590"/>
      <c r="CA141" s="3591"/>
      <c r="CB141" s="3581"/>
      <c r="CC141" s="3581"/>
      <c r="CD141" s="3582"/>
      <c r="CE141" s="3595" t="s">
        <v>326</v>
      </c>
      <c r="CF141" s="3596"/>
      <c r="CG141" s="3596"/>
      <c r="CH141" s="3596"/>
      <c r="CI141" s="3596"/>
      <c r="CJ141" s="3596"/>
      <c r="CK141" s="3596"/>
      <c r="CL141" s="3596"/>
      <c r="CM141" s="3596"/>
      <c r="CN141" s="3596"/>
      <c r="CO141" s="3596"/>
      <c r="CP141" s="3596"/>
      <c r="CQ141" s="3596"/>
      <c r="CR141" s="3596"/>
      <c r="CS141" s="3596"/>
      <c r="CT141" s="3596"/>
      <c r="CU141" s="3596"/>
      <c r="CV141" s="3597"/>
      <c r="CW141" s="3551"/>
      <c r="CX141" s="3552"/>
      <c r="CY141" s="3552"/>
      <c r="CZ141" s="3552"/>
      <c r="DA141" s="3552"/>
      <c r="DB141" s="3552"/>
      <c r="DC141" s="3552"/>
      <c r="DD141" s="3552"/>
      <c r="DE141" s="3552"/>
      <c r="DF141" s="3552"/>
      <c r="DG141" s="3552"/>
      <c r="DH141" s="3552"/>
      <c r="DI141" s="3552"/>
      <c r="DJ141" s="3552"/>
      <c r="DK141" s="3553"/>
      <c r="DL141" s="147"/>
      <c r="DM141" s="147"/>
      <c r="DN141" s="147"/>
      <c r="DO141" s="147"/>
      <c r="DP141" s="147"/>
      <c r="DQ141" s="147"/>
      <c r="DR141" s="147"/>
      <c r="DS141" s="147"/>
      <c r="DT141" s="147"/>
      <c r="DU141" s="147"/>
      <c r="DV141" s="147"/>
      <c r="DW141" s="147"/>
      <c r="DX141" s="147"/>
      <c r="DY141" s="147"/>
      <c r="DZ141" s="147"/>
      <c r="EA141" s="147"/>
    </row>
    <row r="142" spans="1:148" ht="6.75" customHeight="1">
      <c r="A142" s="146"/>
      <c r="B142" s="3575"/>
      <c r="C142" s="3576"/>
      <c r="D142" s="3583"/>
      <c r="E142" s="3584"/>
      <c r="F142" s="3584"/>
      <c r="G142" s="3584"/>
      <c r="H142" s="3584"/>
      <c r="I142" s="3584"/>
      <c r="J142" s="3584"/>
      <c r="K142" s="3584"/>
      <c r="L142" s="3584"/>
      <c r="M142" s="3584"/>
      <c r="N142" s="3584"/>
      <c r="O142" s="3584"/>
      <c r="P142" s="3584"/>
      <c r="Q142" s="3584"/>
      <c r="R142" s="3584"/>
      <c r="S142" s="3584"/>
      <c r="T142" s="3584"/>
      <c r="U142" s="3584"/>
      <c r="V142" s="3584"/>
      <c r="W142" s="3584"/>
      <c r="X142" s="3584"/>
      <c r="Y142" s="3584"/>
      <c r="Z142" s="3584"/>
      <c r="AA142" s="3585"/>
      <c r="AB142" s="4110"/>
      <c r="AC142" s="4110"/>
      <c r="AD142" s="4110"/>
      <c r="AE142" s="4110"/>
      <c r="AF142" s="4110"/>
      <c r="AG142" s="4110"/>
      <c r="AH142" s="4110"/>
      <c r="AI142" s="4123"/>
      <c r="AJ142" s="4124"/>
      <c r="AK142" s="4124"/>
      <c r="AL142" s="4124"/>
      <c r="AM142" s="4124"/>
      <c r="AN142" s="4124"/>
      <c r="AO142" s="4124"/>
      <c r="AP142" s="4124"/>
      <c r="AQ142" s="4125"/>
      <c r="AR142" s="4114"/>
      <c r="AS142" s="4115"/>
      <c r="AT142" s="4115"/>
      <c r="AU142" s="4115"/>
      <c r="AV142" s="4115"/>
      <c r="AW142" s="4115"/>
      <c r="AX142" s="4115"/>
      <c r="AY142" s="4115"/>
      <c r="AZ142" s="4115"/>
      <c r="BA142" s="4115"/>
      <c r="BB142" s="4115"/>
      <c r="BC142" s="4115"/>
      <c r="BD142" s="4115"/>
      <c r="BE142" s="4116"/>
      <c r="BF142" s="3592"/>
      <c r="BG142" s="3593"/>
      <c r="BH142" s="3593"/>
      <c r="BI142" s="3593"/>
      <c r="BJ142" s="3593"/>
      <c r="BK142" s="3593"/>
      <c r="BL142" s="3593"/>
      <c r="BM142" s="3593"/>
      <c r="BN142" s="3593"/>
      <c r="BO142" s="3593"/>
      <c r="BP142" s="3593"/>
      <c r="BQ142" s="3593"/>
      <c r="BR142" s="3593"/>
      <c r="BS142" s="3593"/>
      <c r="BT142" s="3593"/>
      <c r="BU142" s="3594"/>
      <c r="BV142" s="3592"/>
      <c r="BW142" s="3593"/>
      <c r="BX142" s="3593"/>
      <c r="BY142" s="3593"/>
      <c r="BZ142" s="3593"/>
      <c r="CA142" s="3594"/>
      <c r="CB142" s="3584"/>
      <c r="CC142" s="3584"/>
      <c r="CD142" s="3585"/>
      <c r="CE142" s="3598"/>
      <c r="CF142" s="3599"/>
      <c r="CG142" s="3599"/>
      <c r="CH142" s="3599"/>
      <c r="CI142" s="3599"/>
      <c r="CJ142" s="3599"/>
      <c r="CK142" s="3599"/>
      <c r="CL142" s="3599"/>
      <c r="CM142" s="3599"/>
      <c r="CN142" s="3599"/>
      <c r="CO142" s="3599"/>
      <c r="CP142" s="3599"/>
      <c r="CQ142" s="3599"/>
      <c r="CR142" s="3599"/>
      <c r="CS142" s="3599"/>
      <c r="CT142" s="3599"/>
      <c r="CU142" s="3599"/>
      <c r="CV142" s="3600"/>
      <c r="CW142" s="3554"/>
      <c r="CX142" s="3555"/>
      <c r="CY142" s="3555"/>
      <c r="CZ142" s="3555"/>
      <c r="DA142" s="3555"/>
      <c r="DB142" s="3555"/>
      <c r="DC142" s="3555"/>
      <c r="DD142" s="3555"/>
      <c r="DE142" s="3555"/>
      <c r="DF142" s="3555"/>
      <c r="DG142" s="3555"/>
      <c r="DH142" s="3555"/>
      <c r="DI142" s="3555"/>
      <c r="DJ142" s="3555"/>
      <c r="DK142" s="3556"/>
      <c r="DL142" s="147"/>
      <c r="DM142" s="147"/>
      <c r="DN142" s="147"/>
      <c r="DO142" s="147"/>
      <c r="DP142" s="147"/>
      <c r="DQ142" s="147"/>
      <c r="DR142" s="147"/>
      <c r="DS142" s="147"/>
      <c r="DT142" s="147"/>
      <c r="DU142" s="147"/>
      <c r="DV142" s="147"/>
      <c r="DW142" s="147"/>
      <c r="DX142" s="147"/>
      <c r="DY142" s="147"/>
      <c r="DZ142" s="147"/>
      <c r="EA142" s="147"/>
    </row>
    <row r="143" spans="1:148" ht="6.75" customHeight="1">
      <c r="A143" s="146"/>
      <c r="B143" s="4156" t="s">
        <v>277</v>
      </c>
      <c r="C143" s="4157"/>
      <c r="D143" s="3673" t="s">
        <v>874</v>
      </c>
      <c r="E143" s="3674"/>
      <c r="F143" s="3674"/>
      <c r="G143" s="3674"/>
      <c r="H143" s="3674"/>
      <c r="I143" s="3674"/>
      <c r="J143" s="3674"/>
      <c r="K143" s="3674"/>
      <c r="L143" s="3674"/>
      <c r="M143" s="3674"/>
      <c r="N143" s="3674"/>
      <c r="O143" s="3674"/>
      <c r="P143" s="3674"/>
      <c r="Q143" s="3674"/>
      <c r="R143" s="3674"/>
      <c r="S143" s="3674"/>
      <c r="T143" s="3674"/>
      <c r="U143" s="3674"/>
      <c r="V143" s="3674"/>
      <c r="W143" s="3674"/>
      <c r="X143" s="3674"/>
      <c r="Y143" s="3674"/>
      <c r="Z143" s="3674"/>
      <c r="AA143" s="3677"/>
      <c r="AB143" s="4087" t="s">
        <v>327</v>
      </c>
      <c r="AC143" s="4088"/>
      <c r="AD143" s="4088"/>
      <c r="AE143" s="4088"/>
      <c r="AF143" s="4088"/>
      <c r="AG143" s="4088"/>
      <c r="AH143" s="4089"/>
      <c r="AI143" s="4093"/>
      <c r="AJ143" s="4093"/>
      <c r="AK143" s="4093"/>
      <c r="AL143" s="4093"/>
      <c r="AM143" s="4093"/>
      <c r="AN143" s="4093"/>
      <c r="AO143" s="4093"/>
      <c r="AP143" s="4093"/>
      <c r="AQ143" s="4093"/>
      <c r="AR143" s="3926" t="s">
        <v>157</v>
      </c>
      <c r="AS143" s="3927"/>
      <c r="AT143" s="3927"/>
      <c r="AU143" s="3927"/>
      <c r="AV143" s="3927"/>
      <c r="AW143" s="3927"/>
      <c r="AX143" s="3927"/>
      <c r="AY143" s="3927"/>
      <c r="AZ143" s="3927"/>
      <c r="BA143" s="3927"/>
      <c r="BB143" s="3927"/>
      <c r="BC143" s="3927"/>
      <c r="BD143" s="3927"/>
      <c r="BE143" s="3928"/>
      <c r="BF143" s="4107" t="s">
        <v>294</v>
      </c>
      <c r="BG143" s="4107"/>
      <c r="BH143" s="4107"/>
      <c r="BI143" s="4107"/>
      <c r="BJ143" s="4107"/>
      <c r="BK143" s="4107"/>
      <c r="BL143" s="4107"/>
      <c r="BM143" s="4107"/>
      <c r="BN143" s="4107"/>
      <c r="BO143" s="4107"/>
      <c r="BP143" s="4107"/>
      <c r="BQ143" s="4107"/>
      <c r="BR143" s="4107"/>
      <c r="BS143" s="4107"/>
      <c r="BT143" s="4107"/>
      <c r="BU143" s="4107"/>
      <c r="BV143" s="3932">
        <v>500</v>
      </c>
      <c r="BW143" s="3932"/>
      <c r="BX143" s="3932"/>
      <c r="BY143" s="3932"/>
      <c r="BZ143" s="3932"/>
      <c r="CA143" s="3932"/>
      <c r="CB143" s="3932" t="s">
        <v>328</v>
      </c>
      <c r="CC143" s="3932"/>
      <c r="CD143" s="3932"/>
      <c r="CE143" s="3762">
        <v>20</v>
      </c>
      <c r="CF143" s="3763"/>
      <c r="CG143" s="3763"/>
      <c r="CH143" s="3766">
        <v>23</v>
      </c>
      <c r="CI143" s="3766"/>
      <c r="CJ143" s="3766"/>
      <c r="CK143" s="3733" t="s">
        <v>0</v>
      </c>
      <c r="CL143" s="3733"/>
      <c r="CM143" s="3768">
        <v>4</v>
      </c>
      <c r="CN143" s="3768"/>
      <c r="CO143" s="3768"/>
      <c r="CP143" s="3733" t="s">
        <v>1</v>
      </c>
      <c r="CQ143" s="3733"/>
      <c r="CR143" s="3768">
        <v>1</v>
      </c>
      <c r="CS143" s="3768"/>
      <c r="CT143" s="3768"/>
      <c r="CU143" s="3674" t="s">
        <v>2</v>
      </c>
      <c r="CV143" s="3677"/>
      <c r="CW143" s="3920"/>
      <c r="CX143" s="3921"/>
      <c r="CY143" s="3921"/>
      <c r="CZ143" s="3921"/>
      <c r="DA143" s="3921"/>
      <c r="DB143" s="3921"/>
      <c r="DC143" s="3921"/>
      <c r="DD143" s="3921"/>
      <c r="DE143" s="3921"/>
      <c r="DF143" s="3921"/>
      <c r="DG143" s="3921"/>
      <c r="DH143" s="3921"/>
      <c r="DI143" s="3921"/>
      <c r="DJ143" s="3921"/>
      <c r="DK143" s="3922"/>
      <c r="DL143" s="147"/>
      <c r="DM143" s="147"/>
      <c r="DN143" s="147"/>
      <c r="DO143" s="147"/>
      <c r="DP143" s="147"/>
      <c r="DQ143" s="147"/>
      <c r="DR143" s="147"/>
      <c r="DS143" s="147"/>
      <c r="DT143" s="147"/>
      <c r="DU143" s="147"/>
      <c r="DV143" s="147"/>
      <c r="DW143" s="147"/>
      <c r="DX143" s="147"/>
      <c r="DY143" s="147"/>
      <c r="DZ143" s="147"/>
      <c r="EA143" s="147"/>
    </row>
    <row r="144" spans="1:148" ht="6.75" customHeight="1" thickBot="1">
      <c r="A144" s="146"/>
      <c r="B144" s="4158"/>
      <c r="C144" s="4159"/>
      <c r="D144" s="3675"/>
      <c r="E144" s="3676"/>
      <c r="F144" s="3676"/>
      <c r="G144" s="3676"/>
      <c r="H144" s="3676"/>
      <c r="I144" s="3676"/>
      <c r="J144" s="3676"/>
      <c r="K144" s="3676"/>
      <c r="L144" s="3676"/>
      <c r="M144" s="3676"/>
      <c r="N144" s="3676"/>
      <c r="O144" s="3676"/>
      <c r="P144" s="3676"/>
      <c r="Q144" s="3676"/>
      <c r="R144" s="3676"/>
      <c r="S144" s="3676"/>
      <c r="T144" s="3676"/>
      <c r="U144" s="3676"/>
      <c r="V144" s="3676"/>
      <c r="W144" s="3676"/>
      <c r="X144" s="3676"/>
      <c r="Y144" s="3676"/>
      <c r="Z144" s="3676"/>
      <c r="AA144" s="3678"/>
      <c r="AB144" s="4090"/>
      <c r="AC144" s="4091"/>
      <c r="AD144" s="4091"/>
      <c r="AE144" s="4091"/>
      <c r="AF144" s="4091"/>
      <c r="AG144" s="4091"/>
      <c r="AH144" s="4092"/>
      <c r="AI144" s="4094"/>
      <c r="AJ144" s="4094"/>
      <c r="AK144" s="4094"/>
      <c r="AL144" s="4094"/>
      <c r="AM144" s="4094"/>
      <c r="AN144" s="4094"/>
      <c r="AO144" s="4094"/>
      <c r="AP144" s="4094"/>
      <c r="AQ144" s="4094"/>
      <c r="AR144" s="3929"/>
      <c r="AS144" s="3930"/>
      <c r="AT144" s="3930"/>
      <c r="AU144" s="3930"/>
      <c r="AV144" s="3930"/>
      <c r="AW144" s="3930"/>
      <c r="AX144" s="3930"/>
      <c r="AY144" s="3930"/>
      <c r="AZ144" s="3930"/>
      <c r="BA144" s="3930"/>
      <c r="BB144" s="3930"/>
      <c r="BC144" s="3930"/>
      <c r="BD144" s="3930"/>
      <c r="BE144" s="3931"/>
      <c r="BF144" s="4108"/>
      <c r="BG144" s="4108"/>
      <c r="BH144" s="4108"/>
      <c r="BI144" s="4108"/>
      <c r="BJ144" s="4108"/>
      <c r="BK144" s="4108"/>
      <c r="BL144" s="4108"/>
      <c r="BM144" s="4108"/>
      <c r="BN144" s="4108"/>
      <c r="BO144" s="4108"/>
      <c r="BP144" s="4108"/>
      <c r="BQ144" s="4108"/>
      <c r="BR144" s="4108"/>
      <c r="BS144" s="4108"/>
      <c r="BT144" s="4108"/>
      <c r="BU144" s="4108"/>
      <c r="BV144" s="3933"/>
      <c r="BW144" s="3933"/>
      <c r="BX144" s="3933"/>
      <c r="BY144" s="3933"/>
      <c r="BZ144" s="3933"/>
      <c r="CA144" s="3933"/>
      <c r="CB144" s="3933"/>
      <c r="CC144" s="3933"/>
      <c r="CD144" s="3933"/>
      <c r="CE144" s="3764"/>
      <c r="CF144" s="3765"/>
      <c r="CG144" s="3765"/>
      <c r="CH144" s="3767"/>
      <c r="CI144" s="3767"/>
      <c r="CJ144" s="3767"/>
      <c r="CK144" s="3734"/>
      <c r="CL144" s="3734"/>
      <c r="CM144" s="3769"/>
      <c r="CN144" s="3769"/>
      <c r="CO144" s="3769"/>
      <c r="CP144" s="3734"/>
      <c r="CQ144" s="3734"/>
      <c r="CR144" s="3769"/>
      <c r="CS144" s="3769"/>
      <c r="CT144" s="3769"/>
      <c r="CU144" s="3676"/>
      <c r="CV144" s="3678"/>
      <c r="CW144" s="3923"/>
      <c r="CX144" s="3924"/>
      <c r="CY144" s="3924"/>
      <c r="CZ144" s="3924"/>
      <c r="DA144" s="3924"/>
      <c r="DB144" s="3924"/>
      <c r="DC144" s="3924"/>
      <c r="DD144" s="3924"/>
      <c r="DE144" s="3924"/>
      <c r="DF144" s="3924"/>
      <c r="DG144" s="3924"/>
      <c r="DH144" s="3924"/>
      <c r="DI144" s="3924"/>
      <c r="DJ144" s="3924"/>
      <c r="DK144" s="3925"/>
      <c r="DL144" s="147"/>
      <c r="DM144" s="147"/>
      <c r="DN144" s="147"/>
      <c r="DO144" s="147"/>
      <c r="DP144" s="147"/>
      <c r="DQ144" s="147"/>
      <c r="DR144" s="147"/>
      <c r="DS144" s="147"/>
      <c r="DT144" s="147"/>
      <c r="DU144" s="147"/>
      <c r="DV144" s="147"/>
      <c r="DW144" s="147"/>
      <c r="DX144" s="147"/>
      <c r="DY144" s="147"/>
      <c r="DZ144" s="147"/>
      <c r="EA144" s="147"/>
    </row>
    <row r="145" spans="1:115" ht="6.75" customHeight="1" thickTop="1">
      <c r="A145" s="146"/>
      <c r="B145" s="3990" t="s">
        <v>1270</v>
      </c>
      <c r="C145" s="3991"/>
      <c r="D145" s="3972" t="s">
        <v>872</v>
      </c>
      <c r="E145" s="3973"/>
      <c r="F145" s="3973"/>
      <c r="G145" s="3973"/>
      <c r="H145" s="3973"/>
      <c r="I145" s="3973"/>
      <c r="J145" s="3973"/>
      <c r="K145" s="3973"/>
      <c r="L145" s="3973"/>
      <c r="M145" s="3973"/>
      <c r="N145" s="3973"/>
      <c r="O145" s="3973"/>
      <c r="P145" s="3973"/>
      <c r="Q145" s="3973"/>
      <c r="R145" s="3973"/>
      <c r="S145" s="3973"/>
      <c r="T145" s="3973"/>
      <c r="U145" s="3973"/>
      <c r="V145" s="3973"/>
      <c r="W145" s="3973"/>
      <c r="X145" s="3973"/>
      <c r="Y145" s="3973"/>
      <c r="Z145" s="3973"/>
      <c r="AA145" s="3974"/>
      <c r="AB145" s="4727"/>
      <c r="AC145" s="4728"/>
      <c r="AD145" s="4728"/>
      <c r="AE145" s="4728"/>
      <c r="AF145" s="4728"/>
      <c r="AG145" s="4728"/>
      <c r="AH145" s="4729"/>
      <c r="AI145" s="3984"/>
      <c r="AJ145" s="3985"/>
      <c r="AK145" s="3985"/>
      <c r="AL145" s="3985"/>
      <c r="AM145" s="3985"/>
      <c r="AN145" s="3985"/>
      <c r="AO145" s="3985"/>
      <c r="AP145" s="3985"/>
      <c r="AQ145" s="3986"/>
      <c r="AR145" s="4084"/>
      <c r="AS145" s="4085"/>
      <c r="AT145" s="4085"/>
      <c r="AU145" s="4085"/>
      <c r="AV145" s="4085"/>
      <c r="AW145" s="4085"/>
      <c r="AX145" s="4085"/>
      <c r="AY145" s="4085"/>
      <c r="AZ145" s="4085"/>
      <c r="BA145" s="4085"/>
      <c r="BB145" s="4085"/>
      <c r="BC145" s="4085"/>
      <c r="BD145" s="4085"/>
      <c r="BE145" s="4086"/>
      <c r="BF145" s="4730"/>
      <c r="BG145" s="4730"/>
      <c r="BH145" s="4730"/>
      <c r="BI145" s="4730"/>
      <c r="BJ145" s="4730"/>
      <c r="BK145" s="4730"/>
      <c r="BL145" s="4730"/>
      <c r="BM145" s="4730"/>
      <c r="BN145" s="4730"/>
      <c r="BO145" s="4730"/>
      <c r="BP145" s="4730"/>
      <c r="BQ145" s="4730"/>
      <c r="BR145" s="4730"/>
      <c r="BS145" s="4730"/>
      <c r="BT145" s="4730"/>
      <c r="BU145" s="4730"/>
      <c r="BV145" s="4204"/>
      <c r="BW145" s="4205"/>
      <c r="BX145" s="4205"/>
      <c r="BY145" s="4205"/>
      <c r="BZ145" s="4205"/>
      <c r="CA145" s="4206"/>
      <c r="CB145" s="4757"/>
      <c r="CC145" s="4757"/>
      <c r="CD145" s="4757"/>
      <c r="CE145" s="4138">
        <v>20</v>
      </c>
      <c r="CF145" s="4138"/>
      <c r="CG145" s="4138"/>
      <c r="CH145" s="4720"/>
      <c r="CI145" s="4720"/>
      <c r="CJ145" s="4720"/>
      <c r="CK145" s="4126" t="s">
        <v>0</v>
      </c>
      <c r="CL145" s="4126"/>
      <c r="CM145" s="4720"/>
      <c r="CN145" s="4720"/>
      <c r="CO145" s="4720"/>
      <c r="CP145" s="4126" t="s">
        <v>1</v>
      </c>
      <c r="CQ145" s="4126"/>
      <c r="CR145" s="4724">
        <v>1</v>
      </c>
      <c r="CS145" s="4724"/>
      <c r="CT145" s="4724"/>
      <c r="CU145" s="4163" t="s">
        <v>296</v>
      </c>
      <c r="CV145" s="4163"/>
      <c r="CW145" s="4752"/>
      <c r="CX145" s="4178"/>
      <c r="CY145" s="4178"/>
      <c r="CZ145" s="4178"/>
      <c r="DA145" s="4178"/>
      <c r="DB145" s="4178"/>
      <c r="DC145" s="4178"/>
      <c r="DD145" s="4178"/>
      <c r="DE145" s="4178"/>
      <c r="DF145" s="4178"/>
      <c r="DG145" s="4178"/>
      <c r="DH145" s="4178"/>
      <c r="DI145" s="4178"/>
      <c r="DJ145" s="4178"/>
      <c r="DK145" s="4179"/>
    </row>
    <row r="146" spans="1:115" ht="6.75" customHeight="1">
      <c r="A146" s="146"/>
      <c r="B146" s="3992"/>
      <c r="C146" s="3993"/>
      <c r="D146" s="3975"/>
      <c r="E146" s="3976"/>
      <c r="F146" s="3976"/>
      <c r="G146" s="3976"/>
      <c r="H146" s="3976"/>
      <c r="I146" s="3976"/>
      <c r="J146" s="3976"/>
      <c r="K146" s="3976"/>
      <c r="L146" s="3976"/>
      <c r="M146" s="3976"/>
      <c r="N146" s="3976"/>
      <c r="O146" s="3976"/>
      <c r="P146" s="3976"/>
      <c r="Q146" s="3976"/>
      <c r="R146" s="3976"/>
      <c r="S146" s="3976"/>
      <c r="T146" s="3976"/>
      <c r="U146" s="3976"/>
      <c r="V146" s="3976"/>
      <c r="W146" s="3976"/>
      <c r="X146" s="3976"/>
      <c r="Y146" s="3976"/>
      <c r="Z146" s="3976"/>
      <c r="AA146" s="3977"/>
      <c r="AB146" s="4702"/>
      <c r="AC146" s="4703"/>
      <c r="AD146" s="4703"/>
      <c r="AE146" s="4703"/>
      <c r="AF146" s="4703"/>
      <c r="AG146" s="4703"/>
      <c r="AH146" s="4704"/>
      <c r="AI146" s="3987"/>
      <c r="AJ146" s="3988"/>
      <c r="AK146" s="3988"/>
      <c r="AL146" s="3988"/>
      <c r="AM146" s="3988"/>
      <c r="AN146" s="3988"/>
      <c r="AO146" s="3988"/>
      <c r="AP146" s="3988"/>
      <c r="AQ146" s="3989"/>
      <c r="AR146" s="3961"/>
      <c r="AS146" s="3962"/>
      <c r="AT146" s="3962"/>
      <c r="AU146" s="3962"/>
      <c r="AV146" s="3962"/>
      <c r="AW146" s="3962"/>
      <c r="AX146" s="3962"/>
      <c r="AY146" s="3962"/>
      <c r="AZ146" s="3962"/>
      <c r="BA146" s="3962"/>
      <c r="BB146" s="3962"/>
      <c r="BC146" s="3962"/>
      <c r="BD146" s="3962"/>
      <c r="BE146" s="3963"/>
      <c r="BF146" s="4731"/>
      <c r="BG146" s="4731"/>
      <c r="BH146" s="4731"/>
      <c r="BI146" s="4731"/>
      <c r="BJ146" s="4731"/>
      <c r="BK146" s="4731"/>
      <c r="BL146" s="4731"/>
      <c r="BM146" s="4731"/>
      <c r="BN146" s="4731"/>
      <c r="BO146" s="4731"/>
      <c r="BP146" s="4731"/>
      <c r="BQ146" s="4731"/>
      <c r="BR146" s="4731"/>
      <c r="BS146" s="4731"/>
      <c r="BT146" s="4731"/>
      <c r="BU146" s="4731"/>
      <c r="BV146" s="4207"/>
      <c r="BW146" s="4208"/>
      <c r="BX146" s="4208"/>
      <c r="BY146" s="4208"/>
      <c r="BZ146" s="4208"/>
      <c r="CA146" s="4209"/>
      <c r="CB146" s="4758"/>
      <c r="CC146" s="4758"/>
      <c r="CD146" s="4758"/>
      <c r="CE146" s="4140"/>
      <c r="CF146" s="4140"/>
      <c r="CG146" s="4140"/>
      <c r="CH146" s="4721"/>
      <c r="CI146" s="4721"/>
      <c r="CJ146" s="4721"/>
      <c r="CK146" s="4127"/>
      <c r="CL146" s="4127"/>
      <c r="CM146" s="4721"/>
      <c r="CN146" s="4721"/>
      <c r="CO146" s="4721"/>
      <c r="CP146" s="4127"/>
      <c r="CQ146" s="4127"/>
      <c r="CR146" s="4725"/>
      <c r="CS146" s="4725"/>
      <c r="CT146" s="4725"/>
      <c r="CU146" s="4165"/>
      <c r="CV146" s="4165"/>
      <c r="CW146" s="4753"/>
      <c r="CX146" s="4181"/>
      <c r="CY146" s="4181"/>
      <c r="CZ146" s="4181"/>
      <c r="DA146" s="4181"/>
      <c r="DB146" s="4181"/>
      <c r="DC146" s="4181"/>
      <c r="DD146" s="4181"/>
      <c r="DE146" s="4181"/>
      <c r="DF146" s="4181"/>
      <c r="DG146" s="4181"/>
      <c r="DH146" s="4181"/>
      <c r="DI146" s="4181"/>
      <c r="DJ146" s="4181"/>
      <c r="DK146" s="4182"/>
    </row>
    <row r="147" spans="1:115" ht="6.75" customHeight="1">
      <c r="A147" s="146"/>
      <c r="B147" s="3607" t="s">
        <v>1271</v>
      </c>
      <c r="C147" s="3994"/>
      <c r="D147" s="4003" t="s">
        <v>873</v>
      </c>
      <c r="E147" s="4004"/>
      <c r="F147" s="4004"/>
      <c r="G147" s="4004"/>
      <c r="H147" s="4004"/>
      <c r="I147" s="4004"/>
      <c r="J147" s="4004"/>
      <c r="K147" s="4004"/>
      <c r="L147" s="4004"/>
      <c r="M147" s="4004"/>
      <c r="N147" s="4004"/>
      <c r="O147" s="4004"/>
      <c r="P147" s="4004"/>
      <c r="Q147" s="4004"/>
      <c r="R147" s="4004"/>
      <c r="S147" s="4004"/>
      <c r="T147" s="4004"/>
      <c r="U147" s="4004"/>
      <c r="V147" s="4004"/>
      <c r="W147" s="4004"/>
      <c r="X147" s="4004"/>
      <c r="Y147" s="4004"/>
      <c r="Z147" s="4004"/>
      <c r="AA147" s="4005"/>
      <c r="AB147" s="4733"/>
      <c r="AC147" s="4734"/>
      <c r="AD147" s="4734"/>
      <c r="AE147" s="4734"/>
      <c r="AF147" s="4734"/>
      <c r="AG147" s="4734"/>
      <c r="AH147" s="4735"/>
      <c r="AI147" s="4215"/>
      <c r="AJ147" s="4215"/>
      <c r="AK147" s="4215"/>
      <c r="AL147" s="4215"/>
      <c r="AM147" s="4215"/>
      <c r="AN147" s="4215"/>
      <c r="AO147" s="4215"/>
      <c r="AP147" s="4215"/>
      <c r="AQ147" s="4215"/>
      <c r="AR147" s="3961"/>
      <c r="AS147" s="3962"/>
      <c r="AT147" s="3962"/>
      <c r="AU147" s="3962"/>
      <c r="AV147" s="3962"/>
      <c r="AW147" s="3962"/>
      <c r="AX147" s="3962"/>
      <c r="AY147" s="3962"/>
      <c r="AZ147" s="3962"/>
      <c r="BA147" s="3962"/>
      <c r="BB147" s="3962"/>
      <c r="BC147" s="3962"/>
      <c r="BD147" s="3962"/>
      <c r="BE147" s="3963"/>
      <c r="BF147" s="4731"/>
      <c r="BG147" s="4731"/>
      <c r="BH147" s="4731"/>
      <c r="BI147" s="4731"/>
      <c r="BJ147" s="4731"/>
      <c r="BK147" s="4731"/>
      <c r="BL147" s="4731"/>
      <c r="BM147" s="4731"/>
      <c r="BN147" s="4731"/>
      <c r="BO147" s="4731"/>
      <c r="BP147" s="4731"/>
      <c r="BQ147" s="4731"/>
      <c r="BR147" s="4731"/>
      <c r="BS147" s="4731"/>
      <c r="BT147" s="4731"/>
      <c r="BU147" s="4731"/>
      <c r="BV147" s="4207"/>
      <c r="BW147" s="4208"/>
      <c r="BX147" s="4208"/>
      <c r="BY147" s="4208"/>
      <c r="BZ147" s="4208"/>
      <c r="CA147" s="4209"/>
      <c r="CB147" s="4758"/>
      <c r="CC147" s="4758"/>
      <c r="CD147" s="4758"/>
      <c r="CE147" s="4140"/>
      <c r="CF147" s="4140"/>
      <c r="CG147" s="4140"/>
      <c r="CH147" s="4721"/>
      <c r="CI147" s="4721"/>
      <c r="CJ147" s="4721"/>
      <c r="CK147" s="4127"/>
      <c r="CL147" s="4127"/>
      <c r="CM147" s="4721"/>
      <c r="CN147" s="4721"/>
      <c r="CO147" s="4721"/>
      <c r="CP147" s="4127"/>
      <c r="CQ147" s="4127"/>
      <c r="CR147" s="4725"/>
      <c r="CS147" s="4725"/>
      <c r="CT147" s="4725"/>
      <c r="CU147" s="4165"/>
      <c r="CV147" s="4165"/>
      <c r="CW147" s="4753"/>
      <c r="CX147" s="4181"/>
      <c r="CY147" s="4181"/>
      <c r="CZ147" s="4181"/>
      <c r="DA147" s="4181"/>
      <c r="DB147" s="4181"/>
      <c r="DC147" s="4181"/>
      <c r="DD147" s="4181"/>
      <c r="DE147" s="4181"/>
      <c r="DF147" s="4181"/>
      <c r="DG147" s="4181"/>
      <c r="DH147" s="4181"/>
      <c r="DI147" s="4181"/>
      <c r="DJ147" s="4181"/>
      <c r="DK147" s="4182"/>
    </row>
    <row r="148" spans="1:115" ht="6.75" customHeight="1">
      <c r="A148" s="146"/>
      <c r="B148" s="3607"/>
      <c r="C148" s="3994"/>
      <c r="D148" s="4081"/>
      <c r="E148" s="4082"/>
      <c r="F148" s="4082"/>
      <c r="G148" s="4082"/>
      <c r="H148" s="4082"/>
      <c r="I148" s="4082"/>
      <c r="J148" s="4082"/>
      <c r="K148" s="4082"/>
      <c r="L148" s="4082"/>
      <c r="M148" s="4082"/>
      <c r="N148" s="4082"/>
      <c r="O148" s="4082"/>
      <c r="P148" s="4082"/>
      <c r="Q148" s="4082"/>
      <c r="R148" s="4082"/>
      <c r="S148" s="4082"/>
      <c r="T148" s="4082"/>
      <c r="U148" s="4082"/>
      <c r="V148" s="4082"/>
      <c r="W148" s="4082"/>
      <c r="X148" s="4082"/>
      <c r="Y148" s="4082"/>
      <c r="Z148" s="4082"/>
      <c r="AA148" s="4083"/>
      <c r="AB148" s="4705"/>
      <c r="AC148" s="4706"/>
      <c r="AD148" s="4706"/>
      <c r="AE148" s="4706"/>
      <c r="AF148" s="4706"/>
      <c r="AG148" s="4706"/>
      <c r="AH148" s="4707"/>
      <c r="AI148" s="4215"/>
      <c r="AJ148" s="4215"/>
      <c r="AK148" s="4215"/>
      <c r="AL148" s="4215"/>
      <c r="AM148" s="4215"/>
      <c r="AN148" s="4215"/>
      <c r="AO148" s="4215"/>
      <c r="AP148" s="4215"/>
      <c r="AQ148" s="4215"/>
      <c r="AR148" s="3961"/>
      <c r="AS148" s="3962"/>
      <c r="AT148" s="3962"/>
      <c r="AU148" s="3962"/>
      <c r="AV148" s="3962"/>
      <c r="AW148" s="3962"/>
      <c r="AX148" s="3962"/>
      <c r="AY148" s="3962"/>
      <c r="AZ148" s="3962"/>
      <c r="BA148" s="3962"/>
      <c r="BB148" s="3962"/>
      <c r="BC148" s="3962"/>
      <c r="BD148" s="3962"/>
      <c r="BE148" s="3963"/>
      <c r="BF148" s="4731"/>
      <c r="BG148" s="4731"/>
      <c r="BH148" s="4731"/>
      <c r="BI148" s="4731"/>
      <c r="BJ148" s="4731"/>
      <c r="BK148" s="4731"/>
      <c r="BL148" s="4731"/>
      <c r="BM148" s="4731"/>
      <c r="BN148" s="4731"/>
      <c r="BO148" s="4731"/>
      <c r="BP148" s="4731"/>
      <c r="BQ148" s="4731"/>
      <c r="BR148" s="4731"/>
      <c r="BS148" s="4731"/>
      <c r="BT148" s="4731"/>
      <c r="BU148" s="4731"/>
      <c r="BV148" s="4207"/>
      <c r="BW148" s="4208"/>
      <c r="BX148" s="4208"/>
      <c r="BY148" s="4208"/>
      <c r="BZ148" s="4208"/>
      <c r="CA148" s="4209"/>
      <c r="CB148" s="4758"/>
      <c r="CC148" s="4758"/>
      <c r="CD148" s="4758"/>
      <c r="CE148" s="4140"/>
      <c r="CF148" s="4140"/>
      <c r="CG148" s="4140"/>
      <c r="CH148" s="4721"/>
      <c r="CI148" s="4721"/>
      <c r="CJ148" s="4721"/>
      <c r="CK148" s="4127"/>
      <c r="CL148" s="4127"/>
      <c r="CM148" s="4721"/>
      <c r="CN148" s="4721"/>
      <c r="CO148" s="4721"/>
      <c r="CP148" s="4127"/>
      <c r="CQ148" s="4127"/>
      <c r="CR148" s="4725"/>
      <c r="CS148" s="4725"/>
      <c r="CT148" s="4725"/>
      <c r="CU148" s="4165"/>
      <c r="CV148" s="4165"/>
      <c r="CW148" s="4753"/>
      <c r="CX148" s="4181"/>
      <c r="CY148" s="4181"/>
      <c r="CZ148" s="4181"/>
      <c r="DA148" s="4181"/>
      <c r="DB148" s="4181"/>
      <c r="DC148" s="4181"/>
      <c r="DD148" s="4181"/>
      <c r="DE148" s="4181"/>
      <c r="DF148" s="4181"/>
      <c r="DG148" s="4181"/>
      <c r="DH148" s="4181"/>
      <c r="DI148" s="4181"/>
      <c r="DJ148" s="4181"/>
      <c r="DK148" s="4182"/>
    </row>
    <row r="149" spans="1:115" ht="6.75" customHeight="1">
      <c r="A149" s="146"/>
      <c r="B149" s="3937" t="s">
        <v>1269</v>
      </c>
      <c r="C149" s="3938"/>
      <c r="D149" s="4003" t="s">
        <v>874</v>
      </c>
      <c r="E149" s="4004"/>
      <c r="F149" s="4004"/>
      <c r="G149" s="4004"/>
      <c r="H149" s="4004"/>
      <c r="I149" s="4004"/>
      <c r="J149" s="4004"/>
      <c r="K149" s="4004"/>
      <c r="L149" s="4004"/>
      <c r="M149" s="4004"/>
      <c r="N149" s="4004"/>
      <c r="O149" s="4004"/>
      <c r="P149" s="4004"/>
      <c r="Q149" s="4004"/>
      <c r="R149" s="4004"/>
      <c r="S149" s="4004"/>
      <c r="T149" s="4004"/>
      <c r="U149" s="4004"/>
      <c r="V149" s="4004"/>
      <c r="W149" s="4004"/>
      <c r="X149" s="4004"/>
      <c r="Y149" s="4004"/>
      <c r="Z149" s="4004"/>
      <c r="AA149" s="4005"/>
      <c r="AB149" s="4702"/>
      <c r="AC149" s="4703"/>
      <c r="AD149" s="4703"/>
      <c r="AE149" s="4703"/>
      <c r="AF149" s="4703"/>
      <c r="AG149" s="4703"/>
      <c r="AH149" s="4704"/>
      <c r="AI149" s="4213"/>
      <c r="AJ149" s="4213"/>
      <c r="AK149" s="4213"/>
      <c r="AL149" s="4213"/>
      <c r="AM149" s="4213"/>
      <c r="AN149" s="4213"/>
      <c r="AO149" s="4213"/>
      <c r="AP149" s="4213"/>
      <c r="AQ149" s="4213"/>
      <c r="AR149" s="3961"/>
      <c r="AS149" s="3962"/>
      <c r="AT149" s="3962"/>
      <c r="AU149" s="3962"/>
      <c r="AV149" s="3962"/>
      <c r="AW149" s="3962"/>
      <c r="AX149" s="3962"/>
      <c r="AY149" s="3962"/>
      <c r="AZ149" s="3962"/>
      <c r="BA149" s="3962"/>
      <c r="BB149" s="3962"/>
      <c r="BC149" s="3962"/>
      <c r="BD149" s="3962"/>
      <c r="BE149" s="3963"/>
      <c r="BF149" s="4731"/>
      <c r="BG149" s="4731"/>
      <c r="BH149" s="4731"/>
      <c r="BI149" s="4731"/>
      <c r="BJ149" s="4731"/>
      <c r="BK149" s="4731"/>
      <c r="BL149" s="4731"/>
      <c r="BM149" s="4731"/>
      <c r="BN149" s="4731"/>
      <c r="BO149" s="4731"/>
      <c r="BP149" s="4731"/>
      <c r="BQ149" s="4731"/>
      <c r="BR149" s="4731"/>
      <c r="BS149" s="4731"/>
      <c r="BT149" s="4731"/>
      <c r="BU149" s="4731"/>
      <c r="BV149" s="4207"/>
      <c r="BW149" s="4208"/>
      <c r="BX149" s="4208"/>
      <c r="BY149" s="4208"/>
      <c r="BZ149" s="4208"/>
      <c r="CA149" s="4209"/>
      <c r="CB149" s="4758"/>
      <c r="CC149" s="4758"/>
      <c r="CD149" s="4758"/>
      <c r="CE149" s="4140"/>
      <c r="CF149" s="4140"/>
      <c r="CG149" s="4140"/>
      <c r="CH149" s="4721"/>
      <c r="CI149" s="4721"/>
      <c r="CJ149" s="4721"/>
      <c r="CK149" s="4127"/>
      <c r="CL149" s="4127"/>
      <c r="CM149" s="4721"/>
      <c r="CN149" s="4721"/>
      <c r="CO149" s="4721"/>
      <c r="CP149" s="4127"/>
      <c r="CQ149" s="4127"/>
      <c r="CR149" s="4725"/>
      <c r="CS149" s="4725"/>
      <c r="CT149" s="4725"/>
      <c r="CU149" s="4165"/>
      <c r="CV149" s="4165"/>
      <c r="CW149" s="4753"/>
      <c r="CX149" s="4181"/>
      <c r="CY149" s="4181"/>
      <c r="CZ149" s="4181"/>
      <c r="DA149" s="4181"/>
      <c r="DB149" s="4181"/>
      <c r="DC149" s="4181"/>
      <c r="DD149" s="4181"/>
      <c r="DE149" s="4181"/>
      <c r="DF149" s="4181"/>
      <c r="DG149" s="4181"/>
      <c r="DH149" s="4181"/>
      <c r="DI149" s="4181"/>
      <c r="DJ149" s="4181"/>
      <c r="DK149" s="4182"/>
    </row>
    <row r="150" spans="1:115" ht="6.75" customHeight="1">
      <c r="A150" s="146"/>
      <c r="B150" s="3939"/>
      <c r="C150" s="3940"/>
      <c r="D150" s="4081"/>
      <c r="E150" s="4082"/>
      <c r="F150" s="4082"/>
      <c r="G150" s="4082"/>
      <c r="H150" s="4082"/>
      <c r="I150" s="4082"/>
      <c r="J150" s="4082"/>
      <c r="K150" s="4082"/>
      <c r="L150" s="4082"/>
      <c r="M150" s="4082"/>
      <c r="N150" s="4082"/>
      <c r="O150" s="4082"/>
      <c r="P150" s="4082"/>
      <c r="Q150" s="4082"/>
      <c r="R150" s="4082"/>
      <c r="S150" s="4082"/>
      <c r="T150" s="4082"/>
      <c r="U150" s="4082"/>
      <c r="V150" s="4082"/>
      <c r="W150" s="4082"/>
      <c r="X150" s="4082"/>
      <c r="Y150" s="4082"/>
      <c r="Z150" s="4082"/>
      <c r="AA150" s="4083"/>
      <c r="AB150" s="4705"/>
      <c r="AC150" s="4706"/>
      <c r="AD150" s="4706"/>
      <c r="AE150" s="4706"/>
      <c r="AF150" s="4706"/>
      <c r="AG150" s="4706"/>
      <c r="AH150" s="4707"/>
      <c r="AI150" s="4213"/>
      <c r="AJ150" s="4213"/>
      <c r="AK150" s="4213"/>
      <c r="AL150" s="4213"/>
      <c r="AM150" s="4213"/>
      <c r="AN150" s="4213"/>
      <c r="AO150" s="4213"/>
      <c r="AP150" s="4213"/>
      <c r="AQ150" s="4213"/>
      <c r="AR150" s="3961"/>
      <c r="AS150" s="3962"/>
      <c r="AT150" s="3962"/>
      <c r="AU150" s="3962"/>
      <c r="AV150" s="3962"/>
      <c r="AW150" s="3962"/>
      <c r="AX150" s="3962"/>
      <c r="AY150" s="3962"/>
      <c r="AZ150" s="3962"/>
      <c r="BA150" s="3962"/>
      <c r="BB150" s="3962"/>
      <c r="BC150" s="3962"/>
      <c r="BD150" s="3962"/>
      <c r="BE150" s="3963"/>
      <c r="BF150" s="4731"/>
      <c r="BG150" s="4731"/>
      <c r="BH150" s="4731"/>
      <c r="BI150" s="4731"/>
      <c r="BJ150" s="4731"/>
      <c r="BK150" s="4731"/>
      <c r="BL150" s="4731"/>
      <c r="BM150" s="4731"/>
      <c r="BN150" s="4731"/>
      <c r="BO150" s="4731"/>
      <c r="BP150" s="4731"/>
      <c r="BQ150" s="4731"/>
      <c r="BR150" s="4731"/>
      <c r="BS150" s="4731"/>
      <c r="BT150" s="4731"/>
      <c r="BU150" s="4731"/>
      <c r="BV150" s="4207"/>
      <c r="BW150" s="4208"/>
      <c r="BX150" s="4208"/>
      <c r="BY150" s="4208"/>
      <c r="BZ150" s="4208"/>
      <c r="CA150" s="4209"/>
      <c r="CB150" s="4758"/>
      <c r="CC150" s="4758"/>
      <c r="CD150" s="4758"/>
      <c r="CE150" s="4140"/>
      <c r="CF150" s="4140"/>
      <c r="CG150" s="4140"/>
      <c r="CH150" s="4721"/>
      <c r="CI150" s="4721"/>
      <c r="CJ150" s="4721"/>
      <c r="CK150" s="4127"/>
      <c r="CL150" s="4127"/>
      <c r="CM150" s="4721"/>
      <c r="CN150" s="4721"/>
      <c r="CO150" s="4721"/>
      <c r="CP150" s="4127"/>
      <c r="CQ150" s="4127"/>
      <c r="CR150" s="4725"/>
      <c r="CS150" s="4725"/>
      <c r="CT150" s="4725"/>
      <c r="CU150" s="4165"/>
      <c r="CV150" s="4165"/>
      <c r="CW150" s="4753"/>
      <c r="CX150" s="4181"/>
      <c r="CY150" s="4181"/>
      <c r="CZ150" s="4181"/>
      <c r="DA150" s="4181"/>
      <c r="DB150" s="4181"/>
      <c r="DC150" s="4181"/>
      <c r="DD150" s="4181"/>
      <c r="DE150" s="4181"/>
      <c r="DF150" s="4181"/>
      <c r="DG150" s="4181"/>
      <c r="DH150" s="4181"/>
      <c r="DI150" s="4181"/>
      <c r="DJ150" s="4181"/>
      <c r="DK150" s="4182"/>
    </row>
    <row r="151" spans="1:115" ht="6.75" customHeight="1">
      <c r="A151" s="146"/>
      <c r="B151" s="3937" t="s">
        <v>1272</v>
      </c>
      <c r="C151" s="3938"/>
      <c r="D151" s="4003" t="s">
        <v>875</v>
      </c>
      <c r="E151" s="4004"/>
      <c r="F151" s="4004"/>
      <c r="G151" s="4004"/>
      <c r="H151" s="4004"/>
      <c r="I151" s="4004"/>
      <c r="J151" s="4004"/>
      <c r="K151" s="4004"/>
      <c r="L151" s="4004"/>
      <c r="M151" s="4004"/>
      <c r="N151" s="4004"/>
      <c r="O151" s="4004"/>
      <c r="P151" s="4004"/>
      <c r="Q151" s="4004"/>
      <c r="R151" s="4004"/>
      <c r="S151" s="4004"/>
      <c r="T151" s="4004"/>
      <c r="U151" s="4004"/>
      <c r="V151" s="4004"/>
      <c r="W151" s="4004"/>
      <c r="X151" s="4004"/>
      <c r="Y151" s="4004"/>
      <c r="Z151" s="4004"/>
      <c r="AA151" s="4005"/>
      <c r="AB151" s="4733"/>
      <c r="AC151" s="4734"/>
      <c r="AD151" s="4734"/>
      <c r="AE151" s="4734"/>
      <c r="AF151" s="4734"/>
      <c r="AG151" s="4734"/>
      <c r="AH151" s="4735"/>
      <c r="AI151" s="4007"/>
      <c r="AJ151" s="4008"/>
      <c r="AK151" s="4008"/>
      <c r="AL151" s="4008"/>
      <c r="AM151" s="4008"/>
      <c r="AN151" s="4008"/>
      <c r="AO151" s="4008"/>
      <c r="AP151" s="4008"/>
      <c r="AQ151" s="4009"/>
      <c r="AR151" s="3961"/>
      <c r="AS151" s="3962"/>
      <c r="AT151" s="3962"/>
      <c r="AU151" s="3962"/>
      <c r="AV151" s="3962"/>
      <c r="AW151" s="3962"/>
      <c r="AX151" s="3962"/>
      <c r="AY151" s="3962"/>
      <c r="AZ151" s="3962"/>
      <c r="BA151" s="3962"/>
      <c r="BB151" s="3962"/>
      <c r="BC151" s="3962"/>
      <c r="BD151" s="3962"/>
      <c r="BE151" s="3963"/>
      <c r="BF151" s="4731"/>
      <c r="BG151" s="4731"/>
      <c r="BH151" s="4731"/>
      <c r="BI151" s="4731"/>
      <c r="BJ151" s="4731"/>
      <c r="BK151" s="4731"/>
      <c r="BL151" s="4731"/>
      <c r="BM151" s="4731"/>
      <c r="BN151" s="4731"/>
      <c r="BO151" s="4731"/>
      <c r="BP151" s="4731"/>
      <c r="BQ151" s="4731"/>
      <c r="BR151" s="4731"/>
      <c r="BS151" s="4731"/>
      <c r="BT151" s="4731"/>
      <c r="BU151" s="4731"/>
      <c r="BV151" s="4207"/>
      <c r="BW151" s="4208"/>
      <c r="BX151" s="4208"/>
      <c r="BY151" s="4208"/>
      <c r="BZ151" s="4208"/>
      <c r="CA151" s="4209"/>
      <c r="CB151" s="4758"/>
      <c r="CC151" s="4758"/>
      <c r="CD151" s="4758"/>
      <c r="CE151" s="4140"/>
      <c r="CF151" s="4140"/>
      <c r="CG151" s="4140"/>
      <c r="CH151" s="4721"/>
      <c r="CI151" s="4721"/>
      <c r="CJ151" s="4721"/>
      <c r="CK151" s="4127"/>
      <c r="CL151" s="4127"/>
      <c r="CM151" s="4721"/>
      <c r="CN151" s="4721"/>
      <c r="CO151" s="4721"/>
      <c r="CP151" s="4127"/>
      <c r="CQ151" s="4127"/>
      <c r="CR151" s="4725"/>
      <c r="CS151" s="4725"/>
      <c r="CT151" s="4725"/>
      <c r="CU151" s="4165"/>
      <c r="CV151" s="4165"/>
      <c r="CW151" s="4753"/>
      <c r="CX151" s="4181"/>
      <c r="CY151" s="4181"/>
      <c r="CZ151" s="4181"/>
      <c r="DA151" s="4181"/>
      <c r="DB151" s="4181"/>
      <c r="DC151" s="4181"/>
      <c r="DD151" s="4181"/>
      <c r="DE151" s="4181"/>
      <c r="DF151" s="4181"/>
      <c r="DG151" s="4181"/>
      <c r="DH151" s="4181"/>
      <c r="DI151" s="4181"/>
      <c r="DJ151" s="4181"/>
      <c r="DK151" s="4182"/>
    </row>
    <row r="152" spans="1:115" ht="6.75" customHeight="1">
      <c r="A152" s="146"/>
      <c r="B152" s="3939"/>
      <c r="C152" s="3940"/>
      <c r="D152" s="4081"/>
      <c r="E152" s="4082"/>
      <c r="F152" s="4082"/>
      <c r="G152" s="4082"/>
      <c r="H152" s="4082"/>
      <c r="I152" s="4082"/>
      <c r="J152" s="4082"/>
      <c r="K152" s="4082"/>
      <c r="L152" s="4082"/>
      <c r="M152" s="4082"/>
      <c r="N152" s="4082"/>
      <c r="O152" s="4082"/>
      <c r="P152" s="4082"/>
      <c r="Q152" s="4082"/>
      <c r="R152" s="4082"/>
      <c r="S152" s="4082"/>
      <c r="T152" s="4082"/>
      <c r="U152" s="4082"/>
      <c r="V152" s="4082"/>
      <c r="W152" s="4082"/>
      <c r="X152" s="4082"/>
      <c r="Y152" s="4082"/>
      <c r="Z152" s="4082"/>
      <c r="AA152" s="4083"/>
      <c r="AB152" s="4705"/>
      <c r="AC152" s="4706"/>
      <c r="AD152" s="4706"/>
      <c r="AE152" s="4706"/>
      <c r="AF152" s="4706"/>
      <c r="AG152" s="4706"/>
      <c r="AH152" s="4707"/>
      <c r="AI152" s="4160"/>
      <c r="AJ152" s="4161"/>
      <c r="AK152" s="4161"/>
      <c r="AL152" s="4161"/>
      <c r="AM152" s="4161"/>
      <c r="AN152" s="4161"/>
      <c r="AO152" s="4161"/>
      <c r="AP152" s="4161"/>
      <c r="AQ152" s="4162"/>
      <c r="AR152" s="3961"/>
      <c r="AS152" s="3962"/>
      <c r="AT152" s="3962"/>
      <c r="AU152" s="3962"/>
      <c r="AV152" s="3962"/>
      <c r="AW152" s="3962"/>
      <c r="AX152" s="3962"/>
      <c r="AY152" s="3962"/>
      <c r="AZ152" s="3962"/>
      <c r="BA152" s="3962"/>
      <c r="BB152" s="3962"/>
      <c r="BC152" s="3962"/>
      <c r="BD152" s="3962"/>
      <c r="BE152" s="3963"/>
      <c r="BF152" s="4731"/>
      <c r="BG152" s="4731"/>
      <c r="BH152" s="4731"/>
      <c r="BI152" s="4731"/>
      <c r="BJ152" s="4731"/>
      <c r="BK152" s="4731"/>
      <c r="BL152" s="4731"/>
      <c r="BM152" s="4731"/>
      <c r="BN152" s="4731"/>
      <c r="BO152" s="4731"/>
      <c r="BP152" s="4731"/>
      <c r="BQ152" s="4731"/>
      <c r="BR152" s="4731"/>
      <c r="BS152" s="4731"/>
      <c r="BT152" s="4731"/>
      <c r="BU152" s="4731"/>
      <c r="BV152" s="4207"/>
      <c r="BW152" s="4208"/>
      <c r="BX152" s="4208"/>
      <c r="BY152" s="4208"/>
      <c r="BZ152" s="4208"/>
      <c r="CA152" s="4209"/>
      <c r="CB152" s="4758"/>
      <c r="CC152" s="4758"/>
      <c r="CD152" s="4758"/>
      <c r="CE152" s="4140"/>
      <c r="CF152" s="4140"/>
      <c r="CG152" s="4140"/>
      <c r="CH152" s="4721"/>
      <c r="CI152" s="4721"/>
      <c r="CJ152" s="4721"/>
      <c r="CK152" s="4127"/>
      <c r="CL152" s="4127"/>
      <c r="CM152" s="4721"/>
      <c r="CN152" s="4721"/>
      <c r="CO152" s="4721"/>
      <c r="CP152" s="4127"/>
      <c r="CQ152" s="4127"/>
      <c r="CR152" s="4725"/>
      <c r="CS152" s="4725"/>
      <c r="CT152" s="4725"/>
      <c r="CU152" s="4165"/>
      <c r="CV152" s="4165"/>
      <c r="CW152" s="4753"/>
      <c r="CX152" s="4181"/>
      <c r="CY152" s="4181"/>
      <c r="CZ152" s="4181"/>
      <c r="DA152" s="4181"/>
      <c r="DB152" s="4181"/>
      <c r="DC152" s="4181"/>
      <c r="DD152" s="4181"/>
      <c r="DE152" s="4181"/>
      <c r="DF152" s="4181"/>
      <c r="DG152" s="4181"/>
      <c r="DH152" s="4181"/>
      <c r="DI152" s="4181"/>
      <c r="DJ152" s="4181"/>
      <c r="DK152" s="4182"/>
    </row>
    <row r="153" spans="1:115" ht="6.75" customHeight="1">
      <c r="A153" s="146"/>
      <c r="B153" s="3937" t="s">
        <v>1273</v>
      </c>
      <c r="C153" s="3938"/>
      <c r="D153" s="4003" t="s">
        <v>345</v>
      </c>
      <c r="E153" s="4004"/>
      <c r="F153" s="4004"/>
      <c r="G153" s="4004"/>
      <c r="H153" s="4004"/>
      <c r="I153" s="4004"/>
      <c r="J153" s="4004"/>
      <c r="K153" s="4004"/>
      <c r="L153" s="4004"/>
      <c r="M153" s="4004"/>
      <c r="N153" s="4004"/>
      <c r="O153" s="4004"/>
      <c r="P153" s="4004"/>
      <c r="Q153" s="4004"/>
      <c r="R153" s="4004"/>
      <c r="S153" s="4004"/>
      <c r="T153" s="4004"/>
      <c r="U153" s="4004"/>
      <c r="V153" s="4004"/>
      <c r="W153" s="4004"/>
      <c r="X153" s="4004"/>
      <c r="Y153" s="4004"/>
      <c r="Z153" s="4004"/>
      <c r="AA153" s="4005"/>
      <c r="AB153" s="4733"/>
      <c r="AC153" s="4734"/>
      <c r="AD153" s="4734"/>
      <c r="AE153" s="4734"/>
      <c r="AF153" s="4734"/>
      <c r="AG153" s="4734"/>
      <c r="AH153" s="4735"/>
      <c r="AI153" s="4007"/>
      <c r="AJ153" s="4008"/>
      <c r="AK153" s="4008"/>
      <c r="AL153" s="4008"/>
      <c r="AM153" s="4008"/>
      <c r="AN153" s="4008"/>
      <c r="AO153" s="4008"/>
      <c r="AP153" s="4008"/>
      <c r="AQ153" s="4009"/>
      <c r="AR153" s="3961"/>
      <c r="AS153" s="3962"/>
      <c r="AT153" s="3962"/>
      <c r="AU153" s="3962"/>
      <c r="AV153" s="3962"/>
      <c r="AW153" s="3962"/>
      <c r="AX153" s="3962"/>
      <c r="AY153" s="3962"/>
      <c r="AZ153" s="3962"/>
      <c r="BA153" s="3962"/>
      <c r="BB153" s="3962"/>
      <c r="BC153" s="3962"/>
      <c r="BD153" s="3962"/>
      <c r="BE153" s="3963"/>
      <c r="BF153" s="4731"/>
      <c r="BG153" s="4731"/>
      <c r="BH153" s="4731"/>
      <c r="BI153" s="4731"/>
      <c r="BJ153" s="4731"/>
      <c r="BK153" s="4731"/>
      <c r="BL153" s="4731"/>
      <c r="BM153" s="4731"/>
      <c r="BN153" s="4731"/>
      <c r="BO153" s="4731"/>
      <c r="BP153" s="4731"/>
      <c r="BQ153" s="4731"/>
      <c r="BR153" s="4731"/>
      <c r="BS153" s="4731"/>
      <c r="BT153" s="4731"/>
      <c r="BU153" s="4731"/>
      <c r="BV153" s="4207"/>
      <c r="BW153" s="4208"/>
      <c r="BX153" s="4208"/>
      <c r="BY153" s="4208"/>
      <c r="BZ153" s="4208"/>
      <c r="CA153" s="4209"/>
      <c r="CB153" s="4758"/>
      <c r="CC153" s="4758"/>
      <c r="CD153" s="4758"/>
      <c r="CE153" s="4140"/>
      <c r="CF153" s="4140"/>
      <c r="CG153" s="4140"/>
      <c r="CH153" s="4721"/>
      <c r="CI153" s="4721"/>
      <c r="CJ153" s="4721"/>
      <c r="CK153" s="4127"/>
      <c r="CL153" s="4127"/>
      <c r="CM153" s="4721"/>
      <c r="CN153" s="4721"/>
      <c r="CO153" s="4721"/>
      <c r="CP153" s="4127"/>
      <c r="CQ153" s="4127"/>
      <c r="CR153" s="4725"/>
      <c r="CS153" s="4725"/>
      <c r="CT153" s="4725"/>
      <c r="CU153" s="4165"/>
      <c r="CV153" s="4165"/>
      <c r="CW153" s="4753"/>
      <c r="CX153" s="4181"/>
      <c r="CY153" s="4181"/>
      <c r="CZ153" s="4181"/>
      <c r="DA153" s="4181"/>
      <c r="DB153" s="4181"/>
      <c r="DC153" s="4181"/>
      <c r="DD153" s="4181"/>
      <c r="DE153" s="4181"/>
      <c r="DF153" s="4181"/>
      <c r="DG153" s="4181"/>
      <c r="DH153" s="4181"/>
      <c r="DI153" s="4181"/>
      <c r="DJ153" s="4181"/>
      <c r="DK153" s="4182"/>
    </row>
    <row r="154" spans="1:115" ht="6.75" customHeight="1">
      <c r="A154" s="146"/>
      <c r="B154" s="3939"/>
      <c r="C154" s="3940"/>
      <c r="D154" s="4081"/>
      <c r="E154" s="4082"/>
      <c r="F154" s="4082"/>
      <c r="G154" s="4082"/>
      <c r="H154" s="4082"/>
      <c r="I154" s="4082"/>
      <c r="J154" s="4082"/>
      <c r="K154" s="4082"/>
      <c r="L154" s="4082"/>
      <c r="M154" s="4082"/>
      <c r="N154" s="4082"/>
      <c r="O154" s="4082"/>
      <c r="P154" s="4082"/>
      <c r="Q154" s="4082"/>
      <c r="R154" s="4082"/>
      <c r="S154" s="4082"/>
      <c r="T154" s="4082"/>
      <c r="U154" s="4082"/>
      <c r="V154" s="4082"/>
      <c r="W154" s="4082"/>
      <c r="X154" s="4082"/>
      <c r="Y154" s="4082"/>
      <c r="Z154" s="4082"/>
      <c r="AA154" s="4083"/>
      <c r="AB154" s="4705"/>
      <c r="AC154" s="4706"/>
      <c r="AD154" s="4706"/>
      <c r="AE154" s="4706"/>
      <c r="AF154" s="4706"/>
      <c r="AG154" s="4706"/>
      <c r="AH154" s="4707"/>
      <c r="AI154" s="4160"/>
      <c r="AJ154" s="4161"/>
      <c r="AK154" s="4161"/>
      <c r="AL154" s="4161"/>
      <c r="AM154" s="4161"/>
      <c r="AN154" s="4161"/>
      <c r="AO154" s="4161"/>
      <c r="AP154" s="4161"/>
      <c r="AQ154" s="4162"/>
      <c r="AR154" s="3961"/>
      <c r="AS154" s="3962"/>
      <c r="AT154" s="3962"/>
      <c r="AU154" s="3962"/>
      <c r="AV154" s="3962"/>
      <c r="AW154" s="3962"/>
      <c r="AX154" s="3962"/>
      <c r="AY154" s="3962"/>
      <c r="AZ154" s="3962"/>
      <c r="BA154" s="3962"/>
      <c r="BB154" s="3962"/>
      <c r="BC154" s="3962"/>
      <c r="BD154" s="3962"/>
      <c r="BE154" s="3963"/>
      <c r="BF154" s="4731"/>
      <c r="BG154" s="4731"/>
      <c r="BH154" s="4731"/>
      <c r="BI154" s="4731"/>
      <c r="BJ154" s="4731"/>
      <c r="BK154" s="4731"/>
      <c r="BL154" s="4731"/>
      <c r="BM154" s="4731"/>
      <c r="BN154" s="4731"/>
      <c r="BO154" s="4731"/>
      <c r="BP154" s="4731"/>
      <c r="BQ154" s="4731"/>
      <c r="BR154" s="4731"/>
      <c r="BS154" s="4731"/>
      <c r="BT154" s="4731"/>
      <c r="BU154" s="4731"/>
      <c r="BV154" s="4207"/>
      <c r="BW154" s="4208"/>
      <c r="BX154" s="4208"/>
      <c r="BY154" s="4208"/>
      <c r="BZ154" s="4208"/>
      <c r="CA154" s="4209"/>
      <c r="CB154" s="4758"/>
      <c r="CC154" s="4758"/>
      <c r="CD154" s="4758"/>
      <c r="CE154" s="4140"/>
      <c r="CF154" s="4140"/>
      <c r="CG154" s="4140"/>
      <c r="CH154" s="4721"/>
      <c r="CI154" s="4721"/>
      <c r="CJ154" s="4721"/>
      <c r="CK154" s="4127"/>
      <c r="CL154" s="4127"/>
      <c r="CM154" s="4721"/>
      <c r="CN154" s="4721"/>
      <c r="CO154" s="4721"/>
      <c r="CP154" s="4127"/>
      <c r="CQ154" s="4127"/>
      <c r="CR154" s="4725"/>
      <c r="CS154" s="4725"/>
      <c r="CT154" s="4725"/>
      <c r="CU154" s="4165"/>
      <c r="CV154" s="4165"/>
      <c r="CW154" s="4753"/>
      <c r="CX154" s="4181"/>
      <c r="CY154" s="4181"/>
      <c r="CZ154" s="4181"/>
      <c r="DA154" s="4181"/>
      <c r="DB154" s="4181"/>
      <c r="DC154" s="4181"/>
      <c r="DD154" s="4181"/>
      <c r="DE154" s="4181"/>
      <c r="DF154" s="4181"/>
      <c r="DG154" s="4181"/>
      <c r="DH154" s="4181"/>
      <c r="DI154" s="4181"/>
      <c r="DJ154" s="4181"/>
      <c r="DK154" s="4182"/>
    </row>
    <row r="155" spans="1:115" ht="6.75" customHeight="1">
      <c r="A155" s="146"/>
      <c r="B155" s="3607" t="s">
        <v>1274</v>
      </c>
      <c r="C155" s="3994"/>
      <c r="D155" s="3968" t="s">
        <v>1222</v>
      </c>
      <c r="E155" s="3968"/>
      <c r="F155" s="3968"/>
      <c r="G155" s="3968"/>
      <c r="H155" s="3968"/>
      <c r="I155" s="3968"/>
      <c r="J155" s="3968"/>
      <c r="K155" s="3968"/>
      <c r="L155" s="3968"/>
      <c r="M155" s="3968"/>
      <c r="N155" s="3968"/>
      <c r="O155" s="3968"/>
      <c r="P155" s="3968"/>
      <c r="Q155" s="3968"/>
      <c r="R155" s="3968"/>
      <c r="S155" s="3968"/>
      <c r="T155" s="3968"/>
      <c r="U155" s="3968"/>
      <c r="V155" s="3968"/>
      <c r="W155" s="3968"/>
      <c r="X155" s="3968"/>
      <c r="Y155" s="3968"/>
      <c r="Z155" s="3968"/>
      <c r="AA155" s="4670"/>
      <c r="AB155" s="4701"/>
      <c r="AC155" s="4701"/>
      <c r="AD155" s="4701"/>
      <c r="AE155" s="4701"/>
      <c r="AF155" s="4701"/>
      <c r="AG155" s="4701"/>
      <c r="AH155" s="4701"/>
      <c r="AI155" s="4213"/>
      <c r="AJ155" s="4213"/>
      <c r="AK155" s="4213"/>
      <c r="AL155" s="4213"/>
      <c r="AM155" s="4213"/>
      <c r="AN155" s="4213"/>
      <c r="AO155" s="4213"/>
      <c r="AP155" s="4213"/>
      <c r="AQ155" s="4213"/>
      <c r="AR155" s="4006"/>
      <c r="AS155" s="3964"/>
      <c r="AT155" s="3964"/>
      <c r="AU155" s="3964"/>
      <c r="AV155" s="3964"/>
      <c r="AW155" s="3964"/>
      <c r="AX155" s="3964"/>
      <c r="AY155" s="3964"/>
      <c r="AZ155" s="3964"/>
      <c r="BA155" s="3964"/>
      <c r="BB155" s="3964"/>
      <c r="BC155" s="3964"/>
      <c r="BD155" s="3964"/>
      <c r="BE155" s="3965"/>
      <c r="BF155" s="4731"/>
      <c r="BG155" s="4731"/>
      <c r="BH155" s="4731"/>
      <c r="BI155" s="4731"/>
      <c r="BJ155" s="4731"/>
      <c r="BK155" s="4731"/>
      <c r="BL155" s="4731"/>
      <c r="BM155" s="4731"/>
      <c r="BN155" s="4731"/>
      <c r="BO155" s="4731"/>
      <c r="BP155" s="4731"/>
      <c r="BQ155" s="4731"/>
      <c r="BR155" s="4731"/>
      <c r="BS155" s="4731"/>
      <c r="BT155" s="4731"/>
      <c r="BU155" s="4731"/>
      <c r="BV155" s="4207"/>
      <c r="BW155" s="4208"/>
      <c r="BX155" s="4208"/>
      <c r="BY155" s="4208"/>
      <c r="BZ155" s="4208"/>
      <c r="CA155" s="4209"/>
      <c r="CB155" s="4758"/>
      <c r="CC155" s="4758"/>
      <c r="CD155" s="4758"/>
      <c r="CE155" s="4140"/>
      <c r="CF155" s="4140"/>
      <c r="CG155" s="4140"/>
      <c r="CH155" s="4721"/>
      <c r="CI155" s="4721"/>
      <c r="CJ155" s="4721"/>
      <c r="CK155" s="4127"/>
      <c r="CL155" s="4127"/>
      <c r="CM155" s="4721"/>
      <c r="CN155" s="4721"/>
      <c r="CO155" s="4721"/>
      <c r="CP155" s="4127"/>
      <c r="CQ155" s="4127"/>
      <c r="CR155" s="4725"/>
      <c r="CS155" s="4725"/>
      <c r="CT155" s="4725"/>
      <c r="CU155" s="4165"/>
      <c r="CV155" s="4165"/>
      <c r="CW155" s="4753"/>
      <c r="CX155" s="4181"/>
      <c r="CY155" s="4181"/>
      <c r="CZ155" s="4181"/>
      <c r="DA155" s="4181"/>
      <c r="DB155" s="4181"/>
      <c r="DC155" s="4181"/>
      <c r="DD155" s="4181"/>
      <c r="DE155" s="4181"/>
      <c r="DF155" s="4181"/>
      <c r="DG155" s="4181"/>
      <c r="DH155" s="4181"/>
      <c r="DI155" s="4181"/>
      <c r="DJ155" s="4181"/>
      <c r="DK155" s="4182"/>
    </row>
    <row r="156" spans="1:115" ht="6.75" customHeight="1">
      <c r="A156" s="146"/>
      <c r="B156" s="4010"/>
      <c r="C156" s="4011"/>
      <c r="D156" s="3968"/>
      <c r="E156" s="3968"/>
      <c r="F156" s="3968"/>
      <c r="G156" s="3968"/>
      <c r="H156" s="3968"/>
      <c r="I156" s="3968"/>
      <c r="J156" s="3968"/>
      <c r="K156" s="3968"/>
      <c r="L156" s="3968"/>
      <c r="M156" s="3968"/>
      <c r="N156" s="3968"/>
      <c r="O156" s="3968"/>
      <c r="P156" s="3968"/>
      <c r="Q156" s="3968"/>
      <c r="R156" s="3968"/>
      <c r="S156" s="3968"/>
      <c r="T156" s="3968"/>
      <c r="U156" s="3968"/>
      <c r="V156" s="3968"/>
      <c r="W156" s="3968"/>
      <c r="X156" s="3968"/>
      <c r="Y156" s="3968"/>
      <c r="Z156" s="3968"/>
      <c r="AA156" s="4670"/>
      <c r="AB156" s="4701"/>
      <c r="AC156" s="4701"/>
      <c r="AD156" s="4701"/>
      <c r="AE156" s="4701"/>
      <c r="AF156" s="4701"/>
      <c r="AG156" s="4701"/>
      <c r="AH156" s="4701"/>
      <c r="AI156" s="4213"/>
      <c r="AJ156" s="4213"/>
      <c r="AK156" s="4213"/>
      <c r="AL156" s="4213"/>
      <c r="AM156" s="4213"/>
      <c r="AN156" s="4213"/>
      <c r="AO156" s="4213"/>
      <c r="AP156" s="4213"/>
      <c r="AQ156" s="4213"/>
      <c r="AR156" s="4084"/>
      <c r="AS156" s="4085"/>
      <c r="AT156" s="4085"/>
      <c r="AU156" s="4085"/>
      <c r="AV156" s="4085"/>
      <c r="AW156" s="4085"/>
      <c r="AX156" s="4085"/>
      <c r="AY156" s="4085"/>
      <c r="AZ156" s="4085"/>
      <c r="BA156" s="4085"/>
      <c r="BB156" s="4085"/>
      <c r="BC156" s="4085"/>
      <c r="BD156" s="4085"/>
      <c r="BE156" s="4086"/>
      <c r="BF156" s="4731"/>
      <c r="BG156" s="4731"/>
      <c r="BH156" s="4731"/>
      <c r="BI156" s="4731"/>
      <c r="BJ156" s="4731"/>
      <c r="BK156" s="4731"/>
      <c r="BL156" s="4731"/>
      <c r="BM156" s="4731"/>
      <c r="BN156" s="4731"/>
      <c r="BO156" s="4731"/>
      <c r="BP156" s="4731"/>
      <c r="BQ156" s="4731"/>
      <c r="BR156" s="4731"/>
      <c r="BS156" s="4731"/>
      <c r="BT156" s="4731"/>
      <c r="BU156" s="4731"/>
      <c r="BV156" s="4717"/>
      <c r="BW156" s="4718"/>
      <c r="BX156" s="4718"/>
      <c r="BY156" s="4718"/>
      <c r="BZ156" s="4718"/>
      <c r="CA156" s="4719"/>
      <c r="CB156" s="4758"/>
      <c r="CC156" s="4758"/>
      <c r="CD156" s="4758"/>
      <c r="CE156" s="4140"/>
      <c r="CF156" s="4140"/>
      <c r="CG156" s="4140"/>
      <c r="CH156" s="4721"/>
      <c r="CI156" s="4721"/>
      <c r="CJ156" s="4721"/>
      <c r="CK156" s="4127"/>
      <c r="CL156" s="4127"/>
      <c r="CM156" s="4721"/>
      <c r="CN156" s="4721"/>
      <c r="CO156" s="4721"/>
      <c r="CP156" s="4127"/>
      <c r="CQ156" s="4127"/>
      <c r="CR156" s="4725"/>
      <c r="CS156" s="4725"/>
      <c r="CT156" s="4725"/>
      <c r="CU156" s="4165"/>
      <c r="CV156" s="4165"/>
      <c r="CW156" s="4753"/>
      <c r="CX156" s="4181"/>
      <c r="CY156" s="4181"/>
      <c r="CZ156" s="4181"/>
      <c r="DA156" s="4181"/>
      <c r="DB156" s="4181"/>
      <c r="DC156" s="4181"/>
      <c r="DD156" s="4181"/>
      <c r="DE156" s="4181"/>
      <c r="DF156" s="4181"/>
      <c r="DG156" s="4181"/>
      <c r="DH156" s="4181"/>
      <c r="DI156" s="4181"/>
      <c r="DJ156" s="4181"/>
      <c r="DK156" s="4182"/>
    </row>
    <row r="157" spans="1:115" ht="6.75" customHeight="1">
      <c r="A157" s="146"/>
      <c r="B157" s="3937" t="s">
        <v>1275</v>
      </c>
      <c r="C157" s="4012"/>
      <c r="D157" s="3968" t="s">
        <v>346</v>
      </c>
      <c r="E157" s="3968"/>
      <c r="F157" s="3968"/>
      <c r="G157" s="3968"/>
      <c r="H157" s="3968"/>
      <c r="I157" s="3968"/>
      <c r="J157" s="3968"/>
      <c r="K157" s="3968"/>
      <c r="L157" s="3968"/>
      <c r="M157" s="3968"/>
      <c r="N157" s="3968"/>
      <c r="O157" s="3968"/>
      <c r="P157" s="3968"/>
      <c r="Q157" s="3968"/>
      <c r="R157" s="3968"/>
      <c r="S157" s="3968"/>
      <c r="T157" s="3968"/>
      <c r="U157" s="3968"/>
      <c r="V157" s="3968"/>
      <c r="W157" s="3968"/>
      <c r="X157" s="3968"/>
      <c r="Y157" s="3968"/>
      <c r="Z157" s="3968"/>
      <c r="AA157" s="4670"/>
      <c r="AB157" s="4701"/>
      <c r="AC157" s="4701"/>
      <c r="AD157" s="4701"/>
      <c r="AE157" s="4701"/>
      <c r="AF157" s="4701"/>
      <c r="AG157" s="4701"/>
      <c r="AH157" s="4701"/>
      <c r="AI157" s="4213"/>
      <c r="AJ157" s="4213"/>
      <c r="AK157" s="4213"/>
      <c r="AL157" s="4213"/>
      <c r="AM157" s="4213"/>
      <c r="AN157" s="4213"/>
      <c r="AO157" s="4213"/>
      <c r="AP157" s="4213"/>
      <c r="AQ157" s="4213"/>
      <c r="AR157" s="3961"/>
      <c r="AS157" s="3962"/>
      <c r="AT157" s="3962"/>
      <c r="AU157" s="3962"/>
      <c r="AV157" s="3962"/>
      <c r="AW157" s="3962"/>
      <c r="AX157" s="3962"/>
      <c r="AY157" s="3962"/>
      <c r="AZ157" s="3962"/>
      <c r="BA157" s="3962"/>
      <c r="BB157" s="3962"/>
      <c r="BC157" s="3962"/>
      <c r="BD157" s="3962"/>
      <c r="BE157" s="3963"/>
      <c r="BF157" s="4731"/>
      <c r="BG157" s="4731"/>
      <c r="BH157" s="4731"/>
      <c r="BI157" s="4731"/>
      <c r="BJ157" s="4731"/>
      <c r="BK157" s="4731"/>
      <c r="BL157" s="4731"/>
      <c r="BM157" s="4731"/>
      <c r="BN157" s="4731"/>
      <c r="BO157" s="4731"/>
      <c r="BP157" s="4731"/>
      <c r="BQ157" s="4731"/>
      <c r="BR157" s="4731"/>
      <c r="BS157" s="4731"/>
      <c r="BT157" s="4731"/>
      <c r="BU157" s="4731"/>
      <c r="BV157" s="4732"/>
      <c r="BW157" s="4732"/>
      <c r="BX157" s="4732"/>
      <c r="BY157" s="4732"/>
      <c r="BZ157" s="4732"/>
      <c r="CA157" s="4732"/>
      <c r="CB157" s="4758"/>
      <c r="CC157" s="4758"/>
      <c r="CD157" s="4758"/>
      <c r="CE157" s="4140"/>
      <c r="CF157" s="4140"/>
      <c r="CG157" s="4140"/>
      <c r="CH157" s="4721"/>
      <c r="CI157" s="4721"/>
      <c r="CJ157" s="4721"/>
      <c r="CK157" s="4127"/>
      <c r="CL157" s="4127"/>
      <c r="CM157" s="4721"/>
      <c r="CN157" s="4721"/>
      <c r="CO157" s="4721"/>
      <c r="CP157" s="4127"/>
      <c r="CQ157" s="4127"/>
      <c r="CR157" s="4725"/>
      <c r="CS157" s="4725"/>
      <c r="CT157" s="4725"/>
      <c r="CU157" s="4165"/>
      <c r="CV157" s="4165"/>
      <c r="CW157" s="4753"/>
      <c r="CX157" s="4181"/>
      <c r="CY157" s="4181"/>
      <c r="CZ157" s="4181"/>
      <c r="DA157" s="4181"/>
      <c r="DB157" s="4181"/>
      <c r="DC157" s="4181"/>
      <c r="DD157" s="4181"/>
      <c r="DE157" s="4181"/>
      <c r="DF157" s="4181"/>
      <c r="DG157" s="4181"/>
      <c r="DH157" s="4181"/>
      <c r="DI157" s="4181"/>
      <c r="DJ157" s="4181"/>
      <c r="DK157" s="4182"/>
    </row>
    <row r="158" spans="1:115" ht="6.75" customHeight="1">
      <c r="A158" s="146"/>
      <c r="B158" s="3992"/>
      <c r="C158" s="4013"/>
      <c r="D158" s="3968"/>
      <c r="E158" s="3968"/>
      <c r="F158" s="3968"/>
      <c r="G158" s="3968"/>
      <c r="H158" s="3968"/>
      <c r="I158" s="3968"/>
      <c r="J158" s="3968"/>
      <c r="K158" s="3968"/>
      <c r="L158" s="3968"/>
      <c r="M158" s="3968"/>
      <c r="N158" s="3968"/>
      <c r="O158" s="3968"/>
      <c r="P158" s="3968"/>
      <c r="Q158" s="3968"/>
      <c r="R158" s="3968"/>
      <c r="S158" s="3968"/>
      <c r="T158" s="3968"/>
      <c r="U158" s="3968"/>
      <c r="V158" s="3968"/>
      <c r="W158" s="3968"/>
      <c r="X158" s="3968"/>
      <c r="Y158" s="3968"/>
      <c r="Z158" s="3968"/>
      <c r="AA158" s="4670"/>
      <c r="AB158" s="4701"/>
      <c r="AC158" s="4701"/>
      <c r="AD158" s="4701"/>
      <c r="AE158" s="4701"/>
      <c r="AF158" s="4701"/>
      <c r="AG158" s="4701"/>
      <c r="AH158" s="4701"/>
      <c r="AI158" s="4213"/>
      <c r="AJ158" s="4213"/>
      <c r="AK158" s="4213"/>
      <c r="AL158" s="4213"/>
      <c r="AM158" s="4213"/>
      <c r="AN158" s="4213"/>
      <c r="AO158" s="4213"/>
      <c r="AP158" s="4213"/>
      <c r="AQ158" s="4213"/>
      <c r="AR158" s="3961"/>
      <c r="AS158" s="3962"/>
      <c r="AT158" s="3962"/>
      <c r="AU158" s="3962"/>
      <c r="AV158" s="3962"/>
      <c r="AW158" s="3962"/>
      <c r="AX158" s="3962"/>
      <c r="AY158" s="3962"/>
      <c r="AZ158" s="3962"/>
      <c r="BA158" s="3962"/>
      <c r="BB158" s="3962"/>
      <c r="BC158" s="3962"/>
      <c r="BD158" s="3962"/>
      <c r="BE158" s="3963"/>
      <c r="BF158" s="4731"/>
      <c r="BG158" s="4731"/>
      <c r="BH158" s="4731"/>
      <c r="BI158" s="4731"/>
      <c r="BJ158" s="4731"/>
      <c r="BK158" s="4731"/>
      <c r="BL158" s="4731"/>
      <c r="BM158" s="4731"/>
      <c r="BN158" s="4731"/>
      <c r="BO158" s="4731"/>
      <c r="BP158" s="4731"/>
      <c r="BQ158" s="4731"/>
      <c r="BR158" s="4731"/>
      <c r="BS158" s="4731"/>
      <c r="BT158" s="4731"/>
      <c r="BU158" s="4731"/>
      <c r="BV158" s="4732"/>
      <c r="BW158" s="4732"/>
      <c r="BX158" s="4732"/>
      <c r="BY158" s="4732"/>
      <c r="BZ158" s="4732"/>
      <c r="CA158" s="4732"/>
      <c r="CB158" s="4758"/>
      <c r="CC158" s="4758"/>
      <c r="CD158" s="4758"/>
      <c r="CE158" s="4759"/>
      <c r="CF158" s="4759"/>
      <c r="CG158" s="4759"/>
      <c r="CH158" s="4722"/>
      <c r="CI158" s="4722"/>
      <c r="CJ158" s="4722"/>
      <c r="CK158" s="4723"/>
      <c r="CL158" s="4723"/>
      <c r="CM158" s="4722"/>
      <c r="CN158" s="4722"/>
      <c r="CO158" s="4722"/>
      <c r="CP158" s="4723"/>
      <c r="CQ158" s="4723"/>
      <c r="CR158" s="4726"/>
      <c r="CS158" s="4726"/>
      <c r="CT158" s="4726"/>
      <c r="CU158" s="4751"/>
      <c r="CV158" s="4751"/>
      <c r="CW158" s="4754"/>
      <c r="CX158" s="4755"/>
      <c r="CY158" s="4755"/>
      <c r="CZ158" s="4755"/>
      <c r="DA158" s="4755"/>
      <c r="DB158" s="4755"/>
      <c r="DC158" s="4755"/>
      <c r="DD158" s="4755"/>
      <c r="DE158" s="4755"/>
      <c r="DF158" s="4755"/>
      <c r="DG158" s="4755"/>
      <c r="DH158" s="4755"/>
      <c r="DI158" s="4755"/>
      <c r="DJ158" s="4755"/>
      <c r="DK158" s="4756"/>
    </row>
    <row r="159" spans="1:115" ht="6.75" customHeight="1">
      <c r="A159" s="146"/>
      <c r="B159" s="3967" t="s">
        <v>1276</v>
      </c>
      <c r="C159" s="3967"/>
      <c r="D159" s="3968" t="s">
        <v>820</v>
      </c>
      <c r="E159" s="3968"/>
      <c r="F159" s="3968"/>
      <c r="G159" s="3968"/>
      <c r="H159" s="3968"/>
      <c r="I159" s="3968"/>
      <c r="J159" s="3968"/>
      <c r="K159" s="3968"/>
      <c r="L159" s="3968"/>
      <c r="M159" s="3968"/>
      <c r="N159" s="3968"/>
      <c r="O159" s="3968"/>
      <c r="P159" s="3968"/>
      <c r="Q159" s="3968"/>
      <c r="R159" s="3968"/>
      <c r="S159" s="3968"/>
      <c r="T159" s="3968"/>
      <c r="U159" s="3968"/>
      <c r="V159" s="3968"/>
      <c r="W159" s="3968"/>
      <c r="X159" s="3968"/>
      <c r="Y159" s="3968"/>
      <c r="Z159" s="3968"/>
      <c r="AA159" s="3968"/>
      <c r="AB159" s="4685"/>
      <c r="AC159" s="4686"/>
      <c r="AD159" s="4686"/>
      <c r="AE159" s="4686"/>
      <c r="AF159" s="4686"/>
      <c r="AG159" s="4686"/>
      <c r="AH159" s="4687"/>
      <c r="AI159" s="4673"/>
      <c r="AJ159" s="4674"/>
      <c r="AK159" s="4674"/>
      <c r="AL159" s="4674"/>
      <c r="AM159" s="4674"/>
      <c r="AN159" s="4674"/>
      <c r="AO159" s="4674"/>
      <c r="AP159" s="4674"/>
      <c r="AQ159" s="4675"/>
      <c r="AR159" s="4691"/>
      <c r="AS159" s="4692"/>
      <c r="AT159" s="4692"/>
      <c r="AU159" s="4692"/>
      <c r="AV159" s="4692"/>
      <c r="AW159" s="4692"/>
      <c r="AX159" s="4692"/>
      <c r="AY159" s="4692"/>
      <c r="AZ159" s="4692"/>
      <c r="BA159" s="4692"/>
      <c r="BB159" s="4692"/>
      <c r="BC159" s="4692"/>
      <c r="BD159" s="4692"/>
      <c r="BE159" s="4692"/>
      <c r="BF159" s="4695"/>
      <c r="BG159" s="4696"/>
      <c r="BH159" s="4696"/>
      <c r="BI159" s="4696"/>
      <c r="BJ159" s="4696"/>
      <c r="BK159" s="4696"/>
      <c r="BL159" s="4696"/>
      <c r="BM159" s="4696"/>
      <c r="BN159" s="4696"/>
      <c r="BO159" s="4696"/>
      <c r="BP159" s="4696"/>
      <c r="BQ159" s="4696"/>
      <c r="BR159" s="4696"/>
      <c r="BS159" s="4696"/>
      <c r="BT159" s="4696"/>
      <c r="BU159" s="4696"/>
      <c r="BV159" s="4696"/>
      <c r="BW159" s="4696"/>
      <c r="BX159" s="4696"/>
      <c r="BY159" s="4696"/>
      <c r="BZ159" s="4696"/>
      <c r="CA159" s="4696"/>
      <c r="CB159" s="4696"/>
      <c r="CC159" s="4696"/>
      <c r="CD159" s="4696"/>
      <c r="CE159" s="4696"/>
      <c r="CF159" s="4696"/>
      <c r="CG159" s="4696"/>
      <c r="CH159" s="4696"/>
      <c r="CI159" s="4696"/>
      <c r="CJ159" s="4696"/>
      <c r="CK159" s="4696"/>
      <c r="CL159" s="4696"/>
      <c r="CM159" s="4696"/>
      <c r="CN159" s="4696"/>
      <c r="CO159" s="4696"/>
      <c r="CP159" s="4696"/>
      <c r="CQ159" s="4696"/>
      <c r="CR159" s="4696"/>
      <c r="CS159" s="4696"/>
      <c r="CT159" s="4696"/>
      <c r="CU159" s="4696"/>
      <c r="CV159" s="4696"/>
      <c r="CW159" s="4696"/>
      <c r="CX159" s="4696"/>
      <c r="CY159" s="4696"/>
      <c r="CZ159" s="4696"/>
      <c r="DA159" s="4696"/>
      <c r="DB159" s="4696"/>
      <c r="DC159" s="4696"/>
      <c r="DD159" s="4696"/>
      <c r="DE159" s="4696"/>
      <c r="DF159" s="4696"/>
      <c r="DG159" s="4696"/>
      <c r="DH159" s="4696"/>
      <c r="DI159" s="4696"/>
      <c r="DJ159" s="4696"/>
      <c r="DK159" s="4697"/>
    </row>
    <row r="160" spans="1:115" ht="6.75" customHeight="1">
      <c r="A160" s="146"/>
      <c r="B160" s="3967"/>
      <c r="C160" s="3967"/>
      <c r="D160" s="3968"/>
      <c r="E160" s="3968"/>
      <c r="F160" s="3968"/>
      <c r="G160" s="3968"/>
      <c r="H160" s="3968"/>
      <c r="I160" s="3968"/>
      <c r="J160" s="3968"/>
      <c r="K160" s="3968"/>
      <c r="L160" s="3968"/>
      <c r="M160" s="3968"/>
      <c r="N160" s="3968"/>
      <c r="O160" s="3968"/>
      <c r="P160" s="3968"/>
      <c r="Q160" s="3968"/>
      <c r="R160" s="3968"/>
      <c r="S160" s="3968"/>
      <c r="T160" s="3968"/>
      <c r="U160" s="3968"/>
      <c r="V160" s="3968"/>
      <c r="W160" s="3968"/>
      <c r="X160" s="3968"/>
      <c r="Y160" s="3968"/>
      <c r="Z160" s="3968"/>
      <c r="AA160" s="3968"/>
      <c r="AB160" s="4685"/>
      <c r="AC160" s="4686"/>
      <c r="AD160" s="4686"/>
      <c r="AE160" s="4686"/>
      <c r="AF160" s="4686"/>
      <c r="AG160" s="4686"/>
      <c r="AH160" s="4687"/>
      <c r="AI160" s="4688"/>
      <c r="AJ160" s="4689"/>
      <c r="AK160" s="4689"/>
      <c r="AL160" s="4689"/>
      <c r="AM160" s="4689"/>
      <c r="AN160" s="4689"/>
      <c r="AO160" s="4689"/>
      <c r="AP160" s="4689"/>
      <c r="AQ160" s="4690"/>
      <c r="AR160" s="4693"/>
      <c r="AS160" s="4694"/>
      <c r="AT160" s="4694"/>
      <c r="AU160" s="4694"/>
      <c r="AV160" s="4694"/>
      <c r="AW160" s="4694"/>
      <c r="AX160" s="4694"/>
      <c r="AY160" s="4694"/>
      <c r="AZ160" s="4694"/>
      <c r="BA160" s="4694"/>
      <c r="BB160" s="4694"/>
      <c r="BC160" s="4694"/>
      <c r="BD160" s="4694"/>
      <c r="BE160" s="4694"/>
      <c r="BF160" s="4698"/>
      <c r="BG160" s="4699"/>
      <c r="BH160" s="4699"/>
      <c r="BI160" s="4699"/>
      <c r="BJ160" s="4699"/>
      <c r="BK160" s="4699"/>
      <c r="BL160" s="4699"/>
      <c r="BM160" s="4699"/>
      <c r="BN160" s="4699"/>
      <c r="BO160" s="4699"/>
      <c r="BP160" s="4699"/>
      <c r="BQ160" s="4699"/>
      <c r="BR160" s="4699"/>
      <c r="BS160" s="4699"/>
      <c r="BT160" s="4699"/>
      <c r="BU160" s="4699"/>
      <c r="BV160" s="4699"/>
      <c r="BW160" s="4699"/>
      <c r="BX160" s="4699"/>
      <c r="BY160" s="4699"/>
      <c r="BZ160" s="4699"/>
      <c r="CA160" s="4699"/>
      <c r="CB160" s="4699"/>
      <c r="CC160" s="4699"/>
      <c r="CD160" s="4699"/>
      <c r="CE160" s="4699"/>
      <c r="CF160" s="4699"/>
      <c r="CG160" s="4699"/>
      <c r="CH160" s="4699"/>
      <c r="CI160" s="4699"/>
      <c r="CJ160" s="4699"/>
      <c r="CK160" s="4699"/>
      <c r="CL160" s="4699"/>
      <c r="CM160" s="4699"/>
      <c r="CN160" s="4699"/>
      <c r="CO160" s="4699"/>
      <c r="CP160" s="4699"/>
      <c r="CQ160" s="4699"/>
      <c r="CR160" s="4699"/>
      <c r="CS160" s="4699"/>
      <c r="CT160" s="4699"/>
      <c r="CU160" s="4699"/>
      <c r="CV160" s="4699"/>
      <c r="CW160" s="4699"/>
      <c r="CX160" s="4699"/>
      <c r="CY160" s="4699"/>
      <c r="CZ160" s="4699"/>
      <c r="DA160" s="4699"/>
      <c r="DB160" s="4699"/>
      <c r="DC160" s="4699"/>
      <c r="DD160" s="4699"/>
      <c r="DE160" s="4699"/>
      <c r="DF160" s="4699"/>
      <c r="DG160" s="4699"/>
      <c r="DH160" s="4699"/>
      <c r="DI160" s="4699"/>
      <c r="DJ160" s="4699"/>
      <c r="DK160" s="4700"/>
    </row>
    <row r="161" spans="1:119" ht="6.75" customHeight="1">
      <c r="A161" s="146"/>
      <c r="B161" s="3967" t="s">
        <v>1277</v>
      </c>
      <c r="C161" s="3967"/>
      <c r="D161" s="3968" t="s">
        <v>1223</v>
      </c>
      <c r="E161" s="3968"/>
      <c r="F161" s="3968"/>
      <c r="G161" s="3968"/>
      <c r="H161" s="3968"/>
      <c r="I161" s="3968"/>
      <c r="J161" s="3968"/>
      <c r="K161" s="3968"/>
      <c r="L161" s="3968"/>
      <c r="M161" s="3968"/>
      <c r="N161" s="3968"/>
      <c r="O161" s="3968"/>
      <c r="P161" s="3968"/>
      <c r="Q161" s="3968"/>
      <c r="R161" s="3968"/>
      <c r="S161" s="3968"/>
      <c r="T161" s="3968"/>
      <c r="U161" s="3968"/>
      <c r="V161" s="3968"/>
      <c r="W161" s="3968"/>
      <c r="X161" s="3968"/>
      <c r="Y161" s="3968"/>
      <c r="Z161" s="3968"/>
      <c r="AA161" s="4670"/>
      <c r="AB161" s="4671"/>
      <c r="AC161" s="4671"/>
      <c r="AD161" s="4671"/>
      <c r="AE161" s="4671"/>
      <c r="AF161" s="4671"/>
      <c r="AG161" s="4671"/>
      <c r="AH161" s="4671"/>
      <c r="AI161" s="4673"/>
      <c r="AJ161" s="4674"/>
      <c r="AK161" s="4674"/>
      <c r="AL161" s="4674"/>
      <c r="AM161" s="4674"/>
      <c r="AN161" s="4674"/>
      <c r="AO161" s="4674"/>
      <c r="AP161" s="4674"/>
      <c r="AQ161" s="4674"/>
      <c r="AR161" s="4674"/>
      <c r="AS161" s="4674"/>
      <c r="AT161" s="4674"/>
      <c r="AU161" s="4674"/>
      <c r="AV161" s="4674"/>
      <c r="AW161" s="4674"/>
      <c r="AX161" s="4674"/>
      <c r="AY161" s="4674"/>
      <c r="AZ161" s="4674"/>
      <c r="BA161" s="4674"/>
      <c r="BB161" s="4674"/>
      <c r="BC161" s="4674"/>
      <c r="BD161" s="4674"/>
      <c r="BE161" s="4675"/>
      <c r="BF161" s="4672"/>
      <c r="BG161" s="4672"/>
      <c r="BH161" s="4672"/>
      <c r="BI161" s="4672"/>
      <c r="BJ161" s="4672"/>
      <c r="BK161" s="4672"/>
      <c r="BL161" s="4672"/>
      <c r="BM161" s="4672"/>
      <c r="BN161" s="4672"/>
      <c r="BO161" s="4672"/>
      <c r="BP161" s="4672"/>
      <c r="BQ161" s="4672"/>
      <c r="BR161" s="4672"/>
      <c r="BS161" s="4672"/>
      <c r="BT161" s="4672"/>
      <c r="BU161" s="4672"/>
      <c r="BV161" s="4679" t="str">
        <f>IF(AB161="","",COUNTA(D88:Q97))</f>
        <v/>
      </c>
      <c r="BW161" s="4680"/>
      <c r="BX161" s="4680"/>
      <c r="BY161" s="4680"/>
      <c r="BZ161" s="4680"/>
      <c r="CA161" s="4681"/>
      <c r="CB161" s="4695"/>
      <c r="CC161" s="4696"/>
      <c r="CD161" s="4696"/>
      <c r="CE161" s="4696"/>
      <c r="CF161" s="4696"/>
      <c r="CG161" s="4696"/>
      <c r="CH161" s="4696"/>
      <c r="CI161" s="4696"/>
      <c r="CJ161" s="4696"/>
      <c r="CK161" s="4696"/>
      <c r="CL161" s="4696"/>
      <c r="CM161" s="4696"/>
      <c r="CN161" s="4696"/>
      <c r="CO161" s="4696"/>
      <c r="CP161" s="4696"/>
      <c r="CQ161" s="4696"/>
      <c r="CR161" s="4696"/>
      <c r="CS161" s="4696"/>
      <c r="CT161" s="4696"/>
      <c r="CU161" s="4696"/>
      <c r="CV161" s="4713"/>
      <c r="CW161" s="4695"/>
      <c r="CX161" s="4696"/>
      <c r="CY161" s="4696"/>
      <c r="CZ161" s="4696"/>
      <c r="DA161" s="4696"/>
      <c r="DB161" s="4696"/>
      <c r="DC161" s="4696"/>
      <c r="DD161" s="4696"/>
      <c r="DE161" s="4696"/>
      <c r="DF161" s="4696"/>
      <c r="DG161" s="4696"/>
      <c r="DH161" s="4696"/>
      <c r="DI161" s="4696"/>
      <c r="DJ161" s="4696"/>
      <c r="DK161" s="4713"/>
    </row>
    <row r="162" spans="1:119" ht="6.75" customHeight="1">
      <c r="A162" s="146"/>
      <c r="B162" s="3967"/>
      <c r="C162" s="3967"/>
      <c r="D162" s="3968"/>
      <c r="E162" s="3968"/>
      <c r="F162" s="3968"/>
      <c r="G162" s="3968"/>
      <c r="H162" s="3968"/>
      <c r="I162" s="3968"/>
      <c r="J162" s="3968"/>
      <c r="K162" s="3968"/>
      <c r="L162" s="3968"/>
      <c r="M162" s="3968"/>
      <c r="N162" s="3968"/>
      <c r="O162" s="3968"/>
      <c r="P162" s="3968"/>
      <c r="Q162" s="3968"/>
      <c r="R162" s="3968"/>
      <c r="S162" s="3968"/>
      <c r="T162" s="3968"/>
      <c r="U162" s="3968"/>
      <c r="V162" s="3968"/>
      <c r="W162" s="3968"/>
      <c r="X162" s="3968"/>
      <c r="Y162" s="3968"/>
      <c r="Z162" s="3968"/>
      <c r="AA162" s="4670"/>
      <c r="AB162" s="4671"/>
      <c r="AC162" s="4671"/>
      <c r="AD162" s="4671"/>
      <c r="AE162" s="4671"/>
      <c r="AF162" s="4671"/>
      <c r="AG162" s="4671"/>
      <c r="AH162" s="4671"/>
      <c r="AI162" s="4676"/>
      <c r="AJ162" s="4677"/>
      <c r="AK162" s="4677"/>
      <c r="AL162" s="4677"/>
      <c r="AM162" s="4677"/>
      <c r="AN162" s="4677"/>
      <c r="AO162" s="4677"/>
      <c r="AP162" s="4677"/>
      <c r="AQ162" s="4677"/>
      <c r="AR162" s="4677"/>
      <c r="AS162" s="4677"/>
      <c r="AT162" s="4677"/>
      <c r="AU162" s="4677"/>
      <c r="AV162" s="4677"/>
      <c r="AW162" s="4677"/>
      <c r="AX162" s="4677"/>
      <c r="AY162" s="4677"/>
      <c r="AZ162" s="4677"/>
      <c r="BA162" s="4677"/>
      <c r="BB162" s="4677"/>
      <c r="BC162" s="4677"/>
      <c r="BD162" s="4677"/>
      <c r="BE162" s="4678"/>
      <c r="BF162" s="4672"/>
      <c r="BG162" s="4672"/>
      <c r="BH162" s="4672"/>
      <c r="BI162" s="4672"/>
      <c r="BJ162" s="4672"/>
      <c r="BK162" s="4672"/>
      <c r="BL162" s="4672"/>
      <c r="BM162" s="4672"/>
      <c r="BN162" s="4672"/>
      <c r="BO162" s="4672"/>
      <c r="BP162" s="4672"/>
      <c r="BQ162" s="4672"/>
      <c r="BR162" s="4672"/>
      <c r="BS162" s="4672"/>
      <c r="BT162" s="4672"/>
      <c r="BU162" s="4672"/>
      <c r="BV162" s="4682"/>
      <c r="BW162" s="4683"/>
      <c r="BX162" s="4683"/>
      <c r="BY162" s="4683"/>
      <c r="BZ162" s="4683"/>
      <c r="CA162" s="4684"/>
      <c r="CB162" s="4714"/>
      <c r="CC162" s="4715"/>
      <c r="CD162" s="4715"/>
      <c r="CE162" s="4715"/>
      <c r="CF162" s="4715"/>
      <c r="CG162" s="4715"/>
      <c r="CH162" s="4715"/>
      <c r="CI162" s="4715"/>
      <c r="CJ162" s="4715"/>
      <c r="CK162" s="4715"/>
      <c r="CL162" s="4715"/>
      <c r="CM162" s="4715"/>
      <c r="CN162" s="4715"/>
      <c r="CO162" s="4715"/>
      <c r="CP162" s="4715"/>
      <c r="CQ162" s="4715"/>
      <c r="CR162" s="4715"/>
      <c r="CS162" s="4715"/>
      <c r="CT162" s="4715"/>
      <c r="CU162" s="4715"/>
      <c r="CV162" s="4716"/>
      <c r="CW162" s="4714"/>
      <c r="CX162" s="4715"/>
      <c r="CY162" s="4715"/>
      <c r="CZ162" s="4715"/>
      <c r="DA162" s="4715"/>
      <c r="DB162" s="4715"/>
      <c r="DC162" s="4715"/>
      <c r="DD162" s="4715"/>
      <c r="DE162" s="4715"/>
      <c r="DF162" s="4715"/>
      <c r="DG162" s="4715"/>
      <c r="DH162" s="4715"/>
      <c r="DI162" s="4715"/>
      <c r="DJ162" s="4715"/>
      <c r="DK162" s="4716"/>
    </row>
    <row r="163" spans="1:119" ht="4.5" customHeight="1" thickBot="1">
      <c r="A163" s="146"/>
      <c r="B163" s="169"/>
      <c r="C163" s="169"/>
      <c r="D163" s="169"/>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c r="DH163" s="175"/>
      <c r="DI163" s="175"/>
      <c r="DJ163" s="175"/>
      <c r="DK163" s="175"/>
      <c r="DL163" s="169"/>
      <c r="DM163" s="147"/>
    </row>
    <row r="164" spans="1:119" ht="12" customHeight="1" thickTop="1">
      <c r="A164" s="146"/>
      <c r="B164" s="3947" t="s">
        <v>196</v>
      </c>
      <c r="C164" s="3948"/>
      <c r="D164" s="3948"/>
      <c r="E164" s="3948"/>
      <c r="F164" s="3948"/>
      <c r="G164" s="3948"/>
      <c r="H164" s="3948"/>
      <c r="I164" s="3948"/>
      <c r="J164" s="3948"/>
      <c r="K164" s="3948"/>
      <c r="L164" s="3948"/>
      <c r="M164" s="3948"/>
      <c r="N164" s="3948"/>
      <c r="O164" s="3948"/>
      <c r="P164" s="3948"/>
      <c r="Q164" s="3948"/>
      <c r="R164" s="3948"/>
      <c r="S164" s="3948"/>
      <c r="T164" s="3948"/>
      <c r="U164" s="3948"/>
      <c r="V164" s="3948"/>
      <c r="W164" s="3948"/>
      <c r="X164" s="3948"/>
      <c r="Y164" s="3948"/>
      <c r="Z164" s="3948"/>
      <c r="AA164" s="3948"/>
      <c r="AB164" s="4740" t="s">
        <v>1203</v>
      </c>
      <c r="AC164" s="4741"/>
      <c r="AD164" s="4741"/>
      <c r="AE164" s="4741"/>
      <c r="AF164" s="4741"/>
      <c r="AG164" s="4741"/>
      <c r="AH164" s="4741"/>
      <c r="AI164" s="4741"/>
      <c r="AJ164" s="4741"/>
      <c r="AK164" s="4741"/>
      <c r="AL164" s="4741"/>
      <c r="AM164" s="4741"/>
      <c r="AN164" s="4741"/>
      <c r="AO164" s="4741"/>
      <c r="AP164" s="4741"/>
      <c r="AQ164" s="4741"/>
      <c r="AR164" s="4741"/>
      <c r="AS164" s="4741"/>
      <c r="AT164" s="4741"/>
      <c r="AU164" s="4741"/>
      <c r="AV164" s="4741"/>
      <c r="AW164" s="4741"/>
      <c r="AX164" s="4741"/>
      <c r="AY164" s="4741"/>
      <c r="AZ164" s="4742"/>
      <c r="BA164" s="3999"/>
      <c r="BB164" s="3956"/>
      <c r="BC164" s="3956"/>
      <c r="BD164" s="3956"/>
      <c r="BE164" s="3956"/>
      <c r="BF164" s="3956"/>
      <c r="BG164" s="3956"/>
      <c r="BH164" s="3956"/>
      <c r="BI164" s="3956"/>
      <c r="BJ164" s="3956"/>
      <c r="BK164" s="3956"/>
      <c r="BL164" s="3956"/>
      <c r="BM164" s="4000"/>
      <c r="BN164" s="4736" t="s">
        <v>1204</v>
      </c>
      <c r="BO164" s="4736"/>
      <c r="BP164" s="4736"/>
      <c r="BQ164" s="4736"/>
      <c r="BR164" s="4736"/>
      <c r="BS164" s="4737"/>
      <c r="BT164" s="4746"/>
      <c r="BU164" s="4747"/>
      <c r="BV164" s="4747"/>
      <c r="BW164" s="4747"/>
      <c r="BX164" s="4747"/>
      <c r="BY164" s="4747"/>
      <c r="BZ164" s="4747"/>
      <c r="CA164" s="4747"/>
      <c r="CB164" s="4747"/>
      <c r="CC164" s="4747"/>
      <c r="CD164" s="4747"/>
      <c r="CE164" s="4747"/>
      <c r="CF164" s="4747"/>
      <c r="CG164" s="4747"/>
      <c r="CH164" s="4747"/>
      <c r="CI164" s="4747"/>
      <c r="CJ164" s="4747"/>
      <c r="CK164" s="4747"/>
      <c r="CL164" s="4747"/>
      <c r="CM164" s="4747"/>
      <c r="CN164" s="4748"/>
      <c r="CO164" s="3934" t="s">
        <v>641</v>
      </c>
      <c r="CP164" s="3934"/>
      <c r="CQ164" s="3934"/>
      <c r="CR164" s="3934"/>
      <c r="CS164" s="3934"/>
      <c r="CT164" s="3934"/>
      <c r="CU164" s="3934"/>
      <c r="CV164" s="3934"/>
      <c r="CW164" s="3934"/>
      <c r="CX164" s="3934"/>
      <c r="CY164" s="3934"/>
      <c r="CZ164" s="3934"/>
      <c r="DA164" s="3934"/>
      <c r="DB164" s="3934"/>
      <c r="DC164" s="3934"/>
      <c r="DD164" s="3934"/>
      <c r="DE164" s="3934"/>
      <c r="DF164" s="3934"/>
      <c r="DG164" s="3934"/>
      <c r="DH164" s="3934"/>
      <c r="DI164" s="3934"/>
      <c r="DJ164" s="3934"/>
      <c r="DK164" s="3935"/>
      <c r="DL164" s="529"/>
      <c r="DM164" s="535"/>
      <c r="DN164" s="169"/>
      <c r="DO164" s="147"/>
    </row>
    <row r="165" spans="1:119" ht="12" customHeight="1" thickBot="1">
      <c r="A165" s="146"/>
      <c r="B165" s="3943" t="s">
        <v>576</v>
      </c>
      <c r="C165" s="3944"/>
      <c r="D165" s="3944"/>
      <c r="E165" s="3944"/>
      <c r="F165" s="3944"/>
      <c r="G165" s="3944"/>
      <c r="H165" s="3944"/>
      <c r="I165" s="3944"/>
      <c r="J165" s="3945" t="s">
        <v>577</v>
      </c>
      <c r="K165" s="3945"/>
      <c r="L165" s="3945"/>
      <c r="M165" s="3945"/>
      <c r="N165" s="3945"/>
      <c r="O165" s="3945"/>
      <c r="P165" s="3945"/>
      <c r="Q165" s="3945"/>
      <c r="R165" s="3945"/>
      <c r="S165" s="3945"/>
      <c r="T165" s="3945"/>
      <c r="U165" s="3945"/>
      <c r="V165" s="3945"/>
      <c r="W165" s="3945"/>
      <c r="X165" s="3945"/>
      <c r="Y165" s="3945"/>
      <c r="Z165" s="3945"/>
      <c r="AA165" s="3945"/>
      <c r="AB165" s="4743"/>
      <c r="AC165" s="4744"/>
      <c r="AD165" s="4744"/>
      <c r="AE165" s="4744"/>
      <c r="AF165" s="4744"/>
      <c r="AG165" s="4744"/>
      <c r="AH165" s="4744"/>
      <c r="AI165" s="4744"/>
      <c r="AJ165" s="4744"/>
      <c r="AK165" s="4744"/>
      <c r="AL165" s="4744"/>
      <c r="AM165" s="4744"/>
      <c r="AN165" s="4744"/>
      <c r="AO165" s="4744"/>
      <c r="AP165" s="4744"/>
      <c r="AQ165" s="4744"/>
      <c r="AR165" s="4744"/>
      <c r="AS165" s="4744"/>
      <c r="AT165" s="4744"/>
      <c r="AU165" s="4744"/>
      <c r="AV165" s="4744"/>
      <c r="AW165" s="4744"/>
      <c r="AX165" s="4744"/>
      <c r="AY165" s="4744"/>
      <c r="AZ165" s="4745"/>
      <c r="BA165" s="4001"/>
      <c r="BB165" s="3959"/>
      <c r="BC165" s="3959"/>
      <c r="BD165" s="3959"/>
      <c r="BE165" s="3959"/>
      <c r="BF165" s="3959"/>
      <c r="BG165" s="3959"/>
      <c r="BH165" s="3959"/>
      <c r="BI165" s="3959"/>
      <c r="BJ165" s="3959"/>
      <c r="BK165" s="3959"/>
      <c r="BL165" s="3959"/>
      <c r="BM165" s="4002"/>
      <c r="BN165" s="4738"/>
      <c r="BO165" s="4738"/>
      <c r="BP165" s="4738"/>
      <c r="BQ165" s="4738"/>
      <c r="BR165" s="4738"/>
      <c r="BS165" s="4739"/>
      <c r="BT165" s="4749"/>
      <c r="BU165" s="4749"/>
      <c r="BV165" s="4749"/>
      <c r="BW165" s="4749"/>
      <c r="BX165" s="4749"/>
      <c r="BY165" s="4749"/>
      <c r="BZ165" s="4749"/>
      <c r="CA165" s="4749"/>
      <c r="CB165" s="4749"/>
      <c r="CC165" s="4749"/>
      <c r="CD165" s="4749"/>
      <c r="CE165" s="4749"/>
      <c r="CF165" s="4749"/>
      <c r="CG165" s="4749"/>
      <c r="CH165" s="4749"/>
      <c r="CI165" s="4749"/>
      <c r="CJ165" s="4749"/>
      <c r="CK165" s="4749"/>
      <c r="CL165" s="4749"/>
      <c r="CM165" s="4749"/>
      <c r="CN165" s="4750"/>
      <c r="CO165" s="3949" t="s">
        <v>1208</v>
      </c>
      <c r="CP165" s="3949"/>
      <c r="CQ165" s="3949"/>
      <c r="CR165" s="3949"/>
      <c r="CS165" s="3949"/>
      <c r="CT165" s="3949"/>
      <c r="CU165" s="3949"/>
      <c r="CV165" s="3949"/>
      <c r="CW165" s="3949"/>
      <c r="CX165" s="3949"/>
      <c r="CY165" s="3949"/>
      <c r="CZ165" s="3949"/>
      <c r="DA165" s="3949"/>
      <c r="DB165" s="3949"/>
      <c r="DC165" s="3949"/>
      <c r="DD165" s="3949"/>
      <c r="DE165" s="3949"/>
      <c r="DF165" s="3949"/>
      <c r="DG165" s="3949"/>
      <c r="DH165" s="3949"/>
      <c r="DI165" s="3949"/>
      <c r="DJ165" s="3949"/>
      <c r="DK165" s="3950"/>
      <c r="DL165" s="169"/>
      <c r="DM165" s="147"/>
    </row>
    <row r="166" spans="1:119" ht="7.5" customHeight="1" thickTop="1" thickBot="1">
      <c r="A166" s="146"/>
      <c r="B166" s="169"/>
      <c r="C166" s="169"/>
      <c r="D166" s="169"/>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CA166" s="175"/>
      <c r="CB166" s="175"/>
      <c r="CC166" s="175"/>
      <c r="CD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c r="DH166" s="175"/>
      <c r="DI166" s="175"/>
      <c r="DJ166" s="175"/>
      <c r="DK166" s="175"/>
      <c r="DL166" s="169"/>
      <c r="DM166" s="147"/>
    </row>
    <row r="167" spans="1:119" ht="7.5" customHeight="1">
      <c r="A167" s="146"/>
      <c r="B167" s="3971" t="s">
        <v>1113</v>
      </c>
      <c r="C167" s="3971"/>
      <c r="D167" s="3971"/>
      <c r="E167" s="3971"/>
      <c r="F167" s="3971"/>
      <c r="G167" s="3971"/>
      <c r="H167" s="3971"/>
      <c r="I167" s="3971"/>
      <c r="J167" s="3971"/>
      <c r="K167" s="3971"/>
      <c r="L167" s="3971"/>
      <c r="M167" s="3971"/>
      <c r="N167" s="3971"/>
      <c r="O167" s="3971"/>
      <c r="P167" s="3971"/>
      <c r="Q167" s="3971"/>
      <c r="R167" s="3971"/>
      <c r="S167" s="3971"/>
      <c r="T167" s="3971"/>
      <c r="U167" s="3971"/>
      <c r="V167" s="3971"/>
      <c r="W167" s="3971"/>
      <c r="X167" s="3971"/>
      <c r="Y167" s="3971"/>
      <c r="Z167" s="3971"/>
      <c r="AA167" s="3971"/>
      <c r="AB167" s="3971"/>
      <c r="AC167" s="3971"/>
      <c r="AD167" s="3971"/>
      <c r="AE167" s="3971"/>
      <c r="AF167" s="3971"/>
      <c r="AG167" s="3971"/>
      <c r="AH167" s="3971"/>
      <c r="AI167" s="3971"/>
      <c r="AJ167" s="3971"/>
      <c r="AK167" s="3971"/>
      <c r="AL167" s="3971"/>
      <c r="AM167" s="3971"/>
      <c r="AN167" s="3971"/>
      <c r="AO167" s="3971"/>
      <c r="AP167" s="3971"/>
      <c r="AQ167" s="3971"/>
      <c r="AR167" s="3971"/>
      <c r="AS167" s="3971"/>
      <c r="AT167" s="3971"/>
      <c r="AU167" s="3971"/>
      <c r="AV167" s="3971"/>
      <c r="AW167" s="3971"/>
      <c r="AX167" s="3971"/>
      <c r="AY167" s="3971"/>
      <c r="AZ167" s="3971"/>
      <c r="BA167" s="3971"/>
      <c r="BB167" s="3971"/>
      <c r="BC167" s="3971"/>
      <c r="BD167" s="3971"/>
      <c r="BE167" s="3971"/>
      <c r="BF167" s="3971"/>
      <c r="BG167" s="3971"/>
      <c r="BH167" s="3971"/>
      <c r="BI167" s="3971"/>
      <c r="BJ167" s="3971"/>
      <c r="BK167" s="3971"/>
      <c r="BL167" s="3971"/>
      <c r="BM167" s="3971"/>
      <c r="BN167" s="3971"/>
      <c r="BO167" s="3971"/>
      <c r="BP167" s="3971"/>
      <c r="BQ167" s="3971"/>
      <c r="BR167" s="3971"/>
      <c r="BS167" s="3971"/>
      <c r="BT167" s="3971"/>
      <c r="BU167" s="3971"/>
      <c r="BV167" s="3971"/>
      <c r="BW167" s="3971"/>
      <c r="BX167" s="3971"/>
      <c r="BY167" s="3971"/>
      <c r="BZ167" s="3971"/>
      <c r="CA167" s="3971"/>
      <c r="CB167" s="3971"/>
      <c r="CC167" s="3971"/>
      <c r="CD167" s="3971"/>
      <c r="CE167" s="3971"/>
      <c r="CF167" s="3971"/>
      <c r="CG167" s="3971"/>
      <c r="CH167" s="3971"/>
      <c r="CJ167" s="176" t="s">
        <v>330</v>
      </c>
      <c r="CK167" s="177"/>
      <c r="CL167" s="177"/>
      <c r="CM167" s="177"/>
      <c r="CN167" s="177"/>
      <c r="CO167" s="177"/>
      <c r="CP167" s="177"/>
      <c r="CQ167" s="177"/>
      <c r="CR167" s="177"/>
      <c r="CS167" s="177"/>
      <c r="CT167" s="177"/>
      <c r="CU167" s="177"/>
      <c r="CV167" s="177"/>
      <c r="CW167" s="177"/>
      <c r="CX167" s="177"/>
      <c r="CY167" s="177"/>
      <c r="CZ167" s="177"/>
      <c r="DA167" s="177"/>
      <c r="DB167" s="177"/>
      <c r="DC167" s="177"/>
      <c r="DD167" s="177"/>
      <c r="DE167" s="177"/>
      <c r="DF167" s="177"/>
      <c r="DG167" s="177"/>
      <c r="DH167" s="177"/>
      <c r="DI167" s="177"/>
      <c r="DJ167" s="177"/>
      <c r="DK167" s="178"/>
      <c r="DL167" s="169"/>
      <c r="DM167" s="147"/>
    </row>
    <row r="168" spans="1:119" ht="7.5" customHeight="1">
      <c r="B168" s="3971" t="s">
        <v>331</v>
      </c>
      <c r="C168" s="3971"/>
      <c r="D168" s="3971"/>
      <c r="E168" s="3971"/>
      <c r="F168" s="3971"/>
      <c r="G168" s="3971"/>
      <c r="H168" s="3971"/>
      <c r="I168" s="3971"/>
      <c r="J168" s="3971"/>
      <c r="K168" s="3971"/>
      <c r="L168" s="3971"/>
      <c r="M168" s="3971"/>
      <c r="N168" s="3971"/>
      <c r="O168" s="3971"/>
      <c r="P168" s="3971"/>
      <c r="Q168" s="3971"/>
      <c r="R168" s="3971"/>
      <c r="S168" s="3971"/>
      <c r="T168" s="3971"/>
      <c r="U168" s="3971"/>
      <c r="V168" s="3971"/>
      <c r="W168" s="3971"/>
      <c r="X168" s="3971"/>
      <c r="Y168" s="3971"/>
      <c r="Z168" s="3971"/>
      <c r="AA168" s="3971"/>
      <c r="AB168" s="3971"/>
      <c r="AC168" s="3971"/>
      <c r="AD168" s="3971"/>
      <c r="AE168" s="3971"/>
      <c r="AF168" s="3971"/>
      <c r="AG168" s="3971"/>
      <c r="AH168" s="3971"/>
      <c r="AI168" s="3971"/>
      <c r="AJ168" s="3971"/>
      <c r="AK168" s="3971"/>
      <c r="AL168" s="3971"/>
      <c r="AM168" s="3971"/>
      <c r="AN168" s="3971"/>
      <c r="AO168" s="3971"/>
      <c r="AP168" s="3971"/>
      <c r="AQ168" s="3971"/>
      <c r="AR168" s="3971"/>
      <c r="AS168" s="3971"/>
      <c r="AT168" s="3971"/>
      <c r="AU168" s="3971"/>
      <c r="AV168" s="3971"/>
      <c r="AW168" s="3971"/>
      <c r="AX168" s="3971"/>
      <c r="AY168" s="3971"/>
      <c r="AZ168" s="3971"/>
      <c r="BA168" s="3971"/>
      <c r="BB168" s="3971"/>
      <c r="BC168" s="3971"/>
      <c r="BD168" s="3971"/>
      <c r="BE168" s="3971"/>
      <c r="BF168" s="3971"/>
      <c r="BG168" s="3971"/>
      <c r="BH168" s="3971"/>
      <c r="BI168" s="3971"/>
      <c r="BJ168" s="3971"/>
      <c r="BK168" s="3971"/>
      <c r="BL168" s="3971"/>
      <c r="BM168" s="3971"/>
      <c r="BN168" s="3971"/>
      <c r="BO168" s="3971"/>
      <c r="BP168" s="3971"/>
      <c r="BQ168" s="3971"/>
      <c r="BR168" s="3971"/>
      <c r="BS168" s="3971"/>
      <c r="BT168" s="3971"/>
      <c r="BU168" s="3971"/>
      <c r="BV168" s="3971"/>
      <c r="BW168" s="3971"/>
      <c r="BX168" s="3971"/>
      <c r="BY168" s="3971"/>
      <c r="BZ168" s="3971"/>
      <c r="CA168" s="3971"/>
      <c r="CB168" s="3971"/>
      <c r="CC168" s="3971"/>
      <c r="CD168" s="3971"/>
      <c r="CE168" s="3971"/>
      <c r="CF168" s="3971"/>
      <c r="CG168" s="3971"/>
      <c r="CH168" s="3971"/>
      <c r="CJ168" s="180"/>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2"/>
      <c r="DL168" s="183"/>
    </row>
    <row r="169" spans="1:119" ht="7.5" customHeight="1">
      <c r="A169" s="183"/>
      <c r="B169" s="4169" t="s">
        <v>1514</v>
      </c>
      <c r="C169" s="4169"/>
      <c r="D169" s="4169"/>
      <c r="E169" s="4169"/>
      <c r="F169" s="4169"/>
      <c r="G169" s="4169"/>
      <c r="H169" s="4169"/>
      <c r="I169" s="4169"/>
      <c r="J169" s="4169"/>
      <c r="K169" s="4169"/>
      <c r="L169" s="4169"/>
      <c r="M169" s="4169"/>
      <c r="N169" s="4169"/>
      <c r="O169" s="4169"/>
      <c r="P169" s="4169"/>
      <c r="Q169" s="4169"/>
      <c r="R169" s="4169"/>
      <c r="S169" s="4169"/>
      <c r="T169" s="4169"/>
      <c r="U169" s="4169"/>
      <c r="V169" s="4169"/>
      <c r="W169" s="4169"/>
      <c r="X169" s="4169"/>
      <c r="Y169" s="4169"/>
      <c r="Z169" s="4169"/>
      <c r="AA169" s="4169"/>
      <c r="AB169" s="4169"/>
      <c r="AC169" s="4169"/>
      <c r="AD169" s="4169"/>
      <c r="AE169" s="4169"/>
      <c r="AF169" s="4169"/>
      <c r="AG169" s="4169"/>
      <c r="AH169" s="4169"/>
      <c r="AI169" s="4169"/>
      <c r="AJ169" s="4169"/>
      <c r="AK169" s="4169"/>
      <c r="AL169" s="4169"/>
      <c r="AM169" s="4169"/>
      <c r="AN169" s="4169"/>
      <c r="AO169" s="4169"/>
      <c r="AP169" s="4169"/>
      <c r="AQ169" s="4169"/>
      <c r="AR169" s="4169"/>
      <c r="AS169" s="4169"/>
      <c r="AT169" s="4169"/>
      <c r="AU169" s="4169"/>
      <c r="AV169" s="4169"/>
      <c r="AW169" s="4169"/>
      <c r="AX169" s="4169"/>
      <c r="AY169" s="4169"/>
      <c r="AZ169" s="4169"/>
      <c r="BA169" s="4169"/>
      <c r="BB169" s="4169"/>
      <c r="BC169" s="4169"/>
      <c r="BD169" s="4169"/>
      <c r="BE169" s="4169"/>
      <c r="BF169" s="4169"/>
      <c r="BG169" s="4169"/>
      <c r="BH169" s="4169"/>
      <c r="BI169" s="4169"/>
      <c r="BJ169" s="4169"/>
      <c r="BK169" s="4169"/>
      <c r="BL169" s="4169"/>
      <c r="BM169" s="4169"/>
      <c r="BN169" s="4169"/>
      <c r="BO169" s="4169"/>
      <c r="BP169" s="4169"/>
      <c r="BQ169" s="4169"/>
      <c r="BR169" s="4169"/>
      <c r="BS169" s="4169"/>
      <c r="BT169" s="4169"/>
      <c r="BU169" s="4169"/>
      <c r="BV169" s="4169"/>
      <c r="BW169" s="4169"/>
      <c r="BX169" s="4169"/>
      <c r="BY169" s="4169"/>
      <c r="BZ169" s="4169"/>
      <c r="CA169" s="4169"/>
      <c r="CB169" s="4169"/>
      <c r="CC169" s="4169"/>
      <c r="CD169" s="4169"/>
      <c r="CE169" s="4169"/>
      <c r="CF169" s="4169"/>
      <c r="CG169" s="4169"/>
      <c r="CH169" s="4169"/>
      <c r="CJ169" s="180"/>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2"/>
      <c r="DL169" s="183"/>
    </row>
    <row r="170" spans="1:119" ht="7.5" customHeight="1" thickBot="1">
      <c r="A170" s="183"/>
      <c r="B170" s="667" t="s">
        <v>1515</v>
      </c>
      <c r="C170" s="179"/>
      <c r="D170" s="179"/>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3"/>
      <c r="AU170" s="183"/>
      <c r="AV170" s="183"/>
      <c r="AW170" s="183"/>
      <c r="AX170" s="183"/>
      <c r="AY170" s="183"/>
      <c r="AZ170" s="183"/>
      <c r="BA170" s="183"/>
      <c r="BB170" s="183"/>
      <c r="BC170" s="183"/>
      <c r="BD170" s="183"/>
      <c r="BE170" s="183"/>
      <c r="BF170" s="183"/>
      <c r="BG170" s="183"/>
      <c r="BH170" s="183"/>
      <c r="BI170" s="183"/>
      <c r="BJ170" s="183"/>
      <c r="BK170" s="183"/>
      <c r="BL170" s="183"/>
      <c r="BM170" s="183"/>
      <c r="BN170" s="183"/>
      <c r="BO170" s="183"/>
      <c r="BP170" s="183"/>
      <c r="BQ170" s="183"/>
      <c r="BR170" s="183"/>
      <c r="BS170" s="183"/>
      <c r="BT170" s="183"/>
      <c r="BU170" s="183"/>
      <c r="BV170" s="183"/>
      <c r="BW170" s="183"/>
      <c r="BX170" s="183"/>
      <c r="BY170" s="183"/>
      <c r="BZ170" s="183"/>
      <c r="CA170" s="183"/>
      <c r="CB170" s="183"/>
      <c r="CC170" s="183"/>
      <c r="CD170" s="183"/>
      <c r="CJ170" s="184"/>
      <c r="CK170" s="185"/>
      <c r="CL170" s="185"/>
      <c r="CM170" s="185"/>
      <c r="CN170" s="185"/>
      <c r="CO170" s="185"/>
      <c r="CP170" s="185"/>
      <c r="CQ170" s="185"/>
      <c r="CR170" s="185"/>
      <c r="CS170" s="185"/>
      <c r="CT170" s="185"/>
      <c r="CU170" s="185"/>
      <c r="CV170" s="185"/>
      <c r="CW170" s="185"/>
      <c r="CX170" s="185"/>
      <c r="CY170" s="185"/>
      <c r="CZ170" s="185"/>
      <c r="DA170" s="185"/>
      <c r="DB170" s="185"/>
      <c r="DC170" s="185"/>
      <c r="DD170" s="185"/>
      <c r="DE170" s="185"/>
      <c r="DF170" s="185"/>
      <c r="DG170" s="185"/>
      <c r="DH170" s="185"/>
      <c r="DI170" s="185"/>
      <c r="DJ170" s="185"/>
      <c r="DK170" s="186"/>
      <c r="DL170" s="183"/>
    </row>
    <row r="171" spans="1:119" ht="7.5" customHeight="1">
      <c r="A171" s="3946"/>
      <c r="B171" s="3946"/>
      <c r="C171" s="3946"/>
      <c r="D171" s="3946"/>
      <c r="E171" s="3946"/>
      <c r="F171" s="3946"/>
      <c r="G171" s="3946"/>
      <c r="H171" s="3946"/>
      <c r="I171" s="3946"/>
      <c r="J171" s="3946"/>
      <c r="K171" s="3946"/>
      <c r="L171" s="3946"/>
      <c r="M171" s="3946"/>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c r="CC171" s="187"/>
      <c r="CD171" s="187"/>
      <c r="CE171" s="187"/>
      <c r="CF171" s="187"/>
      <c r="CG171" s="187"/>
      <c r="CH171" s="187"/>
      <c r="CI171" s="187"/>
      <c r="CJ171" s="187"/>
      <c r="CK171" s="187"/>
      <c r="CL171" s="187"/>
      <c r="CM171" s="187"/>
      <c r="CN171" s="3936" t="s">
        <v>332</v>
      </c>
      <c r="CO171" s="3936"/>
      <c r="CP171" s="3936"/>
      <c r="CQ171" s="3936"/>
      <c r="CR171" s="3936"/>
      <c r="CS171" s="3936"/>
      <c r="CT171" s="3936"/>
      <c r="CU171" s="3936"/>
      <c r="CV171" s="3936"/>
      <c r="CW171" s="3936"/>
      <c r="CX171" s="3936"/>
      <c r="CY171" s="3936"/>
      <c r="CZ171" s="3936"/>
      <c r="DA171" s="3936"/>
      <c r="DB171" s="3936"/>
      <c r="DC171" s="3936"/>
      <c r="DD171" s="3936"/>
      <c r="DE171" s="3936"/>
      <c r="DF171" s="3936"/>
      <c r="DG171" s="3936"/>
      <c r="DH171" s="3936"/>
      <c r="DI171" s="3936"/>
      <c r="DJ171" s="3936"/>
      <c r="DK171" s="3936"/>
    </row>
    <row r="172" spans="1:119" ht="7.5" customHeight="1">
      <c r="A172" s="147"/>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c r="BI172" s="147"/>
      <c r="BJ172" s="147"/>
      <c r="BK172" s="147"/>
      <c r="BL172" s="147"/>
      <c r="BM172" s="147"/>
      <c r="BN172" s="147"/>
      <c r="BO172" s="147"/>
      <c r="BP172" s="147"/>
      <c r="BQ172" s="147"/>
      <c r="BR172" s="147"/>
      <c r="BS172" s="147"/>
      <c r="BT172" s="147"/>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c r="DE172" s="147"/>
      <c r="DF172" s="147"/>
      <c r="DG172" s="147"/>
      <c r="DH172" s="147"/>
      <c r="DI172" s="147"/>
      <c r="DJ172" s="147"/>
      <c r="DK172" s="147"/>
      <c r="DL172" s="147"/>
      <c r="DM172" s="147"/>
    </row>
    <row r="173" spans="1:119" ht="6" customHeight="1">
      <c r="A173" s="147"/>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32"/>
      <c r="AB173" s="132"/>
      <c r="AC173" s="132"/>
      <c r="AD173" s="132"/>
      <c r="AE173" s="132"/>
      <c r="AF173" s="188"/>
      <c r="AG173" s="188"/>
      <c r="AH173" s="188"/>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c r="BI173" s="147"/>
      <c r="BJ173" s="147"/>
      <c r="BK173" s="147"/>
      <c r="BL173" s="147"/>
      <c r="BM173" s="147"/>
      <c r="BN173" s="147"/>
      <c r="BO173" s="147"/>
      <c r="BP173" s="147"/>
      <c r="BQ173" s="147"/>
      <c r="BR173" s="147"/>
      <c r="BS173" s="147"/>
      <c r="BT173" s="147"/>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c r="DE173" s="147"/>
      <c r="DF173" s="147"/>
      <c r="DG173" s="147"/>
      <c r="DH173" s="147"/>
      <c r="DI173" s="147"/>
      <c r="DJ173" s="147"/>
      <c r="DK173" s="147"/>
      <c r="DL173" s="147"/>
      <c r="DM173" s="147"/>
    </row>
    <row r="174" spans="1:119" ht="7.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32"/>
      <c r="AB174" s="132"/>
      <c r="AC174" s="132"/>
      <c r="AD174" s="132"/>
      <c r="AE174" s="132"/>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J174" s="147"/>
      <c r="BK174" s="147"/>
      <c r="BL174" s="147"/>
      <c r="BM174" s="147"/>
      <c r="BN174" s="147"/>
      <c r="BO174" s="147"/>
      <c r="BP174" s="147"/>
      <c r="BQ174" s="147"/>
      <c r="BR174" s="147"/>
      <c r="BS174" s="147"/>
      <c r="BT174" s="147"/>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c r="DE174" s="147"/>
      <c r="DF174" s="147"/>
      <c r="DG174" s="147"/>
      <c r="DH174" s="147"/>
      <c r="DI174" s="147"/>
      <c r="DJ174" s="147"/>
      <c r="DK174" s="147"/>
      <c r="DL174" s="147"/>
      <c r="DM174" s="147"/>
    </row>
    <row r="175" spans="1:119" ht="7.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c r="BI175" s="147"/>
      <c r="BJ175" s="147"/>
      <c r="BK175" s="147"/>
      <c r="BL175" s="147"/>
      <c r="BM175" s="147"/>
      <c r="BN175" s="147"/>
      <c r="BO175" s="147"/>
      <c r="BP175" s="147"/>
      <c r="BQ175" s="147"/>
      <c r="BR175" s="147"/>
      <c r="BS175" s="147"/>
      <c r="BT175" s="147"/>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c r="DE175" s="147"/>
      <c r="DF175" s="147"/>
      <c r="DG175" s="147"/>
      <c r="DH175" s="147"/>
      <c r="DI175" s="147"/>
      <c r="DJ175" s="147"/>
      <c r="DK175" s="147"/>
      <c r="DL175" s="147"/>
      <c r="DM175" s="147"/>
    </row>
    <row r="176" spans="1:119" ht="7.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c r="BI176" s="147"/>
      <c r="BJ176" s="147"/>
      <c r="BK176" s="147"/>
      <c r="BL176" s="147"/>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c r="DE176" s="147"/>
      <c r="DF176" s="147"/>
      <c r="DG176" s="147"/>
      <c r="DH176" s="147"/>
      <c r="DI176" s="147"/>
      <c r="DJ176" s="147"/>
      <c r="DK176" s="147"/>
      <c r="DL176" s="147"/>
      <c r="DM176" s="147"/>
    </row>
    <row r="177" spans="1:117" ht="7.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4165"/>
      <c r="AJ177" s="4165"/>
      <c r="AK177" s="4165"/>
      <c r="AL177" s="4165"/>
      <c r="AM177" s="4165"/>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c r="BI177" s="147"/>
      <c r="BJ177" s="147"/>
      <c r="BK177" s="147"/>
      <c r="BL177" s="147"/>
      <c r="BM177" s="147"/>
      <c r="BN177" s="147"/>
      <c r="BO177" s="147"/>
      <c r="BP177" s="147"/>
      <c r="BQ177" s="147"/>
      <c r="BR177" s="147"/>
      <c r="BS177" s="147"/>
      <c r="BT177" s="147"/>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c r="DE177" s="147"/>
      <c r="DF177" s="147"/>
      <c r="DG177" s="147"/>
      <c r="DH177" s="147"/>
      <c r="DI177" s="147"/>
      <c r="DJ177" s="147"/>
      <c r="DK177" s="147"/>
      <c r="DL177" s="147"/>
      <c r="DM177" s="147"/>
    </row>
    <row r="178" spans="1:117" ht="7.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4165"/>
      <c r="AJ178" s="4165"/>
      <c r="AK178" s="4165"/>
      <c r="AL178" s="4165"/>
      <c r="AM178" s="4165"/>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c r="BI178" s="147"/>
      <c r="BJ178" s="147"/>
      <c r="BK178" s="147"/>
      <c r="BL178" s="147"/>
      <c r="BM178" s="147"/>
      <c r="BN178" s="147"/>
      <c r="BO178" s="147"/>
      <c r="BP178" s="147"/>
      <c r="BQ178" s="147"/>
      <c r="BR178" s="147"/>
      <c r="BS178" s="147"/>
      <c r="BT178" s="147"/>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c r="DE178" s="147"/>
      <c r="DF178" s="147"/>
      <c r="DG178" s="147"/>
      <c r="DH178" s="147"/>
      <c r="DI178" s="147"/>
      <c r="DJ178" s="147"/>
      <c r="DK178" s="147"/>
      <c r="DL178" s="147"/>
      <c r="DM178" s="147"/>
    </row>
    <row r="179" spans="1:117" ht="7.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c r="BI179" s="147"/>
      <c r="BJ179" s="147"/>
      <c r="BK179" s="147"/>
      <c r="BL179" s="147"/>
      <c r="BM179" s="147"/>
      <c r="BN179" s="147"/>
      <c r="BO179" s="147"/>
      <c r="BP179" s="147"/>
      <c r="BQ179" s="147"/>
      <c r="BR179" s="147"/>
      <c r="BS179" s="147"/>
      <c r="BT179" s="147"/>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c r="DE179" s="147"/>
      <c r="DF179" s="147"/>
      <c r="DG179" s="147"/>
      <c r="DH179" s="147"/>
      <c r="DI179" s="147"/>
      <c r="DJ179" s="147"/>
      <c r="DK179" s="147"/>
      <c r="DL179" s="147"/>
      <c r="DM179" s="147"/>
    </row>
    <row r="180" spans="1:117" ht="7.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c r="BI180" s="147"/>
      <c r="BJ180" s="147"/>
      <c r="BK180" s="147"/>
      <c r="BL180" s="147"/>
      <c r="BM180" s="147"/>
      <c r="BN180" s="147"/>
      <c r="BO180" s="147"/>
      <c r="BP180" s="147"/>
      <c r="BQ180" s="147"/>
      <c r="BR180" s="147"/>
      <c r="BS180" s="147"/>
      <c r="BT180" s="147"/>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c r="DE180" s="147"/>
      <c r="DF180" s="147"/>
      <c r="DG180" s="147"/>
      <c r="DH180" s="147"/>
      <c r="DI180" s="147"/>
      <c r="DJ180" s="147"/>
      <c r="DK180" s="147"/>
      <c r="DL180" s="147"/>
      <c r="DM180" s="147"/>
    </row>
    <row r="181" spans="1:117" ht="7.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c r="BI181" s="147"/>
      <c r="BJ181" s="147"/>
      <c r="BK181" s="147"/>
      <c r="BL181" s="147"/>
      <c r="BM181" s="147"/>
      <c r="BN181" s="147"/>
      <c r="BO181" s="147"/>
      <c r="BP181" s="147"/>
      <c r="BQ181" s="147"/>
      <c r="BR181" s="147"/>
      <c r="BS181" s="147"/>
      <c r="BT181" s="147"/>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c r="DE181" s="147"/>
      <c r="DF181" s="147"/>
      <c r="DG181" s="147"/>
      <c r="DH181" s="147"/>
      <c r="DI181" s="147"/>
      <c r="DJ181" s="147"/>
      <c r="DK181" s="147"/>
      <c r="DL181" s="147"/>
      <c r="DM181" s="147"/>
    </row>
    <row r="182" spans="1:117" ht="7.5" customHeight="1">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row>
    <row r="183" spans="1:117" ht="7.5" customHeight="1">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row>
  </sheetData>
  <sheetProtection algorithmName="SHA-512" hashValue="00adeZwTIEKcr3K80w/JR3IZS4BQNPG7GNJ6otJrRKZUmeQ+6HtfiaW3Uuqoz/RSLAHGfJlP4WZaqtgj8PShnQ==" saltValue="Hh/gVLyN8eEnnwCG05q0Sg==" spinCount="100000" sheet="1" objects="1" scenarios="1" selectLockedCells="1"/>
  <dataConsolidate link="1"/>
  <mergeCells count="489">
    <mergeCell ref="B167:CH167"/>
    <mergeCell ref="B168:CH168"/>
    <mergeCell ref="B169:CH169"/>
    <mergeCell ref="CV24:CY26"/>
    <mergeCell ref="CZ24:DK26"/>
    <mergeCell ref="BX25:CM26"/>
    <mergeCell ref="CN25:CU26"/>
    <mergeCell ref="DB27:DK28"/>
    <mergeCell ref="CT29:DK30"/>
    <mergeCell ref="BI24:BM24"/>
    <mergeCell ref="BI27:BM30"/>
    <mergeCell ref="BN27:BS28"/>
    <mergeCell ref="BT27:CD28"/>
    <mergeCell ref="CE27:CJ28"/>
    <mergeCell ref="CK27:CU28"/>
    <mergeCell ref="CV27:DA28"/>
    <mergeCell ref="BN29:BS30"/>
    <mergeCell ref="BT29:CM30"/>
    <mergeCell ref="CN29:CS30"/>
    <mergeCell ref="BN25:BW26"/>
    <mergeCell ref="B30:F30"/>
    <mergeCell ref="G30:BF30"/>
    <mergeCell ref="B28:BF29"/>
    <mergeCell ref="B22:X24"/>
    <mergeCell ref="A1:DL3"/>
    <mergeCell ref="BD4:BX6"/>
    <mergeCell ref="B20:F21"/>
    <mergeCell ref="G20:I21"/>
    <mergeCell ref="J20:L21"/>
    <mergeCell ref="M20:O21"/>
    <mergeCell ref="P20:T21"/>
    <mergeCell ref="U20:W21"/>
    <mergeCell ref="X20:AB21"/>
    <mergeCell ref="AC20:AE21"/>
    <mergeCell ref="AF20:BF21"/>
    <mergeCell ref="A4:BC6"/>
    <mergeCell ref="BI25:BM26"/>
    <mergeCell ref="BI22:DK23"/>
    <mergeCell ref="BN24:CU24"/>
    <mergeCell ref="G35:L36"/>
    <mergeCell ref="M35:AF36"/>
    <mergeCell ref="AG35:AL36"/>
    <mergeCell ref="AM35:BF36"/>
    <mergeCell ref="DB36:DK37"/>
    <mergeCell ref="BI34:BM35"/>
    <mergeCell ref="BI32:CB33"/>
    <mergeCell ref="CC32:DD33"/>
    <mergeCell ref="DE32:DK33"/>
    <mergeCell ref="BN34:DK35"/>
    <mergeCell ref="BI36:BM39"/>
    <mergeCell ref="BN36:BS37"/>
    <mergeCell ref="BT36:CD37"/>
    <mergeCell ref="BN38:BS39"/>
    <mergeCell ref="BT38:CM39"/>
    <mergeCell ref="CE36:CJ37"/>
    <mergeCell ref="B33:F36"/>
    <mergeCell ref="G33:L34"/>
    <mergeCell ref="M33:W34"/>
    <mergeCell ref="X33:AC34"/>
    <mergeCell ref="AD33:AN34"/>
    <mergeCell ref="AO33:AT34"/>
    <mergeCell ref="AU33:BF34"/>
    <mergeCell ref="Z22:BF24"/>
    <mergeCell ref="B25:F26"/>
    <mergeCell ref="G25:AD26"/>
    <mergeCell ref="AE25:AI26"/>
    <mergeCell ref="AJ25:BF26"/>
    <mergeCell ref="B31:F32"/>
    <mergeCell ref="G31:P32"/>
    <mergeCell ref="Q31:AY32"/>
    <mergeCell ref="AZ31:BF32"/>
    <mergeCell ref="B42:F44"/>
    <mergeCell ref="G42:AY44"/>
    <mergeCell ref="AZ42:BF44"/>
    <mergeCell ref="B37:F39"/>
    <mergeCell ref="G37:AA39"/>
    <mergeCell ref="AB37:AF37"/>
    <mergeCell ref="AG37:AS37"/>
    <mergeCell ref="AT37:BF37"/>
    <mergeCell ref="AB38:AF39"/>
    <mergeCell ref="AG38:AS39"/>
    <mergeCell ref="AT38:BF39"/>
    <mergeCell ref="B40:F41"/>
    <mergeCell ref="G40:AA41"/>
    <mergeCell ref="AB40:AF41"/>
    <mergeCell ref="AG40:BF41"/>
    <mergeCell ref="B45:BD46"/>
    <mergeCell ref="B47:AK48"/>
    <mergeCell ref="B49:F49"/>
    <mergeCell ref="G49:BF49"/>
    <mergeCell ref="B50:F51"/>
    <mergeCell ref="CN38:CS39"/>
    <mergeCell ref="CT38:DK39"/>
    <mergeCell ref="BI45:CB46"/>
    <mergeCell ref="CC45:DD46"/>
    <mergeCell ref="DE45:DK46"/>
    <mergeCell ref="BN47:DK48"/>
    <mergeCell ref="BI40:BM41"/>
    <mergeCell ref="BN40:CJ41"/>
    <mergeCell ref="CK40:CO41"/>
    <mergeCell ref="CP40:CZ41"/>
    <mergeCell ref="DA40:DK41"/>
    <mergeCell ref="BI42:BM43"/>
    <mergeCell ref="BN42:CJ43"/>
    <mergeCell ref="CK42:CO43"/>
    <mergeCell ref="CP42:DK43"/>
    <mergeCell ref="AL47:BF48"/>
    <mergeCell ref="BN51:BS52"/>
    <mergeCell ref="BT51:CM52"/>
    <mergeCell ref="B52:F55"/>
    <mergeCell ref="G52:L53"/>
    <mergeCell ref="M52:W53"/>
    <mergeCell ref="X52:AC53"/>
    <mergeCell ref="AD52:AN53"/>
    <mergeCell ref="AO52:AT53"/>
    <mergeCell ref="AU52:BF53"/>
    <mergeCell ref="G54:L55"/>
    <mergeCell ref="M54:AF55"/>
    <mergeCell ref="AG54:AL55"/>
    <mergeCell ref="AM54:BF55"/>
    <mergeCell ref="B61:F63"/>
    <mergeCell ref="G61:AY63"/>
    <mergeCell ref="AZ61:BF63"/>
    <mergeCell ref="A75:AI77"/>
    <mergeCell ref="AJ75:DK79"/>
    <mergeCell ref="B80:N81"/>
    <mergeCell ref="O80:DK81"/>
    <mergeCell ref="AB57:AF58"/>
    <mergeCell ref="AG57:AS58"/>
    <mergeCell ref="AT57:BF58"/>
    <mergeCell ref="B59:F60"/>
    <mergeCell ref="G59:AA60"/>
    <mergeCell ref="AB59:AF60"/>
    <mergeCell ref="AG59:BF60"/>
    <mergeCell ref="B56:F58"/>
    <mergeCell ref="G56:AA58"/>
    <mergeCell ref="AB56:AF56"/>
    <mergeCell ref="AG56:AS56"/>
    <mergeCell ref="AT56:BF56"/>
    <mergeCell ref="BI58:DB59"/>
    <mergeCell ref="DC58:DK61"/>
    <mergeCell ref="BI60:CE61"/>
    <mergeCell ref="CF60:DB61"/>
    <mergeCell ref="BI62:DB63"/>
    <mergeCell ref="B82:C85"/>
    <mergeCell ref="D82:Q85"/>
    <mergeCell ref="R82:V85"/>
    <mergeCell ref="W82:AD85"/>
    <mergeCell ref="AE82:DK83"/>
    <mergeCell ref="AE84:AY85"/>
    <mergeCell ref="BM84:CC85"/>
    <mergeCell ref="CD84:CT85"/>
    <mergeCell ref="CU84:DK85"/>
    <mergeCell ref="AZ85:BL85"/>
    <mergeCell ref="B86:C87"/>
    <mergeCell ref="D86:Q87"/>
    <mergeCell ref="R86:V87"/>
    <mergeCell ref="W86:AD87"/>
    <mergeCell ref="AE86:AY87"/>
    <mergeCell ref="AZ86:BL87"/>
    <mergeCell ref="BM86:CC87"/>
    <mergeCell ref="CD86:CT87"/>
    <mergeCell ref="CU86:DK87"/>
    <mergeCell ref="B88:C89"/>
    <mergeCell ref="D88:Q89"/>
    <mergeCell ref="R88:V97"/>
    <mergeCell ref="W88:AD89"/>
    <mergeCell ref="AE88:AY89"/>
    <mergeCell ref="AZ88:BL89"/>
    <mergeCell ref="BM88:CC89"/>
    <mergeCell ref="CD88:CT89"/>
    <mergeCell ref="CU88:DK89"/>
    <mergeCell ref="B90:C91"/>
    <mergeCell ref="D90:Q91"/>
    <mergeCell ref="W90:AD91"/>
    <mergeCell ref="AE90:AY91"/>
    <mergeCell ref="AZ90:BL91"/>
    <mergeCell ref="BM90:CC91"/>
    <mergeCell ref="CD90:CT91"/>
    <mergeCell ref="CU90:DK91"/>
    <mergeCell ref="CD92:CT93"/>
    <mergeCell ref="CU92:DK93"/>
    <mergeCell ref="B94:C95"/>
    <mergeCell ref="D94:Q95"/>
    <mergeCell ref="W94:AD95"/>
    <mergeCell ref="AE94:AY95"/>
    <mergeCell ref="AZ94:BL95"/>
    <mergeCell ref="BM94:CC95"/>
    <mergeCell ref="CD94:CT95"/>
    <mergeCell ref="CU94:DK95"/>
    <mergeCell ref="B92:C93"/>
    <mergeCell ref="D92:Q93"/>
    <mergeCell ref="W92:AD93"/>
    <mergeCell ref="AE92:AY93"/>
    <mergeCell ref="AZ92:BL93"/>
    <mergeCell ref="BM92:CC93"/>
    <mergeCell ref="CD96:CT97"/>
    <mergeCell ref="CU96:DK97"/>
    <mergeCell ref="B99:AB100"/>
    <mergeCell ref="AC99:DK100"/>
    <mergeCell ref="B101:C104"/>
    <mergeCell ref="D101:K104"/>
    <mergeCell ref="L101:AF104"/>
    <mergeCell ref="AG101:AK104"/>
    <mergeCell ref="AL101:BI104"/>
    <mergeCell ref="BJ101:BO104"/>
    <mergeCell ref="B96:C97"/>
    <mergeCell ref="D96:Q97"/>
    <mergeCell ref="W96:AD97"/>
    <mergeCell ref="AE96:AY97"/>
    <mergeCell ref="AZ96:BL97"/>
    <mergeCell ref="BM96:CC97"/>
    <mergeCell ref="BP101:CG102"/>
    <mergeCell ref="CH101:CL104"/>
    <mergeCell ref="CM101:DK104"/>
    <mergeCell ref="BP103:CG104"/>
    <mergeCell ref="B105:C106"/>
    <mergeCell ref="D105:K106"/>
    <mergeCell ref="L105:V106"/>
    <mergeCell ref="W105:AF106"/>
    <mergeCell ref="AG105:AK106"/>
    <mergeCell ref="AL105:BI106"/>
    <mergeCell ref="CC105:CE106"/>
    <mergeCell ref="CF105:CG106"/>
    <mergeCell ref="CH105:CL106"/>
    <mergeCell ref="CM105:DK106"/>
    <mergeCell ref="B107:C108"/>
    <mergeCell ref="D107:K108"/>
    <mergeCell ref="L107:V116"/>
    <mergeCell ref="W107:AF108"/>
    <mergeCell ref="AG107:AK116"/>
    <mergeCell ref="AL107:BI108"/>
    <mergeCell ref="BJ105:BO106"/>
    <mergeCell ref="BP105:BR106"/>
    <mergeCell ref="BS105:BU106"/>
    <mergeCell ref="BV105:BW106"/>
    <mergeCell ref="BX105:BZ106"/>
    <mergeCell ref="CA105:CB106"/>
    <mergeCell ref="B111:C112"/>
    <mergeCell ref="D111:K112"/>
    <mergeCell ref="W111:AF112"/>
    <mergeCell ref="AL111:BI112"/>
    <mergeCell ref="CH111:CL112"/>
    <mergeCell ref="CM111:DK112"/>
    <mergeCell ref="CC107:CE116"/>
    <mergeCell ref="CF107:CG116"/>
    <mergeCell ref="CH107:CL108"/>
    <mergeCell ref="CM107:DK108"/>
    <mergeCell ref="B109:C110"/>
    <mergeCell ref="D109:K110"/>
    <mergeCell ref="W109:AF110"/>
    <mergeCell ref="AL109:BI110"/>
    <mergeCell ref="CH109:CL110"/>
    <mergeCell ref="CM109:DK110"/>
    <mergeCell ref="BJ107:BO116"/>
    <mergeCell ref="BP107:BR116"/>
    <mergeCell ref="BS107:BU116"/>
    <mergeCell ref="BV107:BW116"/>
    <mergeCell ref="BX107:BZ116"/>
    <mergeCell ref="CA107:CB116"/>
    <mergeCell ref="B115:C116"/>
    <mergeCell ref="D115:K116"/>
    <mergeCell ref="W115:AF116"/>
    <mergeCell ref="AL115:BI116"/>
    <mergeCell ref="CH115:CL116"/>
    <mergeCell ref="CM115:DK116"/>
    <mergeCell ref="B113:C114"/>
    <mergeCell ref="D113:K114"/>
    <mergeCell ref="W113:AF114"/>
    <mergeCell ref="AL113:BI114"/>
    <mergeCell ref="CH113:CL114"/>
    <mergeCell ref="CM113:DK114"/>
    <mergeCell ref="B118:T119"/>
    <mergeCell ref="U118:AN119"/>
    <mergeCell ref="AO118:DK119"/>
    <mergeCell ref="B120:C123"/>
    <mergeCell ref="D120:Q123"/>
    <mergeCell ref="R120:DJ121"/>
    <mergeCell ref="R122:Y123"/>
    <mergeCell ref="Z122:BF123"/>
    <mergeCell ref="BG122:BM123"/>
    <mergeCell ref="BN122:BR123"/>
    <mergeCell ref="B126:C127"/>
    <mergeCell ref="D126:Q127"/>
    <mergeCell ref="R126:Y127"/>
    <mergeCell ref="Z126:BF127"/>
    <mergeCell ref="BG126:BH127"/>
    <mergeCell ref="BS122:BZ123"/>
    <mergeCell ref="CA122:CL123"/>
    <mergeCell ref="CM122:DA123"/>
    <mergeCell ref="DB122:DK123"/>
    <mergeCell ref="B124:C125"/>
    <mergeCell ref="D124:Q125"/>
    <mergeCell ref="R124:Y125"/>
    <mergeCell ref="Z124:BF125"/>
    <mergeCell ref="BG124:BH125"/>
    <mergeCell ref="BI124:BM125"/>
    <mergeCell ref="BI126:BM127"/>
    <mergeCell ref="BN126:BR127"/>
    <mergeCell ref="BS126:BZ127"/>
    <mergeCell ref="CA126:CL127"/>
    <mergeCell ref="CM126:DA127"/>
    <mergeCell ref="DB126:DK127"/>
    <mergeCell ref="BN124:BR125"/>
    <mergeCell ref="BS124:BZ125"/>
    <mergeCell ref="CA124:CL125"/>
    <mergeCell ref="CM124:DA125"/>
    <mergeCell ref="DB124:DK125"/>
    <mergeCell ref="B130:C131"/>
    <mergeCell ref="D130:Q131"/>
    <mergeCell ref="R130:Y131"/>
    <mergeCell ref="Z130:BF131"/>
    <mergeCell ref="BG130:BH131"/>
    <mergeCell ref="B128:C129"/>
    <mergeCell ref="D128:Q129"/>
    <mergeCell ref="R128:Y129"/>
    <mergeCell ref="Z128:BF129"/>
    <mergeCell ref="BG128:BH129"/>
    <mergeCell ref="BI130:BM131"/>
    <mergeCell ref="BN130:BR131"/>
    <mergeCell ref="BS130:BZ131"/>
    <mergeCell ref="CA130:CL131"/>
    <mergeCell ref="CM130:DA131"/>
    <mergeCell ref="DB130:DK131"/>
    <mergeCell ref="BN128:BR129"/>
    <mergeCell ref="BS128:BZ129"/>
    <mergeCell ref="CA128:CL129"/>
    <mergeCell ref="CM128:DA129"/>
    <mergeCell ref="DB128:DK129"/>
    <mergeCell ref="BI128:BM129"/>
    <mergeCell ref="U137:AN138"/>
    <mergeCell ref="B139:C142"/>
    <mergeCell ref="D139:AA142"/>
    <mergeCell ref="AB139:AH142"/>
    <mergeCell ref="AI139:AQ142"/>
    <mergeCell ref="DB134:DK135"/>
    <mergeCell ref="BN132:BR133"/>
    <mergeCell ref="BS132:BZ133"/>
    <mergeCell ref="CA132:CL133"/>
    <mergeCell ref="CM132:DA133"/>
    <mergeCell ref="DB132:DK133"/>
    <mergeCell ref="BI132:BM133"/>
    <mergeCell ref="B134:C135"/>
    <mergeCell ref="D134:Q135"/>
    <mergeCell ref="R134:Y135"/>
    <mergeCell ref="Z134:BF135"/>
    <mergeCell ref="BG134:BH135"/>
    <mergeCell ref="B132:C133"/>
    <mergeCell ref="D132:Q133"/>
    <mergeCell ref="R132:Y133"/>
    <mergeCell ref="Z132:BF133"/>
    <mergeCell ref="BG132:BH133"/>
    <mergeCell ref="CN171:DK171"/>
    <mergeCell ref="B164:AA164"/>
    <mergeCell ref="CO164:DK164"/>
    <mergeCell ref="CO165:DK165"/>
    <mergeCell ref="AB164:AZ165"/>
    <mergeCell ref="BT164:CN165"/>
    <mergeCell ref="AR143:BE144"/>
    <mergeCell ref="BF143:BU144"/>
    <mergeCell ref="CP143:CQ144"/>
    <mergeCell ref="CR143:CT144"/>
    <mergeCell ref="CU145:CV158"/>
    <mergeCell ref="CW145:DK158"/>
    <mergeCell ref="B147:C148"/>
    <mergeCell ref="D147:AA148"/>
    <mergeCell ref="AB147:AH148"/>
    <mergeCell ref="AI147:AQ148"/>
    <mergeCell ref="AR147:BE148"/>
    <mergeCell ref="CB145:CD158"/>
    <mergeCell ref="CE145:CG158"/>
    <mergeCell ref="B151:C152"/>
    <mergeCell ref="D151:AA152"/>
    <mergeCell ref="AB151:AH152"/>
    <mergeCell ref="AI151:AQ152"/>
    <mergeCell ref="AR151:BE152"/>
    <mergeCell ref="AI177:AM178"/>
    <mergeCell ref="B165:I165"/>
    <mergeCell ref="J165:AA165"/>
    <mergeCell ref="A171:M171"/>
    <mergeCell ref="AB155:AH156"/>
    <mergeCell ref="AI155:AQ156"/>
    <mergeCell ref="AR155:BE156"/>
    <mergeCell ref="CH145:CJ158"/>
    <mergeCell ref="D145:AA146"/>
    <mergeCell ref="AB145:AH146"/>
    <mergeCell ref="AI145:AQ146"/>
    <mergeCell ref="AR145:BE146"/>
    <mergeCell ref="BF145:BU158"/>
    <mergeCell ref="AR157:BE158"/>
    <mergeCell ref="BV157:CA158"/>
    <mergeCell ref="B153:C154"/>
    <mergeCell ref="D153:AA154"/>
    <mergeCell ref="AB153:AH154"/>
    <mergeCell ref="AI153:AQ154"/>
    <mergeCell ref="AR153:BE154"/>
    <mergeCell ref="BN164:BS165"/>
    <mergeCell ref="BA164:BM165"/>
    <mergeCell ref="D155:AA156"/>
    <mergeCell ref="B149:C150"/>
    <mergeCell ref="CW161:DK162"/>
    <mergeCell ref="CB161:CV162"/>
    <mergeCell ref="BN55:CJ56"/>
    <mergeCell ref="CK55:CO56"/>
    <mergeCell ref="BV145:CA156"/>
    <mergeCell ref="CM145:CO158"/>
    <mergeCell ref="CP145:CQ158"/>
    <mergeCell ref="CW143:DK144"/>
    <mergeCell ref="CK145:CL158"/>
    <mergeCell ref="CU143:CV144"/>
    <mergeCell ref="DC62:DK73"/>
    <mergeCell ref="BI64:CE65"/>
    <mergeCell ref="CF64:DB65"/>
    <mergeCell ref="BI68:CE69"/>
    <mergeCell ref="CF68:DB69"/>
    <mergeCell ref="BI70:CE71"/>
    <mergeCell ref="CF70:DB71"/>
    <mergeCell ref="CR145:CT158"/>
    <mergeCell ref="BV143:CA144"/>
    <mergeCell ref="CB143:CD144"/>
    <mergeCell ref="CE143:CG144"/>
    <mergeCell ref="CH143:CJ144"/>
    <mergeCell ref="CK143:CL144"/>
    <mergeCell ref="CM143:CO144"/>
    <mergeCell ref="BI47:BM48"/>
    <mergeCell ref="CP55:DK56"/>
    <mergeCell ref="BI49:BM52"/>
    <mergeCell ref="BN49:BS50"/>
    <mergeCell ref="BT49:CD50"/>
    <mergeCell ref="CE49:CJ50"/>
    <mergeCell ref="CK49:CU50"/>
    <mergeCell ref="CV49:DA50"/>
    <mergeCell ref="DB49:DK50"/>
    <mergeCell ref="BI55:BM56"/>
    <mergeCell ref="CN51:CS52"/>
    <mergeCell ref="CT51:DK52"/>
    <mergeCell ref="BI53:BM54"/>
    <mergeCell ref="BN53:CJ54"/>
    <mergeCell ref="CK53:CO54"/>
    <mergeCell ref="CP53:CZ54"/>
    <mergeCell ref="DA53:DK54"/>
    <mergeCell ref="AR149:BE150"/>
    <mergeCell ref="B155:C156"/>
    <mergeCell ref="BI72:CE73"/>
    <mergeCell ref="CF72:DB73"/>
    <mergeCell ref="BI66:CE67"/>
    <mergeCell ref="CF66:DB67"/>
    <mergeCell ref="B145:C146"/>
    <mergeCell ref="B143:C144"/>
    <mergeCell ref="D143:AA144"/>
    <mergeCell ref="AB143:AH144"/>
    <mergeCell ref="AI143:AQ144"/>
    <mergeCell ref="BI134:BM135"/>
    <mergeCell ref="BN134:BR135"/>
    <mergeCell ref="BS134:BZ135"/>
    <mergeCell ref="CA134:CL135"/>
    <mergeCell ref="CM134:DA135"/>
    <mergeCell ref="AR139:BE142"/>
    <mergeCell ref="BF139:BU142"/>
    <mergeCell ref="BV139:CA142"/>
    <mergeCell ref="CB139:CD142"/>
    <mergeCell ref="CE139:CV140"/>
    <mergeCell ref="CW139:DK142"/>
    <mergeCell ref="CE141:CV142"/>
    <mergeCell ref="B137:T138"/>
    <mergeCell ref="G50:P51"/>
    <mergeCell ref="Q50:AY51"/>
    <mergeCell ref="AZ50:BF51"/>
    <mergeCell ref="CK36:CU37"/>
    <mergeCell ref="CV36:DA37"/>
    <mergeCell ref="B161:C162"/>
    <mergeCell ref="D161:AA162"/>
    <mergeCell ref="AB161:AH162"/>
    <mergeCell ref="BF161:BU162"/>
    <mergeCell ref="AI161:BE162"/>
    <mergeCell ref="BV161:CA162"/>
    <mergeCell ref="B159:C160"/>
    <mergeCell ref="D159:AA160"/>
    <mergeCell ref="AB159:AH160"/>
    <mergeCell ref="AI159:AQ160"/>
    <mergeCell ref="AR159:BE160"/>
    <mergeCell ref="BF159:DK160"/>
    <mergeCell ref="B157:C158"/>
    <mergeCell ref="D157:AA158"/>
    <mergeCell ref="AB157:AH158"/>
    <mergeCell ref="AI157:AQ158"/>
    <mergeCell ref="D149:AA150"/>
    <mergeCell ref="AB149:AH150"/>
    <mergeCell ref="AI149:AQ150"/>
  </mergeCells>
  <phoneticPr fontId="68"/>
  <conditionalFormatting sqref="D147">
    <cfRule type="notContainsBlanks" dxfId="186" priority="239" stopIfTrue="1">
      <formula>LEN(TRIM(D147))&gt;0</formula>
    </cfRule>
    <cfRule type="expression" dxfId="185" priority="240">
      <formula>#REF!&lt;&gt;0</formula>
    </cfRule>
  </conditionalFormatting>
  <conditionalFormatting sqref="D109:K110">
    <cfRule type="expression" dxfId="184" priority="313">
      <formula>$D$90&lt;&gt;""</formula>
    </cfRule>
  </conditionalFormatting>
  <conditionalFormatting sqref="D109:K116">
    <cfRule type="notContainsBlanks" dxfId="183" priority="299" stopIfTrue="1">
      <formula>LEN(TRIM(D109))&gt;0</formula>
    </cfRule>
  </conditionalFormatting>
  <conditionalFormatting sqref="D88:Q89">
    <cfRule type="notContainsBlanks" priority="23" stopIfTrue="1">
      <formula>LEN(TRIM(D88))&gt;0</formula>
    </cfRule>
    <cfRule type="expression" dxfId="182" priority="24">
      <formula>COUNTIF($BI$64:$CE$73,"D-SPA")</formula>
    </cfRule>
  </conditionalFormatting>
  <conditionalFormatting sqref="D107:CL116">
    <cfRule type="notContainsBlanks" dxfId="181" priority="223">
      <formula>LEN(TRIM(D107))&gt;0</formula>
    </cfRule>
  </conditionalFormatting>
  <conditionalFormatting sqref="G25">
    <cfRule type="notContainsBlanks" dxfId="180" priority="201" stopIfTrue="1">
      <formula>LEN(TRIM(G25))&gt;0</formula>
    </cfRule>
  </conditionalFormatting>
  <conditionalFormatting sqref="G30:G31 Q31 AZ31">
    <cfRule type="notContainsBlanks" dxfId="179" priority="14" stopIfTrue="1">
      <formula>LEN(TRIM(G30))&gt;0</formula>
    </cfRule>
  </conditionalFormatting>
  <conditionalFormatting sqref="G49:G50 Q50 AZ50">
    <cfRule type="notContainsBlanks" dxfId="178" priority="12" stopIfTrue="1">
      <formula>LEN(TRIM(G49))&gt;0</formula>
    </cfRule>
  </conditionalFormatting>
  <conditionalFormatting sqref="J20 P20 X20">
    <cfRule type="notContainsBlanks" dxfId="177" priority="202" stopIfTrue="1">
      <formula>LEN(TRIM(J20))&gt;0</formula>
    </cfRule>
  </conditionalFormatting>
  <conditionalFormatting sqref="L107 AG107">
    <cfRule type="expression" dxfId="176" priority="263">
      <formula>OR($D$107&lt;&gt;"",$D$109&lt;&gt;"",$D$111&lt;&gt;"",$D$113&lt;&gt;"",$D$115&lt;&gt;"")</formula>
    </cfRule>
  </conditionalFormatting>
  <conditionalFormatting sqref="M33 AD33 AU33 M35 AM35 G37 AG37:BF39 G40 AG40">
    <cfRule type="notContainsBlanks" dxfId="175" priority="15" stopIfTrue="1">
      <formula>LEN(TRIM(G33))&gt;0</formula>
    </cfRule>
  </conditionalFormatting>
  <conditionalFormatting sqref="M52 AD52 AU52 M54 AM54 G56 AG56:BF58 G59 AG59">
    <cfRule type="notContainsBlanks" dxfId="174" priority="13" stopIfTrue="1">
      <formula>LEN(TRIM(G52))&gt;0</formula>
    </cfRule>
  </conditionalFormatting>
  <conditionalFormatting sqref="R88">
    <cfRule type="expression" dxfId="173" priority="257">
      <formula>OR($D$88&lt;&gt;0,$D$90&lt;&gt;0,$D$92&lt;&gt;0,$D$94&lt;&gt;0,$D$96&lt;&gt;0)</formula>
    </cfRule>
  </conditionalFormatting>
  <conditionalFormatting sqref="R126 BJ107">
    <cfRule type="expression" dxfId="172" priority="309">
      <formula>$D$126&lt;&gt;""</formula>
    </cfRule>
  </conditionalFormatting>
  <conditionalFormatting sqref="R128">
    <cfRule type="expression" dxfId="171" priority="319">
      <formula>$D$109&lt;&gt;""</formula>
    </cfRule>
  </conditionalFormatting>
  <conditionalFormatting sqref="R130">
    <cfRule type="expression" dxfId="170" priority="320">
      <formula>$D$111&lt;&gt;""</formula>
    </cfRule>
  </conditionalFormatting>
  <conditionalFormatting sqref="R132">
    <cfRule type="expression" dxfId="169" priority="321">
      <formula>$D$113&lt;&gt;""</formula>
    </cfRule>
  </conditionalFormatting>
  <conditionalFormatting sqref="R134">
    <cfRule type="expression" dxfId="168" priority="306">
      <formula>$D$115&lt;&gt;""</formula>
    </cfRule>
  </conditionalFormatting>
  <conditionalFormatting sqref="R88:DK97">
    <cfRule type="notContainsBlanks" dxfId="167" priority="212" stopIfTrue="1">
      <formula>LEN(TRIM(R88))&gt;0</formula>
    </cfRule>
  </conditionalFormatting>
  <conditionalFormatting sqref="R126:DK135">
    <cfRule type="notContainsBlanks" dxfId="166" priority="262" stopIfTrue="1">
      <formula>LEN(TRIM(R126))&gt;0</formula>
    </cfRule>
  </conditionalFormatting>
  <conditionalFormatting sqref="W94 AE94 AZ94 CD94 CU94">
    <cfRule type="expression" dxfId="165" priority="254">
      <formula>AND($D$94&lt;&gt;"",OR($R$88="新規",$R$88="追加"))</formula>
    </cfRule>
  </conditionalFormatting>
  <conditionalFormatting sqref="W96 AE96 AZ96 CD96 CU96">
    <cfRule type="expression" dxfId="164" priority="237">
      <formula>AND($D$96&lt;&gt;"",OR($R$88="新規",$R$88="追加"))</formula>
    </cfRule>
  </conditionalFormatting>
  <conditionalFormatting sqref="W107 CH107">
    <cfRule type="expression" dxfId="163" priority="229">
      <formula>$D107&lt;&gt;""</formula>
    </cfRule>
  </conditionalFormatting>
  <conditionalFormatting sqref="W109 CH109">
    <cfRule type="expression" dxfId="162" priority="317">
      <formula>$D$109&lt;&gt;""</formula>
    </cfRule>
  </conditionalFormatting>
  <conditionalFormatting sqref="W111 CH111">
    <cfRule type="expression" dxfId="161" priority="310">
      <formula>$D$111&lt;&gt;""</formula>
    </cfRule>
  </conditionalFormatting>
  <conditionalFormatting sqref="W113 CH113">
    <cfRule type="expression" dxfId="160" priority="308">
      <formula>$D$113&lt;&gt;""</formula>
    </cfRule>
  </conditionalFormatting>
  <conditionalFormatting sqref="W115 CH115">
    <cfRule type="expression" dxfId="159" priority="307">
      <formula>$D$115&lt;&gt;""</formula>
    </cfRule>
  </conditionalFormatting>
  <conditionalFormatting sqref="W88:DK89">
    <cfRule type="expression" dxfId="158" priority="10">
      <formula>$R$88="更新"</formula>
    </cfRule>
  </conditionalFormatting>
  <conditionalFormatting sqref="W90:DK91">
    <cfRule type="expression" dxfId="157" priority="8">
      <formula>AND($D$90&lt;&gt;"",$R$88="更新")</formula>
    </cfRule>
  </conditionalFormatting>
  <conditionalFormatting sqref="W92:DK93">
    <cfRule type="expression" dxfId="156" priority="6">
      <formula>AND($D$92&lt;&gt;"",$R$88="更新")</formula>
    </cfRule>
  </conditionalFormatting>
  <conditionalFormatting sqref="W94:DK95">
    <cfRule type="expression" dxfId="155" priority="4">
      <formula>AND($D$94&lt;&gt;"",$R$88="更新")</formula>
    </cfRule>
  </conditionalFormatting>
  <conditionalFormatting sqref="W96:DK97">
    <cfRule type="expression" dxfId="154" priority="2">
      <formula>AND($D$96&lt;&gt;"",$R$88="更新")</formula>
    </cfRule>
  </conditionalFormatting>
  <conditionalFormatting sqref="Z126 DB126:DC126 BI126:CL127">
    <cfRule type="expression" dxfId="153" priority="323">
      <formula>$R$126="A表と異なる"</formula>
    </cfRule>
  </conditionalFormatting>
  <conditionalFormatting sqref="Z128 DB128 BI128:CL129">
    <cfRule type="expression" dxfId="152" priority="324">
      <formula>$R$128="A表と異なる"</formula>
    </cfRule>
  </conditionalFormatting>
  <conditionalFormatting sqref="Z130 DB130:DC130 BI130:CL131">
    <cfRule type="expression" dxfId="151" priority="325">
      <formula>$R$130="A表と異なる"</formula>
    </cfRule>
  </conditionalFormatting>
  <conditionalFormatting sqref="Z132 DB132 BI132:CL133">
    <cfRule type="expression" dxfId="150" priority="326">
      <formula>$R$132="A表と異なる"</formula>
    </cfRule>
  </conditionalFormatting>
  <conditionalFormatting sqref="Z134 DB134:DC134 BI134:CL135">
    <cfRule type="expression" dxfId="149" priority="327">
      <formula>$R$134="A表と異なる"</formula>
    </cfRule>
  </conditionalFormatting>
  <conditionalFormatting sqref="Z126:DK127">
    <cfRule type="expression" dxfId="148" priority="94">
      <formula>$R$126="A表に同じ"</formula>
    </cfRule>
  </conditionalFormatting>
  <conditionalFormatting sqref="Z128:DK129">
    <cfRule type="expression" dxfId="147" priority="93">
      <formula>$R$128="A表に同じ"</formula>
    </cfRule>
  </conditionalFormatting>
  <conditionalFormatting sqref="Z130:DK131">
    <cfRule type="expression" dxfId="146" priority="83">
      <formula>$R$130="A表に同じ"</formula>
    </cfRule>
  </conditionalFormatting>
  <conditionalFormatting sqref="Z132:DK133">
    <cfRule type="expression" dxfId="145" priority="91">
      <formula>$R$132="A表に同じ"</formula>
    </cfRule>
  </conditionalFormatting>
  <conditionalFormatting sqref="Z134:DK135">
    <cfRule type="expression" dxfId="144" priority="90">
      <formula>$R$134="A表に同じ"</formula>
    </cfRule>
  </conditionalFormatting>
  <conditionalFormatting sqref="AB159">
    <cfRule type="expression" dxfId="143" priority="356">
      <formula>$AB$145="○ (GIGAスクール)"</formula>
    </cfRule>
  </conditionalFormatting>
  <conditionalFormatting sqref="AB145:AH156">
    <cfRule type="expression" dxfId="142" priority="20">
      <formula>NOT($AB$161="")</formula>
    </cfRule>
  </conditionalFormatting>
  <conditionalFormatting sqref="AB145:AH162">
    <cfRule type="notContainsBlanks" dxfId="141" priority="16" stopIfTrue="1">
      <formula>LEN(TRIM(AB145))&gt;0</formula>
    </cfRule>
  </conditionalFormatting>
  <conditionalFormatting sqref="AB149:AH150">
    <cfRule type="expression" dxfId="140" priority="63">
      <formula>AND(COUNTIF(AB145,"*○*"),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fRule type="expression" dxfId="139" priority="246">
      <formula>NOT(AND(COUNTIF(AB145,"*○*"),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onditionalFormatting>
  <conditionalFormatting sqref="AB151:AH152">
    <cfRule type="expression" dxfId="138" priority="242">
      <formula>OR(COUNTIF(D107:D115,"*18*"),COUNTIF(D107:D115,"*36*"),COUNTIF(D107:D115,"*66*"),COUNTIF(D107:D115,"*13*"),COUNTIF(D107:D115,"*17*"),COUNTIF(D107:D115,"*35*"),COUNTIF(D107:D115,"*65*"),COUNTIF(D107:D115,"*12*"),COUNTIF(D107:D115,"*MGR*"))</formula>
    </cfRule>
  </conditionalFormatting>
  <conditionalFormatting sqref="AB153:AH154">
    <cfRule type="expression" dxfId="137" priority="34">
      <formula>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fRule type="expression" dxfId="136" priority="61">
      <formula>NOT(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onditionalFormatting>
  <conditionalFormatting sqref="AB155:AH156">
    <cfRule type="expression" dxfId="135" priority="60">
      <formula>NOT(AND(COUNTIF(AB145,"*○*"),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fRule type="expression" dxfId="134" priority="33">
      <formula>AND(COUNTIF(AB145,"*○*"),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onditionalFormatting>
  <conditionalFormatting sqref="AB157:AH158">
    <cfRule type="expression" dxfId="133" priority="18">
      <formula>$AB$161&lt;&gt;""</formula>
    </cfRule>
    <cfRule type="expression" dxfId="132" priority="25">
      <formula>AND(COUNTIF(AB145,"*○*"),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fRule type="expression" dxfId="131" priority="27">
      <formula>NOT(AND(COUNTIF(AB145,"*○*"),OR(COUNTIF(D107:D115,"*SPA_2000_M5*"),COUNTIF(D107:D115,"*SPA_2000_M4*"),COUNTIF(D107:D115,"*SPA_2000*"),COUNTIF(D107:D115,"*SPA_4000_M5*"),COUNTIF(D107:D115,"*SPA_4000_M4*"),COUNTIF(D107:D115,"*SPA_4000*"),COUNTIF(D107:D115,"*SPA_7000_M5A*"),COUNTIF(D107:D115,"*SPA_7000_M5*"),COUNTIF(D107:D115,"*SPA_7000_M5*"),COUNTIF(D107:D115,"*SPA_15000_M5A*"),COUNTIF(D107:D115,"*SPA_15000_M5*"),COUNTIF(D107:D115,"*SPA_15000*"))))</formula>
    </cfRule>
  </conditionalFormatting>
  <conditionalFormatting sqref="AB159:AH160">
    <cfRule type="expression" dxfId="130" priority="354">
      <formula>NOT($AB$145="○ (GIGAスクール)")</formula>
    </cfRule>
  </conditionalFormatting>
  <conditionalFormatting sqref="AB161:AH162">
    <cfRule type="expression" dxfId="129" priority="170">
      <formula>COUNTIF($AB$145:$AH$158,"*○*")=0</formula>
    </cfRule>
    <cfRule type="expression" dxfId="128" priority="56">
      <formula>COUNTIF($AB$145:$AH$158,"*○*")&gt;0</formula>
    </cfRule>
  </conditionalFormatting>
  <conditionalFormatting sqref="AI147 AR147">
    <cfRule type="expression" dxfId="127" priority="245">
      <formula>NOT($AB$147="○ あり")</formula>
    </cfRule>
  </conditionalFormatting>
  <conditionalFormatting sqref="AI147">
    <cfRule type="expression" dxfId="126" priority="334">
      <formula>$AB$147="○ あり"</formula>
    </cfRule>
  </conditionalFormatting>
  <conditionalFormatting sqref="AI149">
    <cfRule type="expression" dxfId="125" priority="331">
      <formula>$D$145="AV Adapter for D-SPA Ver.3"</formula>
    </cfRule>
  </conditionalFormatting>
  <conditionalFormatting sqref="AI177">
    <cfRule type="expression" dxfId="124" priority="304">
      <formula>#REF!&lt;&gt;0</formula>
    </cfRule>
  </conditionalFormatting>
  <conditionalFormatting sqref="AI147:AQ148">
    <cfRule type="notContainsBlanks" dxfId="123" priority="53" stopIfTrue="1">
      <formula>LEN(TRIM(AI147))&gt;0</formula>
    </cfRule>
  </conditionalFormatting>
  <conditionalFormatting sqref="AJ25">
    <cfRule type="notContainsBlanks" dxfId="122" priority="200" stopIfTrue="1">
      <formula>LEN(TRIM(AJ25))&gt;0</formula>
    </cfRule>
  </conditionalFormatting>
  <conditionalFormatting sqref="AL107">
    <cfRule type="expression" dxfId="121" priority="230">
      <formula>AND($D$107&lt;&gt;"",$AG$107="更新")</formula>
    </cfRule>
    <cfRule type="expression" dxfId="120" priority="206">
      <formula>$AG$107="初年度"</formula>
    </cfRule>
  </conditionalFormatting>
  <conditionalFormatting sqref="AL109">
    <cfRule type="expression" dxfId="119" priority="207">
      <formula>$AG$107="初年度"</formula>
    </cfRule>
    <cfRule type="expression" dxfId="118" priority="228">
      <formula>AND($D$109&lt;&gt;"",$AG$107="更新")</formula>
    </cfRule>
  </conditionalFormatting>
  <conditionalFormatting sqref="AL111">
    <cfRule type="expression" dxfId="117" priority="205">
      <formula>$AG$107="初年度"</formula>
    </cfRule>
    <cfRule type="expression" dxfId="116" priority="269">
      <formula>AND($D$111&lt;&gt;"",$AG$107="更新")</formula>
    </cfRule>
  </conditionalFormatting>
  <conditionalFormatting sqref="AL113">
    <cfRule type="expression" dxfId="115" priority="187">
      <formula>$AG$107="初年度"</formula>
    </cfRule>
    <cfRule type="expression" dxfId="114" priority="295">
      <formula>AND($D$113&lt;&gt;"",$AG$107="更新")</formula>
    </cfRule>
  </conditionalFormatting>
  <conditionalFormatting sqref="AL115">
    <cfRule type="expression" dxfId="113" priority="298">
      <formula>AND($D$115&lt;&gt;"",$AG$107="更新")</formula>
    </cfRule>
    <cfRule type="expression" dxfId="112" priority="185">
      <formula>$AG$107="初年度"</formula>
    </cfRule>
  </conditionalFormatting>
  <conditionalFormatting sqref="AR145">
    <cfRule type="expression" dxfId="111" priority="272">
      <formula>OR($AB$145="× なし",$AB$145="")</formula>
    </cfRule>
    <cfRule type="expression" dxfId="110" priority="337">
      <formula>COUNTIF($AB$145,"○*")</formula>
    </cfRule>
  </conditionalFormatting>
  <conditionalFormatting sqref="AR147">
    <cfRule type="expression" dxfId="109" priority="335">
      <formula>$AB$147="○ あり"</formula>
    </cfRule>
  </conditionalFormatting>
  <conditionalFormatting sqref="AR149">
    <cfRule type="expression" dxfId="108" priority="247">
      <formula>NOT($AB$149="○ あり")</formula>
    </cfRule>
    <cfRule type="expression" dxfId="107" priority="338">
      <formula>$AB$149="○ あり"</formula>
    </cfRule>
  </conditionalFormatting>
  <conditionalFormatting sqref="AR151">
    <cfRule type="expression" dxfId="106" priority="241">
      <formula>OR($AB$151="× なし",$AB$151="")</formula>
    </cfRule>
    <cfRule type="expression" dxfId="105" priority="333">
      <formula>OR($AB$151="○ (FE)",$AB$151="○ (DDI)")</formula>
    </cfRule>
  </conditionalFormatting>
  <conditionalFormatting sqref="AR153">
    <cfRule type="expression" dxfId="104" priority="175">
      <formula>NOT($AB$153="○ あり")</formula>
    </cfRule>
    <cfRule type="expression" dxfId="103" priority="330">
      <formula>$AB$153="○ あり"</formula>
    </cfRule>
  </conditionalFormatting>
  <conditionalFormatting sqref="AR157">
    <cfRule type="expression" dxfId="102" priority="172">
      <formula>NOT($AB$157="○ あり")</formula>
    </cfRule>
    <cfRule type="expression" dxfId="101" priority="328">
      <formula>$AB$157="○ あり"</formula>
    </cfRule>
  </conditionalFormatting>
  <conditionalFormatting sqref="AR159">
    <cfRule type="expression" dxfId="100" priority="157">
      <formula>$AB$159="× なし"</formula>
    </cfRule>
    <cfRule type="expression" dxfId="99" priority="155" stopIfTrue="1">
      <formula>$AB$159=""</formula>
    </cfRule>
    <cfRule type="expression" dxfId="98" priority="158">
      <formula>COUNTIF($AB$145,"*○*")=0</formula>
    </cfRule>
    <cfRule type="expression" dxfId="97" priority="311">
      <formula>COUNTIF($AB$145,"*GIGA*")</formula>
    </cfRule>
  </conditionalFormatting>
  <conditionalFormatting sqref="AR155:BE156">
    <cfRule type="expression" dxfId="96" priority="45">
      <formula>NOT($AB$155="○ あり")</formula>
    </cfRule>
    <cfRule type="expression" dxfId="95" priority="357">
      <formula>$AB$155="○ あり"</formula>
    </cfRule>
  </conditionalFormatting>
  <conditionalFormatting sqref="AR159:BE160">
    <cfRule type="notContainsBlanks" dxfId="94" priority="31" stopIfTrue="1">
      <formula>LEN(TRIM(AR159))&gt;0</formula>
    </cfRule>
  </conditionalFormatting>
  <conditionalFormatting sqref="AR145:BU158">
    <cfRule type="notContainsBlanks" dxfId="93" priority="44" stopIfTrue="1">
      <formula>LEN(TRIM(AR145))&gt;0</formula>
    </cfRule>
  </conditionalFormatting>
  <conditionalFormatting sqref="AZ88 AE88 CD88 CU88 W88:AD89">
    <cfRule type="expression" dxfId="92" priority="290">
      <formula>AND($D$88&lt;&gt;"",OR($R$88="新規",$R$88="追加"))</formula>
    </cfRule>
  </conditionalFormatting>
  <conditionalFormatting sqref="AZ88">
    <cfRule type="expression" dxfId="91" priority="218">
      <formula>$AE$88="なし"</formula>
    </cfRule>
  </conditionalFormatting>
  <conditionalFormatting sqref="AZ90 W90 AE90 CD90 CU90">
    <cfRule type="expression" dxfId="90" priority="255">
      <formula>AND($D$90&lt;&gt;"",OR($R$88="新規",$R$88="追加"))</formula>
    </cfRule>
  </conditionalFormatting>
  <conditionalFormatting sqref="AZ92 W92 AE92 CD92 CU92">
    <cfRule type="expression" dxfId="89" priority="256">
      <formula>AND($D$92&lt;&gt;"",OR($R$88="新規",$R$88="追加"))</formula>
    </cfRule>
  </conditionalFormatting>
  <conditionalFormatting sqref="AZ92">
    <cfRule type="expression" dxfId="88" priority="214">
      <formula>$AE$92="なし"</formula>
    </cfRule>
  </conditionalFormatting>
  <conditionalFormatting sqref="AZ94">
    <cfRule type="expression" dxfId="87" priority="211">
      <formula>$AE$94="なし"</formula>
    </cfRule>
  </conditionalFormatting>
  <conditionalFormatting sqref="AZ42:BF44">
    <cfRule type="expression" dxfId="86" priority="198">
      <formula>$AZ$42="はい"</formula>
    </cfRule>
    <cfRule type="expression" dxfId="85" priority="199">
      <formula>$AZ$42="いいえ"</formula>
    </cfRule>
  </conditionalFormatting>
  <conditionalFormatting sqref="AZ61:BF63">
    <cfRule type="expression" dxfId="84" priority="195">
      <formula>$AZ$61="いいえ"</formula>
    </cfRule>
    <cfRule type="expression" dxfId="83" priority="196">
      <formula>$AZ$61="はい"</formula>
    </cfRule>
  </conditionalFormatting>
  <conditionalFormatting sqref="AZ90:BL91">
    <cfRule type="expression" dxfId="82" priority="217">
      <formula>$AE$90="なし"</formula>
    </cfRule>
  </conditionalFormatting>
  <conditionalFormatting sqref="AZ96:BL97">
    <cfRule type="expression" dxfId="81" priority="210">
      <formula>$AE$96="なし"</formula>
    </cfRule>
  </conditionalFormatting>
  <conditionalFormatting sqref="BA164:BM165">
    <cfRule type="notContainsBlanks" dxfId="80" priority="30" stopIfTrue="1">
      <formula>LEN(TRIM(BA164))&gt;0</formula>
    </cfRule>
    <cfRule type="expression" dxfId="79" priority="289">
      <formula>AND($R$88&lt;&gt;"",COUNTIF($AB$145,"*○*")&gt;0)</formula>
    </cfRule>
  </conditionalFormatting>
  <conditionalFormatting sqref="BD4">
    <cfRule type="expression" dxfId="78" priority="329">
      <formula>OR($DE$32="",AND($DE$32="異なる",$DE$45=""))</formula>
    </cfRule>
  </conditionalFormatting>
  <conditionalFormatting sqref="BF145">
    <cfRule type="expression" dxfId="77" priority="19739">
      <formula>AND(COUNTIF($AB$157,"*○*"),OR(COUNTIF($AR$157,"*追加*"),COUNTIF($AR$157,"*更新*")))</formula>
    </cfRule>
    <cfRule type="expression" dxfId="76" priority="19734">
      <formula>AND(COUNTIF($AB$145,"*○*"),OR(COUNTIF($AR$145,"*追加*"),COUNTIF($AR$145,"*更新*"),COUNTIF($AR$145,"*移行*")))</formula>
    </cfRule>
    <cfRule type="expression" dxfId="75" priority="19735">
      <formula>AND(COUNTIF($AB$147,"*○*"),OR(COUNTIF($AR$147,"*追加*"),COUNTIF($AR$147,"*更新*")))</formula>
    </cfRule>
    <cfRule type="expression" dxfId="74" priority="19736">
      <formula>AND(COUNTIF($AB$149,"*○*"),OR(COUNTIF($AR$149,"*追加*"),COUNTIF($AR$149,"*更新*")))</formula>
    </cfRule>
    <cfRule type="expression" dxfId="73" priority="19737">
      <formula>AND(COUNTIF($AB$151,"*○*"),OR(COUNTIF($AR$151,"*追加*"),COUNTIF($AR$151,"*更新*")))</formula>
    </cfRule>
    <cfRule type="expression" dxfId="72" priority="19738">
      <formula>AND(COUNTIF($AB$153,"*○*"),OR(COUNTIF($AR$153,"*追加*"),COUNTIF($AR$153,"*更新*")))</formula>
    </cfRule>
  </conditionalFormatting>
  <conditionalFormatting sqref="BF161:BU162">
    <cfRule type="notContainsBlanks" dxfId="71" priority="67" stopIfTrue="1">
      <formula>LEN(TRIM(BF161))&gt;0</formula>
    </cfRule>
    <cfRule type="expression" dxfId="70" priority="68">
      <formula>$AB$161="継続（本体既存契約有）"</formula>
    </cfRule>
    <cfRule type="expression" dxfId="69" priority="69">
      <formula>NOT($AB$161="継続（本体既存契約有）")</formula>
    </cfRule>
  </conditionalFormatting>
  <conditionalFormatting sqref="BG130">
    <cfRule type="expression" dxfId="68" priority="92">
      <formula>$R$130="A表と異なる"</formula>
    </cfRule>
  </conditionalFormatting>
  <conditionalFormatting sqref="BG132">
    <cfRule type="expression" dxfId="67" priority="104">
      <formula>$R$132="A表と異なる"</formula>
    </cfRule>
  </conditionalFormatting>
  <conditionalFormatting sqref="BG126:BH127">
    <cfRule type="expression" dxfId="66" priority="260">
      <formula>$BI$126&lt;&gt;0</formula>
    </cfRule>
  </conditionalFormatting>
  <conditionalFormatting sqref="BG128:BH129">
    <cfRule type="expression" dxfId="65" priority="253">
      <formula>$R$128="A表と異なる"</formula>
    </cfRule>
  </conditionalFormatting>
  <conditionalFormatting sqref="BG134:BH135">
    <cfRule type="expression" dxfId="64" priority="203">
      <formula>$R$134="A表と異なる"</formula>
    </cfRule>
  </conditionalFormatting>
  <conditionalFormatting sqref="BI40 BN40 CK40 CP40 DA40 BI42 BN42 CK42 CP42">
    <cfRule type="expression" dxfId="63" priority="117">
      <formula>$DE$32="同じ"</formula>
    </cfRule>
  </conditionalFormatting>
  <conditionalFormatting sqref="BI60">
    <cfRule type="containsBlanks" dxfId="62" priority="124">
      <formula>LEN(TRIM(BI60))=0</formula>
    </cfRule>
  </conditionalFormatting>
  <conditionalFormatting sqref="BI58:DB61">
    <cfRule type="expression" dxfId="61" priority="120">
      <formula>$DE$41="同じ"</formula>
    </cfRule>
  </conditionalFormatting>
  <conditionalFormatting sqref="BI64:DB73">
    <cfRule type="notContainsBlanks" dxfId="60" priority="80">
      <formula>LEN(TRIM(BI64))&gt;0</formula>
    </cfRule>
  </conditionalFormatting>
  <conditionalFormatting sqref="BI34:DK43 BI45:DK56">
    <cfRule type="expression" dxfId="59" priority="106">
      <formula>$DE$32="同じ"</formula>
    </cfRule>
  </conditionalFormatting>
  <conditionalFormatting sqref="BI47:DK56">
    <cfRule type="expression" dxfId="58" priority="107">
      <formula>$DE$45="同じ"</formula>
    </cfRule>
  </conditionalFormatting>
  <conditionalFormatting sqref="BM88:CC89">
    <cfRule type="expression" dxfId="57" priority="9">
      <formula>AND($D$88&lt;&gt;"SPA_7000_M6",$D$88&lt;&gt;"SPA_15000_M6",$D$88&lt;&gt;"")</formula>
    </cfRule>
    <cfRule type="expression" dxfId="56" priority="235">
      <formula>AND(OR($D$88="SPA_7000_M6",$D$88="SPA_15000_M6"),OR($R$88="新規",$R$88="追加"))</formula>
    </cfRule>
  </conditionalFormatting>
  <conditionalFormatting sqref="BM90:CC91">
    <cfRule type="expression" dxfId="55" priority="7">
      <formula>AND($D$90&lt;&gt;"SPA_7000_M6",$D$90&lt;&gt;"SPA_15000_M6",$D$90&lt;&gt;"")</formula>
    </cfRule>
    <cfRule type="expression" dxfId="54" priority="219">
      <formula>AND(OR($D$90="SPA_7000_M6",$D$90="SPA_15000_M6"),OR($R$88="新規",$R$88="追加"))</formula>
    </cfRule>
  </conditionalFormatting>
  <conditionalFormatting sqref="BM92:CC93">
    <cfRule type="expression" dxfId="53" priority="5">
      <formula>AND($D$92&lt;&gt;"SPA_7000_M6",$D$92&lt;&gt;"SPA_15000_M6",$D$92&lt;&gt;"")</formula>
    </cfRule>
    <cfRule type="expression" dxfId="52" priority="216">
      <formula>AND(OR($D$92="SPA_7000_M6",$D$92="SPA_15000_M6"),OR($R$88="新規",$R$88="追加"))</formula>
    </cfRule>
  </conditionalFormatting>
  <conditionalFormatting sqref="BM94:CC95">
    <cfRule type="expression" dxfId="51" priority="3">
      <formula>AND($D$94&lt;&gt;"SPA_7000_M6",$D$94&lt;&gt;"SPA_15000_M6",$D$94&lt;&gt;"")</formula>
    </cfRule>
    <cfRule type="expression" dxfId="50" priority="215">
      <formula>AND(OR($D$94="SPA_7000_M6",$D$94="SPA_15000_M6"),OR($R$88="新規",$R$88="追加"))</formula>
    </cfRule>
  </conditionalFormatting>
  <conditionalFormatting sqref="BM96:CC97">
    <cfRule type="expression" dxfId="49" priority="1">
      <formula>AND($D$96&lt;&gt;"SPA_7000_M6",$D$96&lt;&gt;"SPA_15000_M6",$D$96&lt;&gt;"")</formula>
    </cfRule>
    <cfRule type="expression" dxfId="48" priority="213">
      <formula>AND(OR($D$96="SPA_7000_M6",$D$96="SPA_15000_M6"),OR($R$88="新規",$R$88="追加"))</formula>
    </cfRule>
  </conditionalFormatting>
  <conditionalFormatting sqref="BN34 DE32">
    <cfRule type="notContainsBlanks" dxfId="47" priority="141" stopIfTrue="1">
      <formula>LEN(TRIM(BN32))&gt;0</formula>
    </cfRule>
  </conditionalFormatting>
  <conditionalFormatting sqref="BN47 DE45">
    <cfRule type="notContainsBlanks" dxfId="46" priority="113" stopIfTrue="1">
      <formula>LEN(TRIM(BN45))&gt;0</formula>
    </cfRule>
  </conditionalFormatting>
  <conditionalFormatting sqref="BN40:CJ43 CP40:DK43">
    <cfRule type="notContainsBlanks" dxfId="45" priority="118" stopIfTrue="1">
      <formula>LEN(TRIM(BN40))&gt;0</formula>
    </cfRule>
  </conditionalFormatting>
  <conditionalFormatting sqref="BN53:CJ56 CP53:DK56">
    <cfRule type="notContainsBlanks" dxfId="44" priority="110" stopIfTrue="1">
      <formula>LEN(TRIM(BN53))&gt;0</formula>
    </cfRule>
  </conditionalFormatting>
  <conditionalFormatting sqref="BP107 BS107 BV107 BX107 CA107 CF107">
    <cfRule type="expression" dxfId="43" priority="208">
      <formula>$AG$107="更新"</formula>
    </cfRule>
  </conditionalFormatting>
  <conditionalFormatting sqref="BS107 BX107">
    <cfRule type="expression" dxfId="42" priority="305">
      <formula>$AG$107="初年度"</formula>
    </cfRule>
  </conditionalFormatting>
  <conditionalFormatting sqref="BT27 CK27">
    <cfRule type="notContainsBlanks" dxfId="41" priority="11" stopIfTrue="1">
      <formula>LEN(TRIM(BT27))&gt;0</formula>
    </cfRule>
  </conditionalFormatting>
  <conditionalFormatting sqref="BT36 CK36 DB36 BT38 CT38">
    <cfRule type="notContainsBlanks" dxfId="40" priority="119" stopIfTrue="1">
      <formula>LEN(TRIM(BT36))&gt;0</formula>
    </cfRule>
  </conditionalFormatting>
  <conditionalFormatting sqref="BT49 CK49 DB49 BT51 CT51">
    <cfRule type="notContainsBlanks" dxfId="39" priority="109" stopIfTrue="1">
      <formula>LEN(TRIM(BT49))&gt;0</formula>
    </cfRule>
  </conditionalFormatting>
  <conditionalFormatting sqref="BT164:CN165">
    <cfRule type="expression" dxfId="38" priority="79">
      <formula>$BA$164="はい/通知先記入"</formula>
    </cfRule>
    <cfRule type="notContainsBlanks" dxfId="37" priority="29" stopIfTrue="1">
      <formula>LEN(TRIM(BT164))&gt;0</formula>
    </cfRule>
    <cfRule type="expression" dxfId="36" priority="77">
      <formula>OR($BA$164="はい/お客様アドレス",$BA$164="いいえ")</formula>
    </cfRule>
  </conditionalFormatting>
  <conditionalFormatting sqref="BV145">
    <cfRule type="expression" dxfId="35" priority="19778">
      <formula>OR(COUNTIF($AR$145:$BE$156,"新規")&gt;0,COUNTIF($AR$145:$BE$156,"*追加*")&gt;0,COUNTIF($AR$145:$BE$156,"*減数*")&gt;0)</formula>
    </cfRule>
  </conditionalFormatting>
  <conditionalFormatting sqref="BV157">
    <cfRule type="expression" dxfId="34" priority="336">
      <formula>$AB$157="○ あり"</formula>
    </cfRule>
    <cfRule type="expression" dxfId="33" priority="171">
      <formula>OR($AB$157="× なし",$AR$157="更新",$AR$157="")</formula>
    </cfRule>
  </conditionalFormatting>
  <conditionalFormatting sqref="BV145:CA156 CB145:CD158 CH145:CJ158 CM145:CO158 AI177">
    <cfRule type="notContainsBlanks" dxfId="32" priority="303" stopIfTrue="1">
      <formula>LEN(TRIM(AI145))&gt;0</formula>
    </cfRule>
  </conditionalFormatting>
  <conditionalFormatting sqref="BV157:CA158">
    <cfRule type="notContainsBlanks" priority="26" stopIfTrue="1">
      <formula>LEN(TRIM(BV157))&gt;0</formula>
    </cfRule>
  </conditionalFormatting>
  <conditionalFormatting sqref="CB145">
    <cfRule type="expression" dxfId="31" priority="19733">
      <formula>OR(COUNTIF($AR$145:$BE$158,"新規")&gt;0,COUNTIF($AR$145:$BE$158,"*更新*")&gt;0)</formula>
    </cfRule>
  </conditionalFormatting>
  <conditionalFormatting sqref="CC107">
    <cfRule type="expression" dxfId="30" priority="227">
      <formula>$AG$107="初年度"</formula>
    </cfRule>
    <cfRule type="expression" dxfId="29" priority="168">
      <formula>$AG$107="更新"</formula>
    </cfRule>
  </conditionalFormatting>
  <conditionalFormatting sqref="CE145:CV158">
    <cfRule type="expression" dxfId="28" priority="19743">
      <formula>AND(COUNTIF($AB$151,"*○*"),OR(COUNTIF($AR$151,"*追加*"),COUNTIF($AR$151,"*更新*")))</formula>
    </cfRule>
    <cfRule type="expression" dxfId="27" priority="19744">
      <formula>AND(COUNTIF($AB$153,"*○*"),OR(COUNTIF($AR$153,"*追加*"),COUNTIF($AR$153,"*更新*")))</formula>
    </cfRule>
    <cfRule type="expression" dxfId="26" priority="19745">
      <formula>AND(COUNTIF($AB$157,"*○*"),OR(COUNTIF($AR$157,"*追加*"),COUNTIF($AR$157,"*更新*")))</formula>
    </cfRule>
    <cfRule type="expression" dxfId="25" priority="19746">
      <formula>AND($AB$145="× なし",$AB$147="× なし",$AB$149="× なし",$AB$151="× なし",$AB$153="× なし",$AB$157="× なし")</formula>
    </cfRule>
    <cfRule type="expression" dxfId="24" priority="19741">
      <formula>AND(COUNTIF($AB$147,"*○*"),OR(COUNTIF($AR$147,"*追加*"),COUNTIF($AR$147,"*更新*")))</formula>
    </cfRule>
    <cfRule type="expression" dxfId="23" priority="19740">
      <formula>AND(COUNTIF($AB$145,"*○*"),OR(COUNTIF($AR$145,"*追加*"),COUNTIF($AR$145,"*更新*"),COUNTIF($AR$145,"*移行*")))</formula>
    </cfRule>
    <cfRule type="expression" dxfId="22" priority="19742">
      <formula>AND(COUNTIF($AB$149,"*○*"),OR(COUNTIF($AR$149,"*追加*"),COUNTIF($AR$149,"*更新*")))</formula>
    </cfRule>
  </conditionalFormatting>
  <conditionalFormatting sqref="CF64">
    <cfRule type="expression" dxfId="21" priority="125">
      <formula>AND(BI64&lt;&gt;"",CF64="")</formula>
    </cfRule>
  </conditionalFormatting>
  <conditionalFormatting sqref="CF66">
    <cfRule type="expression" dxfId="20" priority="123">
      <formula>AND(BI66&lt;&gt;"",CF66="")</formula>
    </cfRule>
  </conditionalFormatting>
  <conditionalFormatting sqref="CF68">
    <cfRule type="expression" dxfId="19" priority="128">
      <formula>AND(BI68&lt;&gt;"",CF68="")</formula>
    </cfRule>
  </conditionalFormatting>
  <conditionalFormatting sqref="CF70">
    <cfRule type="expression" dxfId="18" priority="127">
      <formula>AND(BI70&lt;&gt;"",CF70="")</formula>
    </cfRule>
  </conditionalFormatting>
  <conditionalFormatting sqref="CF72">
    <cfRule type="expression" dxfId="17" priority="126">
      <formula>AND(BI72&lt;&gt;"",CF72="")</formula>
    </cfRule>
  </conditionalFormatting>
  <conditionalFormatting sqref="CH145:CJ158 CM145:CO158">
    <cfRule type="expression" dxfId="16" priority="19755">
      <formula>AND(COUNTIF($AB$147,"*○*"),$AR$147="新規")</formula>
    </cfRule>
    <cfRule type="expression" dxfId="15" priority="19756">
      <formula>AND(COUNTIF($AB$149,"*○*"),$AR$149="新規")</formula>
    </cfRule>
    <cfRule type="expression" dxfId="14" priority="19757">
      <formula>AND(COUNTIF($AB$151,"*○*"),$AR$151="新規")</formula>
    </cfRule>
    <cfRule type="expression" dxfId="13" priority="19758">
      <formula>AND(COUNTIF($AB$153,"*○*"),$AR$153="新規")</formula>
    </cfRule>
    <cfRule type="expression" dxfId="12" priority="19759">
      <formula>AND(COUNTIF($AB$157,"*○*"),$AR$157="新規")</formula>
    </cfRule>
    <cfRule type="expression" dxfId="11" priority="19754">
      <formula>AND(COUNTIF($AB$145,"*○*"),$AR$145="新規")</formula>
    </cfRule>
  </conditionalFormatting>
  <conditionalFormatting sqref="CH107:CL108">
    <cfRule type="expression" dxfId="10" priority="220">
      <formula>OR($D$107="SPA_1800",$D$107="SPA_3600",$D$107="SPA_6600",$D$107="SPA_13000",$D$107="SPA_1700",$D$107="SPA_3500",$D$107="SPA_6500",$D$107="SPA_12000",$D$107="MGR_1100",$D$107="MGR_3100",$D$107="MGR_1000",$D$107="MGR_3000")</formula>
    </cfRule>
  </conditionalFormatting>
  <conditionalFormatting sqref="CH109:CL110">
    <cfRule type="expression" dxfId="9" priority="167">
      <formula>OR($D$109="SPA_1800",$D$109="SPA_3600",$D$109="SPA_6600",$D$109="SPA_13000",$D$109="SPA_1700",$D$109="SPA_3500",$D$109="SPA_6500",$D$109="SPA_12000",$D$109="MGR_1100",$D$109="MGR_3100",$D$109="MGR_1000",$D$109="MGR_3000")</formula>
    </cfRule>
  </conditionalFormatting>
  <conditionalFormatting sqref="CH111:CL112">
    <cfRule type="expression" dxfId="8" priority="166">
      <formula>OR($D$111="SPA_1800",$D$111="SPA_3600",$D$111="SPA_6600",$D$111="SPA_13000",$D$111="SPA_1700",$D$111="SPA_3500",$D$111="SPA_6500",$D$111="SPA_12000",$D$111="MGR_1100",$D$111="MGR_3100",$D$111="MGR_1000",$D$111="MGR_3000")</formula>
    </cfRule>
  </conditionalFormatting>
  <conditionalFormatting sqref="CH113:CL114">
    <cfRule type="expression" dxfId="7" priority="165">
      <formula>OR($D$113="SPA_1800",$D$113="SPA_3600",$D$113="SPA_6600",$D$113="SPA_13000",$D$113="SPA_1700",$D$113="SPA_3500",$D$113="SPA_6500",$D$113="SPA_12000",$D$113="MGR_1100",$D$113="MGR_3100",$D$113="MGR_1000",$D$113="MGR_3000")</formula>
    </cfRule>
  </conditionalFormatting>
  <conditionalFormatting sqref="CH115:CL116">
    <cfRule type="expression" dxfId="6" priority="82">
      <formula>OR($D$115="SPA_1800",$D$115="SPA_3600",$D$115="SPA_6600",$D$115="SPA_13000",$D$115="SPA_1700",$D$115="SPA_3500",$D$115="SPA_6500",$D$115="SPA_12000",$D$115="MGR_1100",$D$115="MGR_3100",$D$115="MGR_1000",$D$115="MGR_3000")</formula>
    </cfRule>
  </conditionalFormatting>
  <conditionalFormatting sqref="CN25">
    <cfRule type="notContainsBlanks" dxfId="5" priority="130" stopIfTrue="1">
      <formula>LEN(TRIM(CN25))&gt;0</formula>
    </cfRule>
  </conditionalFormatting>
  <conditionalFormatting sqref="CT29">
    <cfRule type="notContainsBlanks" dxfId="4" priority="194" stopIfTrue="1">
      <formula>LEN(TRIM(CT29))&gt;0</formula>
    </cfRule>
  </conditionalFormatting>
  <conditionalFormatting sqref="CZ24 BN24:BN25 BX25 DB27 BT29">
    <cfRule type="notContainsBlanks" dxfId="3" priority="131" stopIfTrue="1">
      <formula>LEN(TRIM(BN24))&gt;0</formula>
    </cfRule>
  </conditionalFormatting>
  <conditionalFormatting sqref="CZ24:DK26">
    <cfRule type="expression" dxfId="2" priority="129" stopIfTrue="1">
      <formula>OR($CZ$24="文教",$CZ$24="官公庁／自治体",$CZ$24="その他公共",$CZ$24="企業")</formula>
    </cfRule>
  </conditionalFormatting>
  <conditionalFormatting sqref="DE20 BN31:CJ31 CP31:DK31">
    <cfRule type="notContainsBlanks" dxfId="1" priority="183" stopIfTrue="1">
      <formula>LEN(TRIM(BN20))&gt;0</formula>
    </cfRule>
  </conditionalFormatting>
  <dataValidations xWindow="756" yWindow="374" count="67">
    <dataValidation type="list" allowBlank="1" showInputMessage="1" showErrorMessage="1" sqref="L107:V116" xr:uid="{00000000-0002-0000-0B00-000000000000}">
      <formula1>IF(OR(COUNTIF(D107:D115,"*19*"),COUNTIF(D107:D115,"*37*"),COUNTIF(D107:D115,"*67*"),COUNTIF(D107:D115,"*14*"),COUNTIF(D107:D115,"*_2000*"),COUNTIF(D107:D115,"*40*"),COUNTIF(D107:D115,"*7000*"),COUNTIF(D107:D115,"*15*")),現モデル保守,V2モデル保守)</formula1>
    </dataValidation>
    <dataValidation type="list" allowBlank="1" showInputMessage="1" showErrorMessage="1" prompt="「子ども見守りシステム」を使用予定のお客様で_x000a_パトランプ（メル丸くん）を弊社から購入予定のお客様は_x000a_「○ あり」をご選択ください。" sqref="AR159:BE160" xr:uid="{00000000-0002-0000-0B00-000001000000}">
      <formula1>"○ あり,× なし"</formula1>
    </dataValidation>
    <dataValidation type="list" allowBlank="1" showInputMessage="1" showErrorMessage="1" prompt="「i-FILTER for D-SPA」 GIGAスクール版のお客様で_x000a_「子ども見守りシステム」(無償) を使用予定のお客様は_x000a_「有」をご選択ください。" sqref="AB159:AH160" xr:uid="{00000000-0002-0000-0B00-000002000000}">
      <formula1>"○ あり,× なし"</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BX25 Q31 Q50" xr:uid="{00000000-0002-0000-0B00-000003000000}">
      <formula1>AND(Q25=DBCS(Q25))</formula1>
    </dataValidation>
    <dataValidation type="list" imeMode="hiragana" allowBlank="1" showInputMessage="1" showErrorMessage="1" error="半角文字が入っている可能性があります。" sqref="CN25 AZ31 AZ50" xr:uid="{00000000-0002-0000-0B00-000004000000}">
      <formula1>法人格_後</formula1>
    </dataValidation>
    <dataValidation type="list" imeMode="hiragana" allowBlank="1" showInputMessage="1" showErrorMessage="1" error="半角文字が入っている可能性があります。" sqref="BN25 G31 G50" xr:uid="{00000000-0002-0000-0B00-000005000000}">
      <formula1>法人格_前</formula1>
    </dataValidation>
    <dataValidation type="custom" imeMode="disabled" allowBlank="1" showInputMessage="1" showErrorMessage="1" error="郵便番号形式でない可能性があります。" promptTitle="入力方法" prompt="半角数字でハイフンを入れて入力をしてください。" sqref="BI126:BM135" xr:uid="{00000000-0002-0000-0B00-000006000000}">
      <formula1>AND(COUNTIF(BI126,"*-*"),LEN(BI126)=LENB(BI126),LEN(BI126)=8)</formula1>
    </dataValidation>
    <dataValidation type="whole" imeMode="disabled" allowBlank="1" showInputMessage="1" showErrorMessage="1" sqref="P20:T21 CM145:CO158" xr:uid="{00000000-0002-0000-0B00-000007000000}">
      <formula1>1</formula1>
      <formula2>12</formula2>
    </dataValidation>
    <dataValidation type="whole" imeMode="disabled" allowBlank="1" showInputMessage="1" showErrorMessage="1" sqref="X20:AB21" xr:uid="{00000000-0002-0000-0B00-000008000000}">
      <formula1>1</formula1>
      <formula2>31</formula2>
    </dataValidation>
    <dataValidation imeMode="disabled" allowBlank="1" showInputMessage="1" showErrorMessage="1" sqref="CF64:DB65 BI60:CE61" xr:uid="{00000000-0002-0000-0B00-000009000000}"/>
    <dataValidation type="custom" imeMode="disabled" allowBlank="1" showInputMessage="1" showErrorMessage="1" promptTitle="入力方法" prompt="(例)03-1111-2222_x000a_のように半角数字で_x000a_ハイフンを入れて_x000a_入力してください" sqref="BN31:CJ31 G40:AA41 BN42:CJ43 BN55:CJ56 G59:AA60" xr:uid="{00000000-0002-0000-0B00-00000A000000}">
      <formula1>AND(COUNTIF(G31,"*-*"),LEN(G31)=LENB(G31),LEN(G31)&lt;14)</formula1>
    </dataValidation>
    <dataValidation type="custom" imeMode="disabled" allowBlank="1" showInputMessage="1" showErrorMessage="1" error="半角英数字で入力してください" sqref="BI60:DB61" xr:uid="{00000000-0002-0000-0B00-00000B000000}">
      <formula1>LENB(BI60)=LEN(BI60)</formula1>
    </dataValidation>
    <dataValidation type="custom" imeMode="on" allowBlank="1" showInputMessage="1" showErrorMessage="1" error="半角文字が入っている可能性があります。" promptTitle="入力方法" prompt="階数なども含めてすべて全角で入力してください。" sqref="CT51 CT29 CT38 AM35:BF36 AM54:BF55" xr:uid="{00000000-0002-0000-0B00-00000C000000}">
      <formula1>AND(AM29=DBCS(AM29))</formula1>
    </dataValidation>
    <dataValidation type="custom" imeMode="on" allowBlank="1" showInputMessage="1" showErrorMessage="1" error="半角文字が入っている可能性があります。" prompt="番地も含めてすべて全角で入力してください。" sqref="BT51:CM52 BT29:CM30 BT38:CM39 M35:AF36 M54:AF55" xr:uid="{00000000-0002-0000-0B00-00000D000000}">
      <formula1>AND(M29=DBCS(M29))</formula1>
    </dataValidation>
    <dataValidation type="custom" imeMode="on" allowBlank="1" showInputMessage="1" showErrorMessage="1" error="半角文字が入っている可能性があります。" prompt="全角文字で入力してください。" sqref="BN47 DB27 DB49 BN53:CJ54 BN34 BN40:CJ41 DB36 CP40:DK41 CP53:DK54 AU33:BF34 G37:AA39 AG38:BF39 AU52:BF53 G56:AA58 AG57:BF58" xr:uid="{00000000-0002-0000-0B00-00000E000000}">
      <formula1>AND(G27=DBCS(G27))</formula1>
    </dataValidation>
    <dataValidation type="list" allowBlank="1" showInputMessage="1" showErrorMessage="1" sqref="BI58:CE59 BI62:CE63" xr:uid="{00000000-0002-0000-0B00-00000F000000}">
      <formula1>"D-SPA"</formula1>
    </dataValidation>
    <dataValidation imeMode="disabled" allowBlank="1" showInputMessage="1" showErrorMessage="1" prompt="ご発注対象に対応するお見積番号をご入力ください。" sqref="CF64:DB65" xr:uid="{00000000-0002-0000-0B00-000010000000}"/>
    <dataValidation type="list" allowBlank="1" showInputMessage="1" showErrorMessage="1" sqref="DE32:DK33 DE45:DK46 DE20:DK21" xr:uid="{00000000-0002-0000-0B00-000011000000}">
      <formula1>"同じ,異なる"</formula1>
    </dataValidation>
    <dataValidation type="list" imeMode="on" allowBlank="1" showInputMessage="1" showErrorMessage="1" sqref="CK49:CU50 AD52:AN53 CK36:CU37 AD33:AN34 CK27:CU28" xr:uid="{00000000-0002-0000-0B00-000012000000}">
      <formula1>都道府県</formula1>
    </dataValidation>
    <dataValidation type="custom" imeMode="fullKatakana" allowBlank="1" showInputMessage="1" showErrorMessage="1" error="全角カナで入力してください" prompt="全角カタカナで入力してください。" sqref="BN24 G30 G49" xr:uid="{00000000-0002-0000-0B00-000013000000}">
      <formula1>AND(G24=DBCS(G24))</formula1>
    </dataValidation>
    <dataValidation type="custom" imeMode="fullKatakana" allowBlank="1" showInputMessage="1" showErrorMessage="1" error="全角カタカナで入力してください" prompt="全角カタカナで入力してください。" sqref="AG37:BF37 AG56:BF56" xr:uid="{00000000-0002-0000-0B00-000014000000}">
      <formula1>AND(AG37=DBCS(AG37))</formula1>
    </dataValidation>
    <dataValidation type="custom" imeMode="disabled" operator="equal" allowBlank="1" showInputMessage="1" showErrorMessage="1" promptTitle="入力方法" prompt="半角数字でハイフンを入れて入力をしてください。" sqref="BT49:CD50 M33:W34 M52:W53 BT36:CD37 BT27:CD28" xr:uid="{00000000-0002-0000-0B00-000015000000}">
      <formula1>AND(COUNTIF(M27,"*-*"),LEN(M27)=LENB(M27),LEN(M27)=8)</formula1>
    </dataValidation>
    <dataValidation type="list" imeMode="on" allowBlank="1" showInputMessage="1" showErrorMessage="1" sqref="AZ42:BF44 AZ61:BF63" xr:uid="{00000000-0002-0000-0B00-000016000000}">
      <formula1>"はい,いいえ"</formula1>
    </dataValidation>
    <dataValidation type="list" operator="greaterThanOrEqual" allowBlank="1" showInputMessage="1" showErrorMessage="1" sqref="R124:Y135" xr:uid="{00000000-0002-0000-0B00-000017000000}">
      <formula1>"A表に同じ,A表と異なる"</formula1>
    </dataValidation>
    <dataValidation type="whole" imeMode="disabled" operator="greaterThanOrEqual" allowBlank="1" showInputMessage="1" showErrorMessage="1" sqref="J20:L21 BS107:BU116 CH145:CJ158" xr:uid="{00000000-0002-0000-0B00-000018000000}">
      <formula1>20</formula1>
    </dataValidation>
    <dataValidation type="list" allowBlank="1" showInputMessage="1" showErrorMessage="1" sqref="CU94 CU86 CU88 CU90 CU92 CU96" xr:uid="{00000000-0002-0000-0B00-000019000000}">
      <formula1>ハードオプション_追加電源ケーブル</formula1>
    </dataValidation>
    <dataValidation imeMode="on" allowBlank="1" showInputMessage="1" showErrorMessage="1" sqref="Z132 BS124 BS126 CA126:DA135 Z130 BS128 BS130 BS134 Z126 BS132 Z134 Z128" xr:uid="{00000000-0002-0000-0B00-00001A000000}"/>
    <dataValidation type="list" imeMode="on" allowBlank="1" showInputMessage="1" showErrorMessage="1" sqref="BN124 BN132 BN130 BN128 BN134 BN126" xr:uid="{00000000-0002-0000-0B00-00001B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operator="greaterThanOrEqual" allowBlank="1" showInputMessage="1" showErrorMessage="1" sqref="BV143" xr:uid="{00000000-0002-0000-0B00-00001C000000}">
      <formula1>0</formula1>
    </dataValidation>
    <dataValidation type="list" allowBlank="1" showInputMessage="1" showErrorMessage="1" sqref="W96 W94 W86 W92 W90 W88" xr:uid="{00000000-0002-0000-0B00-00001D000000}">
      <formula1>"標準価格,複数台価格,乗換価格"</formula1>
    </dataValidation>
    <dataValidation type="list" operator="greaterThanOrEqual" allowBlank="1" showInputMessage="1" showErrorMessage="1" sqref="BJ107 CB145 CB143 BJ105" xr:uid="{00000000-0002-0000-0B00-00001E000000}">
      <formula1>"1年,2年,3年,4年,5年"</formula1>
    </dataValidation>
    <dataValidation type="list" allowBlank="1" showInputMessage="1" showErrorMessage="1" sqref="W105:AF116" xr:uid="{00000000-0002-0000-0B00-00001F000000}">
      <formula1>"スタンダード,コールドスタンバイ"</formula1>
    </dataValidation>
    <dataValidation imeMode="off" allowBlank="1" showInputMessage="1" showErrorMessage="1" sqref="AL109 AL107 AL113 AL111 AL115 CF58:DB59 CF66:DB71 CF62:DB63" xr:uid="{00000000-0002-0000-0B00-000020000000}"/>
    <dataValidation type="list" allowBlank="1" showInputMessage="1" showErrorMessage="1" sqref="D105:K106" xr:uid="{00000000-0002-0000-0B00-000021000000}">
      <formula1>旧_モデル名リスト</formula1>
    </dataValidation>
    <dataValidation type="list" allowBlank="1" showInputMessage="1" showErrorMessage="1" sqref="L105:V106" xr:uid="{00000000-0002-0000-0B00-000022000000}">
      <formula1>"Basic Plus, Silver Plus, Gold Plus"</formula1>
    </dataValidation>
    <dataValidation type="list" allowBlank="1" showInputMessage="1" showErrorMessage="1" sqref="CH107:CL116" xr:uid="{00000000-0002-0000-0B00-000023000000}">
      <formula1>"なし, あり"</formula1>
    </dataValidation>
    <dataValidation type="list" allowBlank="1" showInputMessage="1" showErrorMessage="1" sqref="AI147:AQ148" xr:uid="{00000000-0002-0000-0B00-000024000000}">
      <formula1>IF(COUNTIF($AB147,"*×*"),"",ソフトオプション_連携AV製品)</formula1>
    </dataValidation>
    <dataValidation type="list" allowBlank="1" showInputMessage="1" showErrorMessage="1" sqref="AC153:AH154 AB153:AB155 AB157:AH158 AB147:AH150" xr:uid="{00000000-0002-0000-0B00-000025000000}">
      <formula1>"○ あり,× なし"</formula1>
    </dataValidation>
    <dataValidation type="list" allowBlank="1" showInputMessage="1" showErrorMessage="1" sqref="AB151:AH152" xr:uid="{00000000-0002-0000-0B00-000026000000}">
      <formula1>"○ (FE),○ (DDI),× なし"</formula1>
    </dataValidation>
    <dataValidation type="list" allowBlank="1" showInputMessage="1" showErrorMessage="1" sqref="AB145:AH146" xr:uid="{00000000-0002-0000-0B00-000027000000}">
      <formula1>IF(OR(COUNTIF(D107:D115,"*19*"),COUNTIF(D107:D115,"*37*"),COUNTIF(D107:D115,"*67*"),COUNTIF(D107:D115,"*14*"),COUNTIF(D107:D115,"*_2000*"),COUNTIF(D107:D115,"*40*"),COUNTIF(D107:D115,"*7000*"),COUNTIF(D107:D115,"*15*")),現モデルiF,V2モデルiF)</formula1>
    </dataValidation>
    <dataValidation type="list" allowBlank="1" showInputMessage="1" showErrorMessage="1" sqref="R86:V87" xr:uid="{00000000-0002-0000-0B00-000028000000}">
      <formula1>"新規, 追加, 更新"</formula1>
    </dataValidation>
    <dataValidation type="custom" imeMode="disabled" allowBlank="1" showInputMessage="1" showErrorMessage="1" errorTitle="E-Mail形式ではありません。" error="「,」「..」「/」のいずれかが含まれるか、「＠」がありません。" sqref="CP31:DK31 CP42:DK43 CP55:DK56" xr:uid="{00000000-0002-0000-0B00-000029000000}">
      <formula1>COUNTIF(CP31,"*,*")+COUNTIF(CP31,"*..*")+COUNTIF(CP31,"*/*")+COUNTIF(CP31,"&lt;&gt;*@*")=0</formula1>
    </dataValidation>
    <dataValidation type="list" allowBlank="1" showInputMessage="1" showErrorMessage="1" sqref="AE86:AY97" xr:uid="{00000000-0002-0000-0B00-00002A000000}">
      <formula1>ハードオプション_HDD拡充オプション</formula1>
    </dataValidation>
    <dataValidation type="list" operator="greaterThanOrEqual" allowBlank="1" showInputMessage="1" showErrorMessage="1" sqref="CD86:CT97" xr:uid="{00000000-0002-0000-0B00-00002B000000}">
      <formula1>ハードオプション_電源冗長化オプション</formula1>
    </dataValidation>
    <dataValidation type="list" operator="greaterThanOrEqual" allowBlank="1" showInputMessage="1" showErrorMessage="1" sqref="BM86:CC87" xr:uid="{00000000-0002-0000-0B00-00002C000000}">
      <formula1>ハードオプション_追加ネットワーク・インターフェース</formula1>
    </dataValidation>
    <dataValidation type="list" allowBlank="1" showInputMessage="1" showErrorMessage="1" sqref="D86:Q87" xr:uid="{00000000-0002-0000-0B00-00002D000000}">
      <formula1>モデル名リスト</formula1>
    </dataValidation>
    <dataValidation type="list" allowBlank="1" showInputMessage="1" showErrorMessage="1" sqref="AH105:AK106 AG105:AG107" xr:uid="{00000000-0002-0000-0B00-00002E000000}">
      <formula1>"初年度,更新"</formula1>
    </dataValidation>
    <dataValidation type="list" allowBlank="1" showInputMessage="1" showErrorMessage="1" sqref="AZ86:BL89" xr:uid="{00000000-0002-0000-0B00-00002F000000}">
      <formula1>IF($AE$88="なし","",ハードオプション_HDD拡充利用用途)</formula1>
    </dataValidation>
    <dataValidation type="list" allowBlank="1" showInputMessage="1" showErrorMessage="1" sqref="AZ90:BL91" xr:uid="{00000000-0002-0000-0B00-000030000000}">
      <formula1>IF($AE$90="なし","",ハードオプション_HDD拡充利用用途)</formula1>
    </dataValidation>
    <dataValidation type="list" allowBlank="1" showInputMessage="1" showErrorMessage="1" sqref="AZ92:BL93" xr:uid="{00000000-0002-0000-0B00-000031000000}">
      <formula1>IF($AE$92="なし","",ハードオプション_HDD拡充利用用途)</formula1>
    </dataValidation>
    <dataValidation type="list" allowBlank="1" showInputMessage="1" showErrorMessage="1" sqref="AZ94:BL95" xr:uid="{00000000-0002-0000-0B00-000032000000}">
      <formula1>IF($AE$94="なし","",ハードオプション_HDD拡充利用用途)</formula1>
    </dataValidation>
    <dataValidation type="list" allowBlank="1" showInputMessage="1" showErrorMessage="1" sqref="AZ96:BL97" xr:uid="{00000000-0002-0000-0B00-000033000000}">
      <formula1>IF($AE$96="なし","",ハードオプション_HDD拡充利用用途)</formula1>
    </dataValidation>
    <dataValidation type="list" allowBlank="1" showInputMessage="1" showErrorMessage="1" sqref="AR143 AR157 AR149 AR151 AR153:BE154 AR147:BE148" xr:uid="{00000000-0002-0000-0B00-000034000000}">
      <formula1>IF(COUNTIF($AB143,"*×*"),"",ソフトオプション区分)</formula1>
    </dataValidation>
    <dataValidation type="list" allowBlank="1" showInputMessage="1" showErrorMessage="1" prompt="業種を選択しても入力欄が赤い表示のままの場合は、大カテゴリの業種を選択している可能性があります。小カテゴリの業種から再度選択ください。" sqref="CZ24:DK26" xr:uid="{00000000-0002-0000-0B00-000035000000}">
      <formula1>業種</formula1>
    </dataValidation>
    <dataValidation type="list" allowBlank="1" showInputMessage="1" showErrorMessage="1" sqref="AR145:BE146" xr:uid="{00000000-0002-0000-0B00-000036000000}">
      <formula1>IF(COUNTIF($AB145,"*×*"),"",IF(COUNTIF($AB145,"*GIGA*"),ソフトオプション区分_GIGA,ソフトオプション区分))</formula1>
    </dataValidation>
    <dataValidation type="custom" imeMode="disabled" allowBlank="1" showInputMessage="1" showErrorMessage="1" errorTitle="E-Mail形式ではありません。" error="「,」「..」「/」「;」「:」「&lt;」「&gt;」のいずれかが含まれるか、「＠」がありません。" sqref="G25:AD26 AJ25:BG26 AG40:BF41 AG59:BF60" xr:uid="{00000000-0002-0000-0B00-000037000000}">
      <formula1>COUNTIF(G25,"*,*")+COUNTIF(G25,"*..*")+COUNTIF(G25,"*&lt;*")+COUNTIF(G25,"*&gt;*")+COUNTIF(G25,"*;*")+COUNTIF(G25,"*:*")+COUNTIF(G25,"*/*")+COUNTIF(G25,"&lt;&gt;*@*")=0</formula1>
    </dataValidation>
    <dataValidation type="whole" imeMode="disabled" operator="greaterThanOrEqual" allowBlank="1" showInputMessage="1" showErrorMessage="1" prompt="「追加」のときは追加後の合計ライセンス数を入力してください" sqref="BV145" xr:uid="{00000000-0002-0000-0B00-000038000000}">
      <formula1>0</formula1>
    </dataValidation>
    <dataValidation imeMode="disabled" allowBlank="1" showInputMessage="1" showErrorMessage="1" prompt="「追加」のときは追加後の合計ライセンス数を入力してください" sqref="BV157:CA158" xr:uid="{00000000-0002-0000-0B00-000039000000}"/>
    <dataValidation type="list" allowBlank="1" showInputMessage="1" showErrorMessage="1" prompt="ご発注対象製品をプルダウンよりご選択ください。" sqref="BI64:CE73" xr:uid="{00000000-0002-0000-0B00-00003A000000}">
      <formula1>"D-SPA,D-SPAソフトウェアオプション"</formula1>
    </dataValidation>
    <dataValidation type="custom" allowBlank="1" showInputMessage="1" showErrorMessage="1" errorTitle="E-Mail形式ではないか、文字数がオーバーしています。" error="「,」「..」「/」「;」「:」「&lt;」「&gt;」のいずれかが含まれるか、「＠」がありません。_x000a_もしくは入力されたアドレスの文字数が65文字以上になっています。" sqref="BT164:CN165" xr:uid="{00000000-0002-0000-0B00-00003B000000}">
      <formula1>AND(COUNTIF(BT164,"*,*")+COUNTIF(BT164,"*..*")+COUNTIF(BT164,"*&lt;*")+COUNTIF(BT164,"*&gt;*")+COUNTIF(BT164,"*;*")+COUNTIF(BT164,"*:*")+COUNTIF(BT164,"*/*")+COUNTIF(BT164,"&lt;&gt;*@*")=0,LEN(BT164)&lt;65)</formula1>
    </dataValidation>
    <dataValidation type="list" allowBlank="1" showInputMessage="1" showErrorMessage="1" promptTitle="Dアラート通知先について" prompt="【Dアラート通知を希望する場合】_x000a_・「はい/お客様アドレス」を選択した場合_x000a_お客様が入力した「お客様E-mail」宛に通知されます。_x000a_・「はい/通知先記入」を選択した場合_x000a_「Dアラート通知先」に登録されたアドレス宛に通知されます。_x000a__x000a_【Dアラート通知が不要な場合】_x000a_・「いいえ」を選択してください。" sqref="BA164:BM165" xr:uid="{00000000-0002-0000-0B00-00003C000000}">
      <formula1>"はい/お客様アドレス,はい/通知先記入,いいえ"</formula1>
    </dataValidation>
    <dataValidation type="list" allowBlank="1" showInputMessage="1" showErrorMessage="1" sqref="AB161:AH162" xr:uid="{00000000-0002-0000-0B00-00003D000000}">
      <formula1>"新規（本体新規購入）,継続（本体既存契約有）"</formula1>
    </dataValidation>
    <dataValidation type="list" allowBlank="1" showInputMessage="1" showErrorMessage="1" sqref="AR155:BE156" xr:uid="{00000000-0002-0000-0B00-00003E000000}">
      <formula1>IF(COUNTIF($AB153,"*×*"),"",ソフトオプション区分)</formula1>
    </dataValidation>
    <dataValidation imeMode="halfAlpha" allowBlank="1" showInputMessage="1" showErrorMessage="1" sqref="CA107:CB116" xr:uid="{00000000-0002-0000-0B00-00003F000000}"/>
    <dataValidation type="whole" imeMode="disabled" allowBlank="1" showInputMessage="1" showErrorMessage="1" prompt="半角数字で入力してください" sqref="BX107:BZ116" xr:uid="{00000000-0002-0000-0B00-000040000000}">
      <formula1>1</formula1>
      <formula2>12</formula2>
    </dataValidation>
    <dataValidation type="list" allowBlank="1" showInputMessage="1" showErrorMessage="1" sqref="D88:Q97" xr:uid="{00000000-0002-0000-0B00-000041000000}">
      <formula1>モデル名_202302</formula1>
    </dataValidation>
    <dataValidation type="list" allowBlank="1" showInputMessage="1" showErrorMessage="1" sqref="BM88:CC97" xr:uid="{D0CDF814-F0E1-4C73-B865-429375BDC275}">
      <formula1>追加ネットワーク・インターフェース・オプション</formula1>
    </dataValidation>
  </dataValidations>
  <hyperlinks>
    <hyperlink ref="J165:X165" r:id="rId1" display="https://www.daj.jp/bs/d-alert/" xr:uid="{00000000-0004-0000-0B00-000000000000}"/>
    <hyperlink ref="B170" r:id="rId2" xr:uid="{6924C22A-1CA7-4054-AB8D-DCC0E558F098}"/>
  </hyperlinks>
  <printOptions horizontalCentered="1"/>
  <pageMargins left="0.11811023622047245" right="0.11811023622047245" top="0.39370078740157483" bottom="0.19685039370078741" header="0.11811023622047245" footer="0.11811023622047245"/>
  <pageSetup paperSize="9" scale="68" orientation="portrait" horizontalDpi="300" verticalDpi="300" r:id="rId3"/>
  <headerFooter>
    <oddFooter>&amp;LDigital Arts Inc.&amp;C&amp;P ページ&amp;R&amp;D</oddFooter>
  </headerFooter>
  <rowBreaks count="1" manualBreakCount="1">
    <brk id="171" max="16383" man="1"/>
  </rowBreaks>
  <drawing r:id="rId4"/>
  <extLst>
    <ext xmlns:x14="http://schemas.microsoft.com/office/spreadsheetml/2009/9/main" uri="{CCE6A557-97BC-4b89-ADB6-D9C93CAAB3DF}">
      <x14:dataValidations xmlns:xm="http://schemas.microsoft.com/office/excel/2006/main" xWindow="756" yWindow="374" count="1">
        <x14:dataValidation type="list" allowBlank="1" showInputMessage="1" showErrorMessage="1" xr:uid="{00000000-0002-0000-0B00-000042000000}">
          <x14:formula1>
            <xm:f>_xlfn.IFS(中間データDSPA!H54="最新モデル区分",最新モデル区分,中間データDSPA!H54="旧モデル区分②",旧モデル区分②,中間データDSPA!H54="旧モデル区分",旧モデル区分)</xm:f>
          </x14:formula1>
          <xm:sqref>R88:V97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2:BB267"/>
  <sheetViews>
    <sheetView topLeftCell="O168" workbookViewId="0">
      <selection activeCell="A246" sqref="A246:XFD246"/>
    </sheetView>
  </sheetViews>
  <sheetFormatPr defaultColWidth="9" defaultRowHeight="15"/>
  <cols>
    <col min="1" max="1" width="8" style="279" bestFit="1" customWidth="1"/>
    <col min="2" max="2" width="14.453125" style="279" bestFit="1" customWidth="1"/>
    <col min="3" max="3" width="20" style="279" bestFit="1" customWidth="1"/>
    <col min="4" max="4" width="14.6328125" style="279" bestFit="1" customWidth="1"/>
    <col min="5" max="5" width="14.36328125" style="279" bestFit="1" customWidth="1"/>
    <col min="6" max="6" width="12.7265625" style="279" bestFit="1" customWidth="1"/>
    <col min="7" max="7" width="11.90625" style="279" bestFit="1" customWidth="1"/>
    <col min="8" max="8" width="26.453125" style="279" bestFit="1" customWidth="1"/>
    <col min="9" max="9" width="30" style="279" bestFit="1" customWidth="1"/>
    <col min="10" max="10" width="26.90625" style="279" bestFit="1" customWidth="1"/>
    <col min="11" max="11" width="24.08984375" style="279" customWidth="1"/>
    <col min="12" max="12" width="12.36328125" style="279" bestFit="1" customWidth="1"/>
    <col min="13" max="13" width="15.7265625" style="279" customWidth="1"/>
    <col min="14" max="14" width="12.90625" style="279" bestFit="1" customWidth="1"/>
    <col min="15" max="15" width="29.36328125" style="279" bestFit="1" customWidth="1"/>
    <col min="16" max="16" width="20.453125" style="279" bestFit="1" customWidth="1"/>
    <col min="17" max="17" width="83.08984375" style="279" customWidth="1"/>
    <col min="18" max="18" width="40.08984375" style="279" customWidth="1"/>
    <col min="19" max="20" width="24.90625" style="279" bestFit="1" customWidth="1"/>
    <col min="21" max="21" width="18" style="279" bestFit="1" customWidth="1"/>
    <col min="22" max="22" width="26.08984375" style="279" customWidth="1"/>
    <col min="23" max="24" width="15.90625" style="279" customWidth="1"/>
    <col min="25" max="25" width="48.453125" style="279" bestFit="1" customWidth="1"/>
    <col min="26" max="30" width="9" style="279"/>
    <col min="31" max="31" width="10.6328125" style="279" bestFit="1" customWidth="1"/>
    <col min="32" max="32" width="13.36328125" style="279" customWidth="1"/>
    <col min="33" max="36" width="15.7265625" style="279" customWidth="1"/>
    <col min="37" max="37" width="18.08984375" style="279" customWidth="1"/>
    <col min="38" max="38" width="10.453125" style="279" bestFit="1" customWidth="1"/>
    <col min="39" max="46" width="9" style="279"/>
    <col min="47" max="47" width="14.26953125" style="279" bestFit="1" customWidth="1"/>
    <col min="48" max="50" width="9" style="279"/>
    <col min="51" max="51" width="9" style="279" customWidth="1"/>
    <col min="52" max="56" width="9" style="279"/>
    <col min="57" max="59" width="9" style="279" customWidth="1"/>
    <col min="60" max="16384" width="9" style="279"/>
  </cols>
  <sheetData>
    <row r="2" spans="1:54">
      <c r="A2" s="285" t="s">
        <v>613</v>
      </c>
      <c r="B2" s="285" t="s">
        <v>634</v>
      </c>
      <c r="C2" s="285" t="s">
        <v>620</v>
      </c>
      <c r="D2" s="285" t="s">
        <v>621</v>
      </c>
      <c r="E2" s="285" t="s">
        <v>622</v>
      </c>
      <c r="F2" s="285" t="s">
        <v>614</v>
      </c>
      <c r="G2" s="285" t="s">
        <v>623</v>
      </c>
      <c r="H2" s="285" t="s">
        <v>624</v>
      </c>
      <c r="I2" s="285" t="s">
        <v>625</v>
      </c>
      <c r="J2" s="285" t="s">
        <v>626</v>
      </c>
      <c r="K2" s="285" t="s">
        <v>1310</v>
      </c>
      <c r="L2" s="285" t="s">
        <v>628</v>
      </c>
      <c r="M2" s="285" t="s">
        <v>629</v>
      </c>
      <c r="N2" s="285" t="s">
        <v>630</v>
      </c>
      <c r="O2" s="285" t="s">
        <v>631</v>
      </c>
      <c r="P2" s="285" t="s">
        <v>632</v>
      </c>
      <c r="Q2" s="285" t="s">
        <v>633</v>
      </c>
      <c r="R2" s="285" t="s">
        <v>1116</v>
      </c>
      <c r="S2" s="285" t="s">
        <v>738</v>
      </c>
      <c r="T2" s="285" t="s">
        <v>739</v>
      </c>
      <c r="U2" s="285" t="s">
        <v>699</v>
      </c>
      <c r="V2" s="285" t="s">
        <v>740</v>
      </c>
      <c r="W2" s="285" t="s">
        <v>823</v>
      </c>
      <c r="X2" s="285" t="s">
        <v>880</v>
      </c>
      <c r="Y2" s="285" t="s">
        <v>1118</v>
      </c>
      <c r="Z2" s="285" t="s">
        <v>1119</v>
      </c>
      <c r="AA2" s="285" t="s">
        <v>1120</v>
      </c>
      <c r="AB2" s="285" t="s">
        <v>1121</v>
      </c>
      <c r="AC2" s="285" t="s">
        <v>1122</v>
      </c>
      <c r="AD2" s="285" t="s">
        <v>1123</v>
      </c>
      <c r="AE2" s="285" t="s">
        <v>737</v>
      </c>
      <c r="AF2" s="285" t="s">
        <v>741</v>
      </c>
      <c r="AG2" s="285" t="s">
        <v>745</v>
      </c>
      <c r="AH2" s="285" t="s">
        <v>746</v>
      </c>
      <c r="AI2" s="285" t="s">
        <v>748</v>
      </c>
      <c r="AJ2" s="285" t="s">
        <v>747</v>
      </c>
      <c r="AK2" s="285" t="s">
        <v>1096</v>
      </c>
      <c r="AL2" s="285" t="s">
        <v>1140</v>
      </c>
      <c r="AM2" s="285" t="s">
        <v>1141</v>
      </c>
      <c r="AN2" s="285" t="s">
        <v>1142</v>
      </c>
      <c r="AO2" s="285" t="s">
        <v>1143</v>
      </c>
      <c r="AP2" s="285" t="s">
        <v>1144</v>
      </c>
      <c r="AQ2" s="285" t="s">
        <v>1145</v>
      </c>
      <c r="AR2" s="285" t="s">
        <v>1146</v>
      </c>
      <c r="AS2" s="285" t="s">
        <v>1147</v>
      </c>
      <c r="AT2" s="285" t="s">
        <v>1176</v>
      </c>
      <c r="AU2" s="285" t="s">
        <v>1247</v>
      </c>
      <c r="AV2" s="285" t="s">
        <v>1290</v>
      </c>
      <c r="AW2" s="285" t="s">
        <v>1291</v>
      </c>
      <c r="AX2" s="285" t="s">
        <v>1294</v>
      </c>
      <c r="AY2" s="285" t="s">
        <v>1295</v>
      </c>
      <c r="AZ2" s="285" t="s">
        <v>1372</v>
      </c>
      <c r="BA2" s="285" t="s">
        <v>1373</v>
      </c>
      <c r="BB2" s="285" t="s">
        <v>1481</v>
      </c>
    </row>
    <row r="3" spans="1:54">
      <c r="A3" s="285" t="s">
        <v>615</v>
      </c>
      <c r="B3" s="278" t="str">
        <f>IF(AND(お客様情報!$E$2="通常オンプレ",COUNTIF(お客様情報!$R$5:$R$9,"i‐FILTER1")&gt;0),2,"")</f>
        <v/>
      </c>
      <c r="C3" s="278" t="str">
        <f>IFERROR(VLOOKUP("i‐FILTER"&amp;1,お客様情報!$R$5:$U$9,4,FALSE),"")</f>
        <v/>
      </c>
      <c r="D3" s="286" t="str">
        <f>IF(入力フォームiF・mF・FC・iFBC・MA!BH72&lt;&gt;"",入力フォームiF・mF・FC・iFBC・MA!BH72,"")</f>
        <v/>
      </c>
      <c r="E3" s="278" t="str">
        <f>IF(入力フォームiF・mF・FC・iFBC・MA!BP72&lt;&gt;"",入力フォームiF・mF・FC・iFBC・MA!BP72,"")</f>
        <v/>
      </c>
      <c r="F3" s="278" t="str">
        <f>IF(OR(入力フォームiF・mF・FC・iFBC・MA!AL72="新規",入力フォームiF・mF・FC・iFBC・MA!AL72="乗換"),TEXT(中間データオンプレ!F15,"YYYY-MM-DD"),"")</f>
        <v/>
      </c>
      <c r="G3" s="278" t="str">
        <f>LEFT(入力フォームiF・mF・FC・iFBC・MA!BU72,1)</f>
        <v/>
      </c>
      <c r="H3" s="314"/>
      <c r="I3" s="314"/>
      <c r="J3" s="556" t="str">
        <f>IF(入力フォームiF・mF・FC・iFBC・MA!AX83="はい/お客様アドレス",入力フォームiF・mF・FC・iFBC・MA!AG40,IF(入力フォームiF・mF・FC・iFBC・MA!AX83="はい/通知先記入",入力フォームiF・mF・FC・iFBC・MA!BQ83,""))</f>
        <v/>
      </c>
      <c r="K3" s="556" t="str">
        <f>IF(入力フォームiF・mF・FC・iFBC・MA!AX85="はい/お客様アドレス",入力フォームiF・mF・FC・iFBC・MA!AG40,IF(入力フォームiF・mF・FC・iFBC・MA!AX85="はい/通知先記入",入力フォームiF・mF・FC・iFBC・MA!BQ85,""))</f>
        <v/>
      </c>
      <c r="L3" s="314"/>
      <c r="M3" s="278" t="str">
        <f>IF(OR(入力フォームiF・mF・FC・iFBC・MA!AL72="バージョンアップ",入力フォームiF・mF・FC・iFBC・MA!AL72="更新(バージョンアップ同時)",入力フォームiF・mF・FC・iFBC・MA!AL72="追加(バージョンアップ同時)",入力フォームiF・mF・FC・iFBC・MA!AL72="追加(更新・バージョンアップ同時)",入力フォームiF・mF・FC・iFBC・MA!CT72=""),"",入力フォームiF・mF・FC・iFBC・MA!CT72)</f>
        <v/>
      </c>
      <c r="N3" s="314"/>
      <c r="O3" s="314"/>
      <c r="P3" s="314"/>
      <c r="Q3" s="314"/>
      <c r="R3" s="314"/>
      <c r="S3" s="278" t="e">
        <f>IF(お客様情報!$N$64="","",お客様情報!$N$64)</f>
        <v>#N/A</v>
      </c>
      <c r="T3" s="278" t="e">
        <f>IF(お客様情報!$N$65="","",お客様情報!$N$65)</f>
        <v>#N/A</v>
      </c>
      <c r="U3" s="278" t="str">
        <f>IF(入力フォームiF・mF・FC・iFBC・MA!W76="有",入力フォームiF・mF・FC・iFBC・MA!AB76,"")</f>
        <v/>
      </c>
      <c r="V3" s="278" t="str">
        <f>IF(LEFT(入力フォームiF・mF・FC・iFBC・MA!AQ76,1)="有",MID(入力フォームiF・mF・FC・iFBC・MA!AQ76,3,3),"")</f>
        <v/>
      </c>
      <c r="W3" s="278" t="str">
        <f>IF(入力フォームiF・mF・FC・iFBC・MA!BR76="有","子ども見守り","")</f>
        <v/>
      </c>
      <c r="X3" s="278"/>
      <c r="Y3" s="314"/>
      <c r="Z3" s="314"/>
      <c r="AA3" s="314"/>
      <c r="AB3" s="314"/>
      <c r="AC3" s="314"/>
      <c r="AD3" s="314"/>
      <c r="AE3" s="278" t="str">
        <f>IF(OR(入力フォームiF・mF・FC・iFBC・MA!AL72="バージョンアップ",入力フォームiF・mF・FC・iFBC・MA!AL72="更新(バージョンアップ同時)",入力フォームiF・mF・FC・iFBC・MA!AL72="追加(バージョンアップ同時)",入力フォームiF・mF・FC・iFBC・MA!AL72="追加(更新・バージョンアップ同時)",入力フォームiF・mF・FC・iFBC・MA!AL72="エディション移行，バージョンアップ",入力フォームiF・mF・FC・iFBC・MA!AL72="更新(エディション移行，バージョンアップ同時)",入力フォームiF・mF・FC・iFBC・MA!AL72="追加(エディション移行，バージョンアップ同時)",入力フォームiF・mF・FC・iFBC・MA!AL72="追加(更新・エディション移行，バージョンアップ同時)"),入力フォームiF・mF・FC・iFBC・MA!CT72,"")</f>
        <v/>
      </c>
      <c r="AF3" s="314"/>
      <c r="AG3" s="314"/>
      <c r="AH3" s="314"/>
      <c r="AI3" s="278" t="str">
        <f>IF(入力フォームiF・mF・FC・iFBC・MA!H76="有",入力フォームiF・mF・FC・iFBC・MA!N76,"")</f>
        <v/>
      </c>
      <c r="AJ3" s="314"/>
      <c r="AK3" s="314"/>
      <c r="AL3" s="314"/>
      <c r="AM3" s="314"/>
      <c r="AN3" s="314"/>
      <c r="AO3" s="314"/>
      <c r="AP3" s="314"/>
      <c r="AQ3" s="314"/>
      <c r="AR3" s="314"/>
      <c r="AS3" s="314"/>
      <c r="AT3" s="314"/>
      <c r="AU3" s="314"/>
      <c r="AV3" s="314"/>
      <c r="AW3" s="314"/>
      <c r="AX3" s="314"/>
      <c r="AY3" s="314"/>
      <c r="AZ3" s="314"/>
      <c r="BA3" s="314"/>
      <c r="BB3" s="314"/>
    </row>
    <row r="4" spans="1:54">
      <c r="A4" s="285" t="s">
        <v>586</v>
      </c>
      <c r="B4" s="285" t="s">
        <v>634</v>
      </c>
      <c r="C4" s="285" t="s">
        <v>620</v>
      </c>
      <c r="D4" s="285" t="s">
        <v>621</v>
      </c>
      <c r="E4" s="285" t="s">
        <v>622</v>
      </c>
      <c r="F4" s="285" t="s">
        <v>614</v>
      </c>
      <c r="G4" s="285" t="s">
        <v>623</v>
      </c>
      <c r="H4" s="285" t="s">
        <v>624</v>
      </c>
      <c r="I4" s="285" t="s">
        <v>625</v>
      </c>
      <c r="J4" s="285" t="s">
        <v>626</v>
      </c>
      <c r="K4" s="285" t="s">
        <v>627</v>
      </c>
      <c r="L4" s="285" t="s">
        <v>628</v>
      </c>
      <c r="M4" s="285" t="s">
        <v>629</v>
      </c>
      <c r="N4" s="285" t="s">
        <v>630</v>
      </c>
      <c r="O4" s="285" t="s">
        <v>631</v>
      </c>
      <c r="P4" s="285" t="s">
        <v>632</v>
      </c>
      <c r="Q4" s="285" t="s">
        <v>633</v>
      </c>
      <c r="R4" s="285" t="s">
        <v>1116</v>
      </c>
      <c r="S4" s="285" t="s">
        <v>738</v>
      </c>
      <c r="T4" s="285" t="s">
        <v>739</v>
      </c>
      <c r="U4" s="285" t="s">
        <v>699</v>
      </c>
      <c r="V4" s="285" t="s">
        <v>740</v>
      </c>
      <c r="W4" s="285" t="s">
        <v>823</v>
      </c>
      <c r="X4" s="285" t="s">
        <v>880</v>
      </c>
      <c r="Y4" s="285" t="s">
        <v>1118</v>
      </c>
      <c r="Z4" s="285" t="s">
        <v>1119</v>
      </c>
      <c r="AA4" s="285" t="s">
        <v>1120</v>
      </c>
      <c r="AB4" s="285" t="s">
        <v>1121</v>
      </c>
      <c r="AC4" s="285" t="s">
        <v>1122</v>
      </c>
      <c r="AD4" s="285" t="s">
        <v>1123</v>
      </c>
      <c r="AE4" s="285" t="s">
        <v>737</v>
      </c>
      <c r="AF4" s="285" t="s">
        <v>741</v>
      </c>
      <c r="AG4" s="285" t="s">
        <v>745</v>
      </c>
      <c r="AH4" s="285" t="s">
        <v>746</v>
      </c>
      <c r="AI4" s="285" t="s">
        <v>748</v>
      </c>
      <c r="AJ4" s="285" t="s">
        <v>747</v>
      </c>
      <c r="AK4" s="285" t="s">
        <v>1096</v>
      </c>
      <c r="AL4" s="285" t="s">
        <v>1140</v>
      </c>
      <c r="AM4" s="285" t="s">
        <v>1141</v>
      </c>
      <c r="AN4" s="285" t="s">
        <v>1142</v>
      </c>
      <c r="AO4" s="285" t="s">
        <v>1143</v>
      </c>
      <c r="AP4" s="285" t="s">
        <v>1144</v>
      </c>
      <c r="AQ4" s="285" t="s">
        <v>1145</v>
      </c>
      <c r="AR4" s="285" t="s">
        <v>1146</v>
      </c>
      <c r="AS4" s="285" t="s">
        <v>1147</v>
      </c>
      <c r="AT4" s="285" t="s">
        <v>1176</v>
      </c>
      <c r="AU4" s="285" t="s">
        <v>1247</v>
      </c>
      <c r="AV4" s="285" t="s">
        <v>1290</v>
      </c>
      <c r="AW4" s="285" t="s">
        <v>1291</v>
      </c>
      <c r="AX4" s="285" t="s">
        <v>1294</v>
      </c>
      <c r="AY4" s="285" t="s">
        <v>1295</v>
      </c>
      <c r="AZ4" s="285" t="s">
        <v>1372</v>
      </c>
      <c r="BA4" s="285" t="s">
        <v>1373</v>
      </c>
      <c r="BB4" s="285" t="s">
        <v>1481</v>
      </c>
    </row>
    <row r="5" spans="1:54">
      <c r="A5" s="285" t="s">
        <v>612</v>
      </c>
      <c r="B5" s="278" t="str">
        <f>IF(AND(お客様情報!$E$2="通常オンプレ",COUNTIF(お客様情報!$R$5:$R$9,"i‐FILTER2")&gt;0),2,"")</f>
        <v/>
      </c>
      <c r="C5" s="278" t="str">
        <f>IFERROR(VLOOKUP("i‐FILTER"&amp;2,お客様情報!$R$5:$U$9,4,FALSE),"")</f>
        <v/>
      </c>
      <c r="D5" s="286" t="str">
        <f>D$3</f>
        <v/>
      </c>
      <c r="E5" s="286" t="str">
        <f>E$3</f>
        <v/>
      </c>
      <c r="F5" s="286" t="str">
        <f>F$3</f>
        <v/>
      </c>
      <c r="G5" s="286" t="str">
        <f>G$3</f>
        <v/>
      </c>
      <c r="H5" s="314"/>
      <c r="I5" s="314"/>
      <c r="J5" s="556" t="str">
        <f>J$3</f>
        <v/>
      </c>
      <c r="K5" s="556" t="str">
        <f>K$3</f>
        <v/>
      </c>
      <c r="L5" s="314"/>
      <c r="M5" s="286" t="str">
        <f>M$3</f>
        <v/>
      </c>
      <c r="N5" s="314"/>
      <c r="O5" s="314"/>
      <c r="P5" s="314"/>
      <c r="Q5" s="314"/>
      <c r="R5" s="314"/>
      <c r="S5" s="286" t="e">
        <f t="shared" ref="S5:W5" si="0">S$3</f>
        <v>#N/A</v>
      </c>
      <c r="T5" s="286" t="e">
        <f t="shared" si="0"/>
        <v>#N/A</v>
      </c>
      <c r="U5" s="286" t="str">
        <f t="shared" si="0"/>
        <v/>
      </c>
      <c r="V5" s="286" t="str">
        <f t="shared" si="0"/>
        <v/>
      </c>
      <c r="W5" s="286" t="str">
        <f t="shared" si="0"/>
        <v/>
      </c>
      <c r="X5" s="286"/>
      <c r="Y5" s="314"/>
      <c r="Z5" s="314"/>
      <c r="AA5" s="314"/>
      <c r="AB5" s="314"/>
      <c r="AC5" s="314"/>
      <c r="AD5" s="314"/>
      <c r="AE5" s="286" t="str">
        <f>AE$3</f>
        <v/>
      </c>
      <c r="AF5" s="314"/>
      <c r="AG5" s="314"/>
      <c r="AH5" s="314"/>
      <c r="AI5" s="286" t="str">
        <f>AI$3</f>
        <v/>
      </c>
      <c r="AJ5" s="314"/>
      <c r="AK5" s="314"/>
      <c r="AL5" s="314"/>
      <c r="AM5" s="314"/>
      <c r="AN5" s="314"/>
      <c r="AO5" s="314"/>
      <c r="AP5" s="314"/>
      <c r="AQ5" s="314"/>
      <c r="AR5" s="314"/>
      <c r="AS5" s="314"/>
      <c r="AT5" s="314"/>
      <c r="AU5" s="314"/>
      <c r="AV5" s="314"/>
      <c r="AW5" s="314"/>
      <c r="AX5" s="314"/>
      <c r="AY5" s="314"/>
      <c r="AZ5" s="314"/>
      <c r="BA5" s="314"/>
      <c r="BB5" s="314"/>
    </row>
    <row r="6" spans="1:54">
      <c r="A6" s="285" t="s">
        <v>586</v>
      </c>
      <c r="B6" s="285" t="s">
        <v>634</v>
      </c>
      <c r="C6" s="285" t="s">
        <v>620</v>
      </c>
      <c r="D6" s="285" t="s">
        <v>621</v>
      </c>
      <c r="E6" s="285" t="s">
        <v>622</v>
      </c>
      <c r="F6" s="285" t="s">
        <v>614</v>
      </c>
      <c r="G6" s="285" t="s">
        <v>623</v>
      </c>
      <c r="H6" s="285" t="s">
        <v>624</v>
      </c>
      <c r="I6" s="285" t="s">
        <v>625</v>
      </c>
      <c r="J6" s="285" t="s">
        <v>626</v>
      </c>
      <c r="K6" s="285" t="s">
        <v>627</v>
      </c>
      <c r="L6" s="285" t="s">
        <v>628</v>
      </c>
      <c r="M6" s="285" t="s">
        <v>629</v>
      </c>
      <c r="N6" s="285" t="s">
        <v>630</v>
      </c>
      <c r="O6" s="285" t="s">
        <v>631</v>
      </c>
      <c r="P6" s="285" t="s">
        <v>632</v>
      </c>
      <c r="Q6" s="285" t="s">
        <v>633</v>
      </c>
      <c r="R6" s="285" t="s">
        <v>1116</v>
      </c>
      <c r="S6" s="285" t="s">
        <v>738</v>
      </c>
      <c r="T6" s="285" t="s">
        <v>739</v>
      </c>
      <c r="U6" s="285" t="s">
        <v>699</v>
      </c>
      <c r="V6" s="285" t="s">
        <v>740</v>
      </c>
      <c r="W6" s="285" t="s">
        <v>823</v>
      </c>
      <c r="X6" s="285" t="s">
        <v>880</v>
      </c>
      <c r="Y6" s="285" t="s">
        <v>1118</v>
      </c>
      <c r="Z6" s="285" t="s">
        <v>1119</v>
      </c>
      <c r="AA6" s="285" t="s">
        <v>1120</v>
      </c>
      <c r="AB6" s="285" t="s">
        <v>1121</v>
      </c>
      <c r="AC6" s="285" t="s">
        <v>1122</v>
      </c>
      <c r="AD6" s="285" t="s">
        <v>1123</v>
      </c>
      <c r="AE6" s="285" t="s">
        <v>737</v>
      </c>
      <c r="AF6" s="285" t="s">
        <v>741</v>
      </c>
      <c r="AG6" s="285" t="s">
        <v>745</v>
      </c>
      <c r="AH6" s="285" t="s">
        <v>746</v>
      </c>
      <c r="AI6" s="285" t="s">
        <v>748</v>
      </c>
      <c r="AJ6" s="285" t="s">
        <v>747</v>
      </c>
      <c r="AK6" s="285" t="s">
        <v>1096</v>
      </c>
      <c r="AL6" s="285" t="s">
        <v>1140</v>
      </c>
      <c r="AM6" s="285" t="s">
        <v>1141</v>
      </c>
      <c r="AN6" s="285" t="s">
        <v>1142</v>
      </c>
      <c r="AO6" s="285" t="s">
        <v>1143</v>
      </c>
      <c r="AP6" s="285" t="s">
        <v>1144</v>
      </c>
      <c r="AQ6" s="285" t="s">
        <v>1145</v>
      </c>
      <c r="AR6" s="285" t="s">
        <v>1146</v>
      </c>
      <c r="AS6" s="285" t="s">
        <v>1147</v>
      </c>
      <c r="AT6" s="285" t="s">
        <v>1176</v>
      </c>
      <c r="AU6" s="285" t="s">
        <v>1247</v>
      </c>
      <c r="AV6" s="285" t="s">
        <v>1290</v>
      </c>
      <c r="AW6" s="285" t="s">
        <v>1291</v>
      </c>
      <c r="AX6" s="285" t="s">
        <v>1294</v>
      </c>
      <c r="AY6" s="285" t="s">
        <v>1295</v>
      </c>
      <c r="AZ6" s="285" t="s">
        <v>1372</v>
      </c>
      <c r="BA6" s="285" t="s">
        <v>1373</v>
      </c>
      <c r="BB6" s="285" t="s">
        <v>1481</v>
      </c>
    </row>
    <row r="7" spans="1:54">
      <c r="A7" s="285" t="s">
        <v>612</v>
      </c>
      <c r="B7" s="278" t="str">
        <f>IF(AND(お客様情報!$E$2="通常オンプレ",COUNTIF(お客様情報!$R$5:$R$9,"i‐FILTER3")&gt;0),2,"")</f>
        <v/>
      </c>
      <c r="C7" s="278" t="str">
        <f>IFERROR(VLOOKUP("i‐FILTER"&amp;3,お客様情報!$R$5:$U$9,4,FALSE),"")</f>
        <v/>
      </c>
      <c r="D7" s="286" t="str">
        <f>D$3</f>
        <v/>
      </c>
      <c r="E7" s="286" t="str">
        <f>E$3</f>
        <v/>
      </c>
      <c r="F7" s="286" t="str">
        <f>F$3</f>
        <v/>
      </c>
      <c r="G7" s="286" t="str">
        <f>G$3</f>
        <v/>
      </c>
      <c r="H7" s="314"/>
      <c r="I7" s="314"/>
      <c r="J7" s="556" t="str">
        <f>J$3</f>
        <v/>
      </c>
      <c r="K7" s="556" t="str">
        <f>K$3</f>
        <v/>
      </c>
      <c r="L7" s="314"/>
      <c r="M7" s="286" t="str">
        <f>M$3</f>
        <v/>
      </c>
      <c r="N7" s="314"/>
      <c r="O7" s="314"/>
      <c r="P7" s="314"/>
      <c r="Q7" s="314"/>
      <c r="R7" s="314"/>
      <c r="S7" s="286" t="e">
        <f t="shared" ref="S7:W7" si="1">S$3</f>
        <v>#N/A</v>
      </c>
      <c r="T7" s="286" t="e">
        <f t="shared" si="1"/>
        <v>#N/A</v>
      </c>
      <c r="U7" s="286" t="str">
        <f t="shared" si="1"/>
        <v/>
      </c>
      <c r="V7" s="286" t="str">
        <f t="shared" si="1"/>
        <v/>
      </c>
      <c r="W7" s="286" t="str">
        <f t="shared" si="1"/>
        <v/>
      </c>
      <c r="X7" s="286"/>
      <c r="Y7" s="314"/>
      <c r="Z7" s="314"/>
      <c r="AA7" s="314"/>
      <c r="AB7" s="314"/>
      <c r="AC7" s="314"/>
      <c r="AD7" s="314"/>
      <c r="AE7" s="286" t="str">
        <f>AE$3</f>
        <v/>
      </c>
      <c r="AF7" s="314"/>
      <c r="AG7" s="314"/>
      <c r="AH7" s="314"/>
      <c r="AI7" s="286" t="str">
        <f>AI$3</f>
        <v/>
      </c>
      <c r="AJ7" s="314"/>
      <c r="AK7" s="314"/>
      <c r="AL7" s="314"/>
      <c r="AM7" s="314"/>
      <c r="AN7" s="314"/>
      <c r="AO7" s="314"/>
      <c r="AP7" s="314"/>
      <c r="AQ7" s="314"/>
      <c r="AR7" s="314"/>
      <c r="AS7" s="314"/>
      <c r="AT7" s="314"/>
      <c r="AU7" s="314"/>
      <c r="AV7" s="314"/>
      <c r="AW7" s="314"/>
      <c r="AX7" s="314"/>
      <c r="AY7" s="314"/>
      <c r="AZ7" s="314"/>
      <c r="BA7" s="314"/>
      <c r="BB7" s="314"/>
    </row>
    <row r="8" spans="1:54">
      <c r="A8" s="285" t="s">
        <v>586</v>
      </c>
      <c r="B8" s="285" t="s">
        <v>634</v>
      </c>
      <c r="C8" s="285" t="s">
        <v>620</v>
      </c>
      <c r="D8" s="285" t="s">
        <v>621</v>
      </c>
      <c r="E8" s="285" t="s">
        <v>622</v>
      </c>
      <c r="F8" s="285" t="s">
        <v>614</v>
      </c>
      <c r="G8" s="285" t="s">
        <v>623</v>
      </c>
      <c r="H8" s="285" t="s">
        <v>624</v>
      </c>
      <c r="I8" s="285" t="s">
        <v>625</v>
      </c>
      <c r="J8" s="285" t="s">
        <v>626</v>
      </c>
      <c r="K8" s="285" t="s">
        <v>627</v>
      </c>
      <c r="L8" s="285" t="s">
        <v>628</v>
      </c>
      <c r="M8" s="285" t="s">
        <v>629</v>
      </c>
      <c r="N8" s="285" t="s">
        <v>630</v>
      </c>
      <c r="O8" s="285" t="s">
        <v>631</v>
      </c>
      <c r="P8" s="285" t="s">
        <v>632</v>
      </c>
      <c r="Q8" s="285" t="s">
        <v>633</v>
      </c>
      <c r="R8" s="285" t="s">
        <v>1116</v>
      </c>
      <c r="S8" s="285" t="s">
        <v>738</v>
      </c>
      <c r="T8" s="285" t="s">
        <v>739</v>
      </c>
      <c r="U8" s="285" t="s">
        <v>699</v>
      </c>
      <c r="V8" s="285" t="s">
        <v>740</v>
      </c>
      <c r="W8" s="285" t="s">
        <v>823</v>
      </c>
      <c r="X8" s="285" t="s">
        <v>880</v>
      </c>
      <c r="Y8" s="285" t="s">
        <v>1118</v>
      </c>
      <c r="Z8" s="285" t="s">
        <v>1119</v>
      </c>
      <c r="AA8" s="285" t="s">
        <v>1120</v>
      </c>
      <c r="AB8" s="285" t="s">
        <v>1121</v>
      </c>
      <c r="AC8" s="285" t="s">
        <v>1122</v>
      </c>
      <c r="AD8" s="285" t="s">
        <v>1123</v>
      </c>
      <c r="AE8" s="285" t="s">
        <v>737</v>
      </c>
      <c r="AF8" s="285" t="s">
        <v>741</v>
      </c>
      <c r="AG8" s="285" t="s">
        <v>745</v>
      </c>
      <c r="AH8" s="285" t="s">
        <v>746</v>
      </c>
      <c r="AI8" s="285" t="s">
        <v>748</v>
      </c>
      <c r="AJ8" s="285" t="s">
        <v>747</v>
      </c>
      <c r="AK8" s="285" t="s">
        <v>1096</v>
      </c>
      <c r="AL8" s="285" t="s">
        <v>1140</v>
      </c>
      <c r="AM8" s="285" t="s">
        <v>1141</v>
      </c>
      <c r="AN8" s="285" t="s">
        <v>1142</v>
      </c>
      <c r="AO8" s="285" t="s">
        <v>1143</v>
      </c>
      <c r="AP8" s="285" t="s">
        <v>1144</v>
      </c>
      <c r="AQ8" s="285" t="s">
        <v>1145</v>
      </c>
      <c r="AR8" s="285" t="s">
        <v>1146</v>
      </c>
      <c r="AS8" s="285" t="s">
        <v>1147</v>
      </c>
      <c r="AT8" s="285" t="s">
        <v>1176</v>
      </c>
      <c r="AU8" s="285" t="s">
        <v>1247</v>
      </c>
      <c r="AV8" s="285" t="s">
        <v>1290</v>
      </c>
      <c r="AW8" s="285" t="s">
        <v>1291</v>
      </c>
      <c r="AX8" s="285" t="s">
        <v>1294</v>
      </c>
      <c r="AY8" s="285" t="s">
        <v>1295</v>
      </c>
      <c r="AZ8" s="285" t="s">
        <v>1372</v>
      </c>
      <c r="BA8" s="285" t="s">
        <v>1373</v>
      </c>
      <c r="BB8" s="285" t="s">
        <v>1481</v>
      </c>
    </row>
    <row r="9" spans="1:54">
      <c r="A9" s="285" t="s">
        <v>612</v>
      </c>
      <c r="B9" s="278" t="str">
        <f>IF(AND(お客様情報!$E$2="通常オンプレ",COUNTIF(お客様情報!$R$5:$R$9,"i‐FILTER4")&gt;0),2,"")</f>
        <v/>
      </c>
      <c r="C9" s="278" t="str">
        <f>IFERROR(VLOOKUP("i‐FILTER"&amp;4,お客様情報!$R$5:$U$9,4,FALSE),"")</f>
        <v/>
      </c>
      <c r="D9" s="286" t="str">
        <f>D$3</f>
        <v/>
      </c>
      <c r="E9" s="286" t="str">
        <f>E$3</f>
        <v/>
      </c>
      <c r="F9" s="286" t="str">
        <f>F$3</f>
        <v/>
      </c>
      <c r="G9" s="286" t="str">
        <f>G$3</f>
        <v/>
      </c>
      <c r="H9" s="314"/>
      <c r="I9" s="314"/>
      <c r="J9" s="556" t="str">
        <f>J$3</f>
        <v/>
      </c>
      <c r="K9" s="556" t="str">
        <f>K$3</f>
        <v/>
      </c>
      <c r="L9" s="314"/>
      <c r="M9" s="286" t="str">
        <f>M$3</f>
        <v/>
      </c>
      <c r="N9" s="314"/>
      <c r="O9" s="314"/>
      <c r="P9" s="314"/>
      <c r="Q9" s="314"/>
      <c r="R9" s="314"/>
      <c r="S9" s="286" t="e">
        <f t="shared" ref="S9:W9" si="2">S$3</f>
        <v>#N/A</v>
      </c>
      <c r="T9" s="286" t="e">
        <f t="shared" si="2"/>
        <v>#N/A</v>
      </c>
      <c r="U9" s="286" t="str">
        <f t="shared" si="2"/>
        <v/>
      </c>
      <c r="V9" s="286" t="str">
        <f t="shared" si="2"/>
        <v/>
      </c>
      <c r="W9" s="286" t="str">
        <f t="shared" si="2"/>
        <v/>
      </c>
      <c r="X9" s="286"/>
      <c r="Y9" s="314"/>
      <c r="Z9" s="314"/>
      <c r="AA9" s="314"/>
      <c r="AB9" s="314"/>
      <c r="AC9" s="314"/>
      <c r="AD9" s="314"/>
      <c r="AE9" s="286" t="str">
        <f>AE$3</f>
        <v/>
      </c>
      <c r="AF9" s="314"/>
      <c r="AG9" s="314"/>
      <c r="AH9" s="314"/>
      <c r="AI9" s="286" t="str">
        <f>AI$3</f>
        <v/>
      </c>
      <c r="AJ9" s="314"/>
      <c r="AK9" s="314"/>
      <c r="AL9" s="314"/>
      <c r="AM9" s="314"/>
      <c r="AN9" s="314"/>
      <c r="AO9" s="314"/>
      <c r="AP9" s="314"/>
      <c r="AQ9" s="314"/>
      <c r="AR9" s="314"/>
      <c r="AS9" s="314"/>
      <c r="AT9" s="314"/>
      <c r="AU9" s="314"/>
      <c r="AV9" s="314"/>
      <c r="AW9" s="314"/>
      <c r="AX9" s="314"/>
      <c r="AY9" s="314"/>
      <c r="AZ9" s="314"/>
      <c r="BA9" s="314"/>
      <c r="BB9" s="314"/>
    </row>
    <row r="10" spans="1:54">
      <c r="A10" s="285" t="s">
        <v>586</v>
      </c>
      <c r="B10" s="285" t="s">
        <v>634</v>
      </c>
      <c r="C10" s="285" t="s">
        <v>620</v>
      </c>
      <c r="D10" s="285" t="s">
        <v>621</v>
      </c>
      <c r="E10" s="285" t="s">
        <v>622</v>
      </c>
      <c r="F10" s="285" t="s">
        <v>614</v>
      </c>
      <c r="G10" s="285" t="s">
        <v>623</v>
      </c>
      <c r="H10" s="285" t="s">
        <v>624</v>
      </c>
      <c r="I10" s="285" t="s">
        <v>625</v>
      </c>
      <c r="J10" s="285" t="s">
        <v>626</v>
      </c>
      <c r="K10" s="285" t="s">
        <v>627</v>
      </c>
      <c r="L10" s="285" t="s">
        <v>628</v>
      </c>
      <c r="M10" s="285" t="s">
        <v>629</v>
      </c>
      <c r="N10" s="285" t="s">
        <v>630</v>
      </c>
      <c r="O10" s="285" t="s">
        <v>631</v>
      </c>
      <c r="P10" s="285" t="s">
        <v>632</v>
      </c>
      <c r="Q10" s="285" t="s">
        <v>633</v>
      </c>
      <c r="R10" s="285" t="s">
        <v>1116</v>
      </c>
      <c r="S10" s="285" t="s">
        <v>738</v>
      </c>
      <c r="T10" s="285" t="s">
        <v>739</v>
      </c>
      <c r="U10" s="285" t="s">
        <v>699</v>
      </c>
      <c r="V10" s="285" t="s">
        <v>740</v>
      </c>
      <c r="W10" s="285" t="s">
        <v>823</v>
      </c>
      <c r="X10" s="285" t="s">
        <v>880</v>
      </c>
      <c r="Y10" s="285" t="s">
        <v>1118</v>
      </c>
      <c r="Z10" s="285" t="s">
        <v>1119</v>
      </c>
      <c r="AA10" s="285" t="s">
        <v>1120</v>
      </c>
      <c r="AB10" s="285" t="s">
        <v>1121</v>
      </c>
      <c r="AC10" s="285" t="s">
        <v>1122</v>
      </c>
      <c r="AD10" s="285" t="s">
        <v>1123</v>
      </c>
      <c r="AE10" s="285" t="s">
        <v>737</v>
      </c>
      <c r="AF10" s="285" t="s">
        <v>741</v>
      </c>
      <c r="AG10" s="285" t="s">
        <v>745</v>
      </c>
      <c r="AH10" s="285" t="s">
        <v>746</v>
      </c>
      <c r="AI10" s="285" t="s">
        <v>748</v>
      </c>
      <c r="AJ10" s="285" t="s">
        <v>747</v>
      </c>
      <c r="AK10" s="285" t="s">
        <v>1096</v>
      </c>
      <c r="AL10" s="285" t="s">
        <v>1140</v>
      </c>
      <c r="AM10" s="285" t="s">
        <v>1141</v>
      </c>
      <c r="AN10" s="285" t="s">
        <v>1142</v>
      </c>
      <c r="AO10" s="285" t="s">
        <v>1143</v>
      </c>
      <c r="AP10" s="285" t="s">
        <v>1144</v>
      </c>
      <c r="AQ10" s="285" t="s">
        <v>1145</v>
      </c>
      <c r="AR10" s="285" t="s">
        <v>1146</v>
      </c>
      <c r="AS10" s="285" t="s">
        <v>1147</v>
      </c>
      <c r="AT10" s="285" t="s">
        <v>1176</v>
      </c>
      <c r="AU10" s="285" t="s">
        <v>1247</v>
      </c>
      <c r="AV10" s="285" t="s">
        <v>1290</v>
      </c>
      <c r="AW10" s="285" t="s">
        <v>1291</v>
      </c>
      <c r="AX10" s="285" t="s">
        <v>1294</v>
      </c>
      <c r="AY10" s="285" t="s">
        <v>1295</v>
      </c>
      <c r="AZ10" s="285" t="s">
        <v>1372</v>
      </c>
      <c r="BA10" s="285" t="s">
        <v>1373</v>
      </c>
      <c r="BB10" s="285" t="s">
        <v>1481</v>
      </c>
    </row>
    <row r="11" spans="1:54">
      <c r="A11" s="285" t="s">
        <v>612</v>
      </c>
      <c r="B11" s="278" t="str">
        <f>IF(AND(お客様情報!$E$2="通常オンプレ",COUNTIF(お客様情報!$R$5:$R$9,"i‐FILTER5")&gt;0),2,"")</f>
        <v/>
      </c>
      <c r="C11" s="278" t="str">
        <f>IFERROR(VLOOKUP("i‐FILTER"&amp;5,お客様情報!$R$5:$U$9,4,FALSE),"")</f>
        <v/>
      </c>
      <c r="D11" s="286" t="str">
        <f>D$3</f>
        <v/>
      </c>
      <c r="E11" s="286" t="str">
        <f>E$3</f>
        <v/>
      </c>
      <c r="F11" s="286" t="str">
        <f>F$3</f>
        <v/>
      </c>
      <c r="G11" s="286" t="str">
        <f>G$3</f>
        <v/>
      </c>
      <c r="H11" s="314"/>
      <c r="I11" s="314"/>
      <c r="J11" s="556" t="str">
        <f>J$3</f>
        <v/>
      </c>
      <c r="K11" s="556" t="str">
        <f>K$3</f>
        <v/>
      </c>
      <c r="L11" s="314"/>
      <c r="M11" s="286" t="str">
        <f>M$3</f>
        <v/>
      </c>
      <c r="N11" s="314"/>
      <c r="O11" s="314"/>
      <c r="P11" s="314"/>
      <c r="Q11" s="314"/>
      <c r="R11" s="314"/>
      <c r="S11" s="286" t="e">
        <f t="shared" ref="S11:W11" si="3">S$3</f>
        <v>#N/A</v>
      </c>
      <c r="T11" s="286" t="e">
        <f t="shared" si="3"/>
        <v>#N/A</v>
      </c>
      <c r="U11" s="286" t="str">
        <f t="shared" si="3"/>
        <v/>
      </c>
      <c r="V11" s="286" t="str">
        <f t="shared" si="3"/>
        <v/>
      </c>
      <c r="W11" s="286" t="str">
        <f t="shared" si="3"/>
        <v/>
      </c>
      <c r="X11" s="286"/>
      <c r="Y11" s="314"/>
      <c r="Z11" s="314"/>
      <c r="AA11" s="314"/>
      <c r="AB11" s="314"/>
      <c r="AC11" s="314"/>
      <c r="AD11" s="314"/>
      <c r="AE11" s="286" t="str">
        <f>AE$3</f>
        <v/>
      </c>
      <c r="AF11" s="314"/>
      <c r="AG11" s="314"/>
      <c r="AH11" s="314"/>
      <c r="AI11" s="286" t="str">
        <f>AI$3</f>
        <v/>
      </c>
      <c r="AJ11" s="314"/>
      <c r="AK11" s="314"/>
      <c r="AL11" s="314"/>
      <c r="AM11" s="314"/>
      <c r="AN11" s="314"/>
      <c r="AO11" s="314"/>
      <c r="AP11" s="314"/>
      <c r="AQ11" s="314"/>
      <c r="AR11" s="314"/>
      <c r="AS11" s="314"/>
      <c r="AT11" s="314"/>
      <c r="AU11" s="314"/>
      <c r="AV11" s="314"/>
      <c r="AW11" s="314"/>
      <c r="AX11" s="314"/>
      <c r="AY11" s="314"/>
      <c r="AZ11" s="314"/>
      <c r="BA11" s="314"/>
      <c r="BB11" s="314"/>
    </row>
    <row r="12" spans="1:54">
      <c r="A12" s="339" t="s">
        <v>613</v>
      </c>
      <c r="B12" s="339" t="s">
        <v>634</v>
      </c>
      <c r="C12" s="339" t="s">
        <v>620</v>
      </c>
      <c r="D12" s="339" t="s">
        <v>621</v>
      </c>
      <c r="E12" s="339" t="s">
        <v>622</v>
      </c>
      <c r="F12" s="339" t="s">
        <v>614</v>
      </c>
      <c r="G12" s="339" t="s">
        <v>623</v>
      </c>
      <c r="H12" s="339" t="s">
        <v>624</v>
      </c>
      <c r="I12" s="339" t="s">
        <v>625</v>
      </c>
      <c r="J12" s="339" t="s">
        <v>626</v>
      </c>
      <c r="K12" s="339" t="s">
        <v>627</v>
      </c>
      <c r="L12" s="339" t="s">
        <v>628</v>
      </c>
      <c r="M12" s="339" t="s">
        <v>629</v>
      </c>
      <c r="N12" s="339" t="s">
        <v>630</v>
      </c>
      <c r="O12" s="339" t="s">
        <v>631</v>
      </c>
      <c r="P12" s="339" t="s">
        <v>632</v>
      </c>
      <c r="Q12" s="339" t="s">
        <v>633</v>
      </c>
      <c r="R12" s="339" t="s">
        <v>1116</v>
      </c>
      <c r="S12" s="339" t="s">
        <v>701</v>
      </c>
      <c r="T12" s="339" t="s">
        <v>702</v>
      </c>
      <c r="U12" s="339" t="s">
        <v>699</v>
      </c>
      <c r="V12" s="339" t="s">
        <v>700</v>
      </c>
      <c r="W12" s="339" t="s">
        <v>824</v>
      </c>
      <c r="X12" s="339" t="s">
        <v>880</v>
      </c>
      <c r="Y12" s="339" t="s">
        <v>1118</v>
      </c>
      <c r="Z12" s="339" t="s">
        <v>1124</v>
      </c>
      <c r="AA12" s="339" t="s">
        <v>1125</v>
      </c>
      <c r="AB12" s="339" t="s">
        <v>1126</v>
      </c>
      <c r="AC12" s="339" t="s">
        <v>1127</v>
      </c>
      <c r="AD12" s="339" t="s">
        <v>1128</v>
      </c>
      <c r="AE12" s="339" t="s">
        <v>737</v>
      </c>
      <c r="AF12" s="339" t="s">
        <v>741</v>
      </c>
      <c r="AG12" s="339" t="s">
        <v>745</v>
      </c>
      <c r="AH12" s="339" t="s">
        <v>746</v>
      </c>
      <c r="AI12" s="339" t="s">
        <v>748</v>
      </c>
      <c r="AJ12" s="339" t="s">
        <v>747</v>
      </c>
      <c r="AK12" s="339" t="s">
        <v>1096</v>
      </c>
      <c r="AL12" s="339" t="s">
        <v>1140</v>
      </c>
      <c r="AM12" s="339" t="s">
        <v>1141</v>
      </c>
      <c r="AN12" s="339" t="s">
        <v>1142</v>
      </c>
      <c r="AO12" s="339" t="s">
        <v>1143</v>
      </c>
      <c r="AP12" s="339" t="s">
        <v>1144</v>
      </c>
      <c r="AQ12" s="339" t="s">
        <v>1145</v>
      </c>
      <c r="AR12" s="339" t="s">
        <v>1146</v>
      </c>
      <c r="AS12" s="339" t="s">
        <v>1147</v>
      </c>
      <c r="AT12" s="339" t="s">
        <v>1341</v>
      </c>
      <c r="AU12" s="339" t="s">
        <v>1247</v>
      </c>
      <c r="AV12" s="339" t="s">
        <v>1290</v>
      </c>
      <c r="AW12" s="339" t="s">
        <v>1291</v>
      </c>
      <c r="AX12" s="339" t="s">
        <v>1294</v>
      </c>
      <c r="AY12" s="339" t="s">
        <v>1295</v>
      </c>
      <c r="AZ12" s="339" t="s">
        <v>1372</v>
      </c>
      <c r="BA12" s="339" t="s">
        <v>1373</v>
      </c>
      <c r="BB12" s="339" t="s">
        <v>1481</v>
      </c>
    </row>
    <row r="13" spans="1:54">
      <c r="A13" s="339" t="s">
        <v>612</v>
      </c>
      <c r="B13" s="279" t="str">
        <f>IF(AND(お客様情報!$E$2="通常オンプレ",COUNTIF(お客様情報!$R$5:$R$9,"m‐FILTER1")&gt;0),6,"")</f>
        <v/>
      </c>
      <c r="C13" s="278" t="str">
        <f>IFERROR(VLOOKUP("m‐FILTER"&amp;1,お客様情報!$R$5:$U$9,4,FALSE),"")</f>
        <v/>
      </c>
      <c r="D13" s="286" t="str">
        <f>IF(入力フォームiF・mF・FC・iFBC・MA!BH90&lt;&gt;"",入力フォームiF・mF・FC・iFBC・MA!BH90,"")</f>
        <v/>
      </c>
      <c r="E13" s="278" t="str">
        <f>IF(入力フォームiF・mF・FC・iFBC・MA!BP90&lt;&gt;"",入力フォームiF・mF・FC・iFBC・MA!BP90,"")</f>
        <v/>
      </c>
      <c r="F13" s="278" t="str">
        <f>IF(OR(入力フォームiF・mF・FC・iFBC・MA!AL90="新規",入力フォームiF・mF・FC・iFBC・MA!AL90="新規+保守",入力フォームiF・mF・FC・iFBC・MA!AL90="乗換+保守"),TEXT(中間データオンプレ!O16,"YYYY-MM-DD"),"")</f>
        <v/>
      </c>
      <c r="G13" s="278" t="str">
        <f>LEFT(入力フォームiF・mF・FC・iFBC・MA!BU90,1)</f>
        <v/>
      </c>
      <c r="H13" s="556" t="str">
        <f>IF(入力フォームiF・mF・FC・iFBC・MA!H97="有/暗号化強固OP保有なし",入力フォームiF・mF・FC・iFBC・MA!AR97,"")</f>
        <v/>
      </c>
      <c r="I13" s="314"/>
      <c r="J13" s="556" t="str">
        <f>IF(入力フォームiF・mF・FC・iFBC・MA!AX83="はい/お客様アドレス",入力フォームiF・mF・FC・iFBC・MA!AG40,IF(入力フォームiF・mF・FC・iFBC・MA!AX83="はい/通知先記入",入力フォームiF・mF・FC・iFBC・MA!BQ83,""))</f>
        <v/>
      </c>
      <c r="K13" s="556" t="str">
        <f>IF(入力フォームiF・mF・FC・iFBC・MA!AX85="はい/お客様アドレス",入力フォームiF・mF・FC・iFBC・MA!AG40,IF(入力フォームiF・mF・FC・iFBC・MA!AX85="はい/通知先記入",入力フォームiF・mF・FC・iFBC・MA!BQ85,""))</f>
        <v/>
      </c>
      <c r="L13" s="278" t="str">
        <f>IF(入力フォームiF・mF・FC・iFBC・MA!AK94="有/FinalCode保有",IF(入力フォームiF・mF・FC・iFBC・MA!BQ94&lt;&gt;"",入力フォームiF・mF・FC・iFBC・MA!BQ94,""),"")</f>
        <v/>
      </c>
      <c r="M13" s="278" t="str">
        <f>IF(入力フォームiF・mF・FC・iFBC・MA!CT90&lt;&gt;"",入力フォームiF・mF・FC・iFBC・MA!CT90,"")</f>
        <v/>
      </c>
      <c r="N13" s="314"/>
      <c r="O13" s="314"/>
      <c r="P13" s="314"/>
      <c r="Q13" s="314"/>
      <c r="R13" s="314"/>
      <c r="S13" s="278" t="e">
        <f>IF(お客様情報!$N$64="","",お客様情報!$N$64)</f>
        <v>#N/A</v>
      </c>
      <c r="T13" s="278" t="e">
        <f>IF(お客様情報!$N$65="","",お客様情報!$N$65)</f>
        <v>#N/A</v>
      </c>
      <c r="U13" s="314"/>
      <c r="V13" s="314"/>
      <c r="W13" s="314"/>
      <c r="X13" s="314"/>
      <c r="Y13" s="314" t="str">
        <f>IF(入力フォームiF・mF・FC・iFBC・MA!DC100&gt;=1,"OPSWAT台数："&amp;入力フォームiF・mF・FC・iFBC・MA!DC100,"")</f>
        <v/>
      </c>
      <c r="Z13" s="314"/>
      <c r="AA13" s="314"/>
      <c r="AB13" s="314"/>
      <c r="AC13" s="314"/>
      <c r="AD13" s="314"/>
      <c r="AE13" s="314"/>
      <c r="AF13" s="278" t="str">
        <f>IF(入力フォームiF・mF・FC・iFBC・MA!BJ100="","",入力フォームiF・mF・FC・iFBC・MA!BJ100)</f>
        <v/>
      </c>
      <c r="AG13" s="278" t="str">
        <f>IF(LEFT(入力フォームiF・mF・FC・iFBC・MA!AK94,1)="有",入力フォームiF・mF・FC・iFBC・MA!BF94,"")</f>
        <v/>
      </c>
      <c r="AH13" s="314"/>
      <c r="AI13" s="314"/>
      <c r="AJ13" s="278"/>
      <c r="AK13" s="314"/>
      <c r="AL13" s="314"/>
      <c r="AM13" s="314"/>
      <c r="AN13" s="314"/>
      <c r="AO13" s="314"/>
      <c r="AP13" s="314"/>
      <c r="AQ13" s="314"/>
      <c r="AR13" s="314"/>
      <c r="AS13" s="314"/>
      <c r="AT13" s="278" t="str">
        <f>IF(入力フォームiF・mF・FC・iFBC・MA!H97="有/暗号化強固OP保有あり",入力フォームiF・mF・FC・iFBC・MA!BQ94,"")</f>
        <v/>
      </c>
      <c r="AU13" s="278"/>
      <c r="AV13" s="378"/>
      <c r="AW13" s="378"/>
      <c r="AX13" s="378"/>
      <c r="AY13" s="378"/>
      <c r="AZ13" s="378"/>
      <c r="BA13" s="378"/>
      <c r="BB13" s="378"/>
    </row>
    <row r="14" spans="1:54">
      <c r="A14" s="339" t="s">
        <v>586</v>
      </c>
      <c r="B14" s="339" t="s">
        <v>634</v>
      </c>
      <c r="C14" s="339" t="s">
        <v>620</v>
      </c>
      <c r="D14" s="339" t="s">
        <v>621</v>
      </c>
      <c r="E14" s="339" t="s">
        <v>622</v>
      </c>
      <c r="F14" s="339" t="s">
        <v>614</v>
      </c>
      <c r="G14" s="339" t="s">
        <v>623</v>
      </c>
      <c r="H14" s="339" t="s">
        <v>624</v>
      </c>
      <c r="I14" s="339" t="s">
        <v>625</v>
      </c>
      <c r="J14" s="339" t="s">
        <v>626</v>
      </c>
      <c r="K14" s="339" t="s">
        <v>627</v>
      </c>
      <c r="L14" s="339" t="s">
        <v>628</v>
      </c>
      <c r="M14" s="339" t="s">
        <v>629</v>
      </c>
      <c r="N14" s="339" t="s">
        <v>630</v>
      </c>
      <c r="O14" s="339" t="s">
        <v>631</v>
      </c>
      <c r="P14" s="339" t="s">
        <v>632</v>
      </c>
      <c r="Q14" s="339" t="s">
        <v>633</v>
      </c>
      <c r="R14" s="339" t="s">
        <v>1116</v>
      </c>
      <c r="S14" s="339" t="s">
        <v>701</v>
      </c>
      <c r="T14" s="339" t="s">
        <v>702</v>
      </c>
      <c r="U14" s="339" t="s">
        <v>699</v>
      </c>
      <c r="V14" s="339" t="s">
        <v>700</v>
      </c>
      <c r="W14" s="339" t="s">
        <v>824</v>
      </c>
      <c r="X14" s="339" t="s">
        <v>880</v>
      </c>
      <c r="Y14" s="339" t="s">
        <v>1118</v>
      </c>
      <c r="Z14" s="339" t="s">
        <v>1124</v>
      </c>
      <c r="AA14" s="339" t="s">
        <v>1125</v>
      </c>
      <c r="AB14" s="339" t="s">
        <v>1126</v>
      </c>
      <c r="AC14" s="339" t="s">
        <v>1127</v>
      </c>
      <c r="AD14" s="339" t="s">
        <v>1128</v>
      </c>
      <c r="AE14" s="339" t="s">
        <v>737</v>
      </c>
      <c r="AF14" s="339" t="s">
        <v>741</v>
      </c>
      <c r="AG14" s="339" t="s">
        <v>745</v>
      </c>
      <c r="AH14" s="339" t="s">
        <v>746</v>
      </c>
      <c r="AI14" s="339" t="s">
        <v>748</v>
      </c>
      <c r="AJ14" s="339" t="s">
        <v>747</v>
      </c>
      <c r="AK14" s="339" t="s">
        <v>1096</v>
      </c>
      <c r="AL14" s="339" t="s">
        <v>1140</v>
      </c>
      <c r="AM14" s="339" t="s">
        <v>1141</v>
      </c>
      <c r="AN14" s="339" t="s">
        <v>1142</v>
      </c>
      <c r="AO14" s="339" t="s">
        <v>1143</v>
      </c>
      <c r="AP14" s="339" t="s">
        <v>1144</v>
      </c>
      <c r="AQ14" s="339" t="s">
        <v>1145</v>
      </c>
      <c r="AR14" s="339" t="s">
        <v>1146</v>
      </c>
      <c r="AS14" s="339" t="s">
        <v>1147</v>
      </c>
      <c r="AT14" s="339" t="s">
        <v>1176</v>
      </c>
      <c r="AU14" s="339" t="s">
        <v>1247</v>
      </c>
      <c r="AV14" s="339" t="s">
        <v>1290</v>
      </c>
      <c r="AW14" s="339" t="s">
        <v>1292</v>
      </c>
      <c r="AX14" s="339" t="s">
        <v>1294</v>
      </c>
      <c r="AY14" s="339" t="s">
        <v>1295</v>
      </c>
      <c r="AZ14" s="339" t="s">
        <v>1372</v>
      </c>
      <c r="BA14" s="339" t="s">
        <v>1373</v>
      </c>
      <c r="BB14" s="339" t="s">
        <v>1481</v>
      </c>
    </row>
    <row r="15" spans="1:54">
      <c r="A15" s="339" t="s">
        <v>612</v>
      </c>
      <c r="B15" s="279" t="str">
        <f>IF(AND(お客様情報!$E$2="通常オンプレ",COUNTIF(お客様情報!$R$5:$R$9,"m‐FILTER2")&gt;0),6,"")</f>
        <v/>
      </c>
      <c r="C15" s="278" t="str">
        <f>IFERROR(VLOOKUP("m‐FILTER"&amp;2,お客様情報!$R$5:$U$9,4,FALSE),"")</f>
        <v/>
      </c>
      <c r="D15" s="286" t="str">
        <f>D$13</f>
        <v/>
      </c>
      <c r="E15" s="286" t="str">
        <f>E$13</f>
        <v/>
      </c>
      <c r="F15" s="286" t="str">
        <f>F$13</f>
        <v/>
      </c>
      <c r="G15" s="286" t="str">
        <f>G$13</f>
        <v/>
      </c>
      <c r="H15" s="556" t="str">
        <f>H$13</f>
        <v/>
      </c>
      <c r="I15" s="314"/>
      <c r="J15" s="556" t="str">
        <f>J$13</f>
        <v/>
      </c>
      <c r="K15" s="556" t="str">
        <f>K$13</f>
        <v/>
      </c>
      <c r="L15" s="286" t="str">
        <f>L$13</f>
        <v/>
      </c>
      <c r="M15" s="286" t="str">
        <f>M$13</f>
        <v/>
      </c>
      <c r="N15" s="314"/>
      <c r="O15" s="314"/>
      <c r="P15" s="314"/>
      <c r="Q15" s="314"/>
      <c r="R15" s="314"/>
      <c r="S15" s="286" t="e">
        <f>S$13</f>
        <v>#N/A</v>
      </c>
      <c r="T15" s="286" t="e">
        <f>T$13</f>
        <v>#N/A</v>
      </c>
      <c r="U15" s="314"/>
      <c r="V15" s="314"/>
      <c r="W15" s="314"/>
      <c r="X15" s="314"/>
      <c r="Y15" s="314" t="str">
        <f>$Y$13</f>
        <v/>
      </c>
      <c r="Z15" s="314"/>
      <c r="AA15" s="314"/>
      <c r="AB15" s="314"/>
      <c r="AC15" s="314"/>
      <c r="AD15" s="314"/>
      <c r="AE15" s="314"/>
      <c r="AF15" s="278" t="str">
        <f>AF$13</f>
        <v/>
      </c>
      <c r="AG15" s="286" t="str">
        <f>AG$13</f>
        <v/>
      </c>
      <c r="AH15" s="314"/>
      <c r="AI15" s="314"/>
      <c r="AJ15" s="286">
        <f>AJ$13</f>
        <v>0</v>
      </c>
      <c r="AK15" s="314"/>
      <c r="AL15" s="314"/>
      <c r="AM15" s="314"/>
      <c r="AN15" s="314"/>
      <c r="AO15" s="314"/>
      <c r="AP15" s="314"/>
      <c r="AQ15" s="314"/>
      <c r="AR15" s="314"/>
      <c r="AS15" s="314"/>
      <c r="AT15" s="278" t="str">
        <f>AT$13</f>
        <v/>
      </c>
      <c r="AU15" s="278"/>
      <c r="AV15" s="378"/>
      <c r="AW15" s="378"/>
      <c r="AX15" s="378"/>
      <c r="AY15" s="378"/>
      <c r="AZ15" s="378"/>
      <c r="BA15" s="378"/>
      <c r="BB15" s="378"/>
    </row>
    <row r="16" spans="1:54">
      <c r="A16" s="339" t="s">
        <v>586</v>
      </c>
      <c r="B16" s="339" t="s">
        <v>634</v>
      </c>
      <c r="C16" s="339" t="s">
        <v>620</v>
      </c>
      <c r="D16" s="339" t="s">
        <v>621</v>
      </c>
      <c r="E16" s="339" t="s">
        <v>622</v>
      </c>
      <c r="F16" s="339" t="s">
        <v>614</v>
      </c>
      <c r="G16" s="339" t="s">
        <v>623</v>
      </c>
      <c r="H16" s="339" t="s">
        <v>624</v>
      </c>
      <c r="I16" s="339" t="s">
        <v>625</v>
      </c>
      <c r="J16" s="339" t="s">
        <v>626</v>
      </c>
      <c r="K16" s="339" t="s">
        <v>627</v>
      </c>
      <c r="L16" s="339" t="s">
        <v>628</v>
      </c>
      <c r="M16" s="339" t="s">
        <v>629</v>
      </c>
      <c r="N16" s="339" t="s">
        <v>630</v>
      </c>
      <c r="O16" s="339" t="s">
        <v>631</v>
      </c>
      <c r="P16" s="339" t="s">
        <v>632</v>
      </c>
      <c r="Q16" s="339" t="s">
        <v>633</v>
      </c>
      <c r="R16" s="339" t="s">
        <v>1116</v>
      </c>
      <c r="S16" s="339" t="s">
        <v>701</v>
      </c>
      <c r="T16" s="339" t="s">
        <v>702</v>
      </c>
      <c r="U16" s="339" t="s">
        <v>699</v>
      </c>
      <c r="V16" s="339" t="s">
        <v>700</v>
      </c>
      <c r="W16" s="339" t="s">
        <v>824</v>
      </c>
      <c r="X16" s="339" t="s">
        <v>880</v>
      </c>
      <c r="Y16" s="339" t="s">
        <v>1118</v>
      </c>
      <c r="Z16" s="339" t="s">
        <v>1124</v>
      </c>
      <c r="AA16" s="339" t="s">
        <v>1125</v>
      </c>
      <c r="AB16" s="339" t="s">
        <v>1126</v>
      </c>
      <c r="AC16" s="339" t="s">
        <v>1127</v>
      </c>
      <c r="AD16" s="339" t="s">
        <v>1128</v>
      </c>
      <c r="AE16" s="339" t="s">
        <v>737</v>
      </c>
      <c r="AF16" s="339" t="s">
        <v>741</v>
      </c>
      <c r="AG16" s="339" t="s">
        <v>745</v>
      </c>
      <c r="AH16" s="339" t="s">
        <v>746</v>
      </c>
      <c r="AI16" s="339" t="s">
        <v>748</v>
      </c>
      <c r="AJ16" s="339" t="s">
        <v>747</v>
      </c>
      <c r="AK16" s="339" t="s">
        <v>1096</v>
      </c>
      <c r="AL16" s="339" t="s">
        <v>1140</v>
      </c>
      <c r="AM16" s="339" t="s">
        <v>1141</v>
      </c>
      <c r="AN16" s="339" t="s">
        <v>1142</v>
      </c>
      <c r="AO16" s="339" t="s">
        <v>1143</v>
      </c>
      <c r="AP16" s="339" t="s">
        <v>1144</v>
      </c>
      <c r="AQ16" s="339" t="s">
        <v>1145</v>
      </c>
      <c r="AR16" s="339" t="s">
        <v>1146</v>
      </c>
      <c r="AS16" s="339" t="s">
        <v>1147</v>
      </c>
      <c r="AT16" s="339" t="s">
        <v>1176</v>
      </c>
      <c r="AU16" s="339" t="s">
        <v>1247</v>
      </c>
      <c r="AV16" s="339" t="s">
        <v>1290</v>
      </c>
      <c r="AW16" s="339" t="s">
        <v>1291</v>
      </c>
      <c r="AX16" s="339" t="s">
        <v>1294</v>
      </c>
      <c r="AY16" s="339" t="s">
        <v>1295</v>
      </c>
      <c r="AZ16" s="339" t="s">
        <v>1372</v>
      </c>
      <c r="BA16" s="339" t="s">
        <v>1373</v>
      </c>
      <c r="BB16" s="339" t="s">
        <v>1481</v>
      </c>
    </row>
    <row r="17" spans="1:54">
      <c r="A17" s="339" t="s">
        <v>612</v>
      </c>
      <c r="B17" s="279" t="str">
        <f>IF(AND(お客様情報!$E$2="通常オンプレ",COUNTIF(お客様情報!$R$5:$R$9,"m‐FILTER3")&gt;0),6,"")</f>
        <v/>
      </c>
      <c r="C17" s="278" t="str">
        <f>IFERROR(VLOOKUP("m‐FILTER"&amp;3,お客様情報!$R$5:$U$9,4,FALSE),"")</f>
        <v/>
      </c>
      <c r="D17" s="286" t="str">
        <f>D$13</f>
        <v/>
      </c>
      <c r="E17" s="286" t="str">
        <f>E$13</f>
        <v/>
      </c>
      <c r="F17" s="286" t="str">
        <f>F$13</f>
        <v/>
      </c>
      <c r="G17" s="286" t="str">
        <f>G$13</f>
        <v/>
      </c>
      <c r="H17" s="556" t="str">
        <f>H$13</f>
        <v/>
      </c>
      <c r="I17" s="314"/>
      <c r="J17" s="556" t="str">
        <f>J$13</f>
        <v/>
      </c>
      <c r="K17" s="556" t="str">
        <f>K$13</f>
        <v/>
      </c>
      <c r="L17" s="286" t="str">
        <f>L$13</f>
        <v/>
      </c>
      <c r="M17" s="286" t="str">
        <f>M$13</f>
        <v/>
      </c>
      <c r="N17" s="314"/>
      <c r="O17" s="314"/>
      <c r="P17" s="314"/>
      <c r="Q17" s="314"/>
      <c r="R17" s="314"/>
      <c r="S17" s="286" t="e">
        <f>S$13</f>
        <v>#N/A</v>
      </c>
      <c r="T17" s="286" t="e">
        <f>T$13</f>
        <v>#N/A</v>
      </c>
      <c r="U17" s="314"/>
      <c r="V17" s="314"/>
      <c r="W17" s="314"/>
      <c r="X17" s="314"/>
      <c r="Y17" s="314" t="str">
        <f>$Y$13</f>
        <v/>
      </c>
      <c r="Z17" s="314"/>
      <c r="AA17" s="314"/>
      <c r="AB17" s="314"/>
      <c r="AC17" s="314"/>
      <c r="AD17" s="314"/>
      <c r="AE17" s="314"/>
      <c r="AF17" s="278" t="str">
        <f>AF$13</f>
        <v/>
      </c>
      <c r="AG17" s="286" t="str">
        <f>AG$13</f>
        <v/>
      </c>
      <c r="AH17" s="314"/>
      <c r="AI17" s="314"/>
      <c r="AJ17" s="286">
        <f>AJ$13</f>
        <v>0</v>
      </c>
      <c r="AK17" s="314"/>
      <c r="AL17" s="314"/>
      <c r="AM17" s="314"/>
      <c r="AN17" s="314"/>
      <c r="AO17" s="314"/>
      <c r="AP17" s="314"/>
      <c r="AQ17" s="314"/>
      <c r="AR17" s="314"/>
      <c r="AS17" s="314"/>
      <c r="AT17" s="278" t="str">
        <f>AT$13</f>
        <v/>
      </c>
      <c r="AU17" s="278"/>
      <c r="AV17" s="378"/>
      <c r="AW17" s="378"/>
      <c r="AX17" s="378"/>
      <c r="AY17" s="378"/>
      <c r="AZ17" s="378"/>
      <c r="BA17" s="378"/>
      <c r="BB17" s="378"/>
    </row>
    <row r="18" spans="1:54">
      <c r="A18" s="339" t="s">
        <v>586</v>
      </c>
      <c r="B18" s="339" t="s">
        <v>634</v>
      </c>
      <c r="C18" s="339" t="s">
        <v>620</v>
      </c>
      <c r="D18" s="339" t="s">
        <v>621</v>
      </c>
      <c r="E18" s="339" t="s">
        <v>622</v>
      </c>
      <c r="F18" s="339" t="s">
        <v>614</v>
      </c>
      <c r="G18" s="339" t="s">
        <v>623</v>
      </c>
      <c r="H18" s="339" t="s">
        <v>624</v>
      </c>
      <c r="I18" s="339" t="s">
        <v>625</v>
      </c>
      <c r="J18" s="339" t="s">
        <v>626</v>
      </c>
      <c r="K18" s="339" t="s">
        <v>627</v>
      </c>
      <c r="L18" s="339" t="s">
        <v>628</v>
      </c>
      <c r="M18" s="339" t="s">
        <v>629</v>
      </c>
      <c r="N18" s="339" t="s">
        <v>630</v>
      </c>
      <c r="O18" s="339" t="s">
        <v>631</v>
      </c>
      <c r="P18" s="339" t="s">
        <v>632</v>
      </c>
      <c r="Q18" s="339" t="s">
        <v>633</v>
      </c>
      <c r="R18" s="339" t="s">
        <v>1116</v>
      </c>
      <c r="S18" s="339" t="s">
        <v>701</v>
      </c>
      <c r="T18" s="339" t="s">
        <v>702</v>
      </c>
      <c r="U18" s="339" t="s">
        <v>699</v>
      </c>
      <c r="V18" s="339" t="s">
        <v>700</v>
      </c>
      <c r="W18" s="339" t="s">
        <v>824</v>
      </c>
      <c r="X18" s="339" t="s">
        <v>880</v>
      </c>
      <c r="Y18" s="339" t="s">
        <v>1118</v>
      </c>
      <c r="Z18" s="339" t="s">
        <v>1124</v>
      </c>
      <c r="AA18" s="339" t="s">
        <v>1125</v>
      </c>
      <c r="AB18" s="339" t="s">
        <v>1126</v>
      </c>
      <c r="AC18" s="339" t="s">
        <v>1127</v>
      </c>
      <c r="AD18" s="339" t="s">
        <v>1128</v>
      </c>
      <c r="AE18" s="339" t="s">
        <v>737</v>
      </c>
      <c r="AF18" s="339" t="s">
        <v>741</v>
      </c>
      <c r="AG18" s="339" t="s">
        <v>745</v>
      </c>
      <c r="AH18" s="339" t="s">
        <v>746</v>
      </c>
      <c r="AI18" s="339" t="s">
        <v>748</v>
      </c>
      <c r="AJ18" s="339" t="s">
        <v>747</v>
      </c>
      <c r="AK18" s="339" t="s">
        <v>1096</v>
      </c>
      <c r="AL18" s="339" t="s">
        <v>1140</v>
      </c>
      <c r="AM18" s="339" t="s">
        <v>1141</v>
      </c>
      <c r="AN18" s="339" t="s">
        <v>1142</v>
      </c>
      <c r="AO18" s="339" t="s">
        <v>1143</v>
      </c>
      <c r="AP18" s="339" t="s">
        <v>1144</v>
      </c>
      <c r="AQ18" s="339" t="s">
        <v>1145</v>
      </c>
      <c r="AR18" s="339" t="s">
        <v>1146</v>
      </c>
      <c r="AS18" s="339" t="s">
        <v>1147</v>
      </c>
      <c r="AT18" s="339" t="s">
        <v>1176</v>
      </c>
      <c r="AU18" s="339" t="s">
        <v>1247</v>
      </c>
      <c r="AV18" s="339" t="s">
        <v>1290</v>
      </c>
      <c r="AW18" s="339" t="s">
        <v>1291</v>
      </c>
      <c r="AX18" s="339" t="s">
        <v>1294</v>
      </c>
      <c r="AY18" s="339" t="s">
        <v>1295</v>
      </c>
      <c r="AZ18" s="339" t="s">
        <v>1372</v>
      </c>
      <c r="BA18" s="339" t="s">
        <v>1373</v>
      </c>
      <c r="BB18" s="339" t="s">
        <v>1481</v>
      </c>
    </row>
    <row r="19" spans="1:54">
      <c r="A19" s="339" t="s">
        <v>612</v>
      </c>
      <c r="B19" s="279" t="str">
        <f>IF(AND(お客様情報!$E$2="通常オンプレ",COUNTIF(お客様情報!$R$5:$R$9,"m‐FILTER4")&gt;0),6,"")</f>
        <v/>
      </c>
      <c r="C19" s="278" t="str">
        <f>IFERROR(VLOOKUP("m‐FILTER"&amp;4,お客様情報!$R$5:$U$9,4,FALSE),"")</f>
        <v/>
      </c>
      <c r="D19" s="286" t="str">
        <f>D$13</f>
        <v/>
      </c>
      <c r="E19" s="286" t="str">
        <f>E$13</f>
        <v/>
      </c>
      <c r="F19" s="286" t="str">
        <f>F$13</f>
        <v/>
      </c>
      <c r="G19" s="286" t="str">
        <f>G$13</f>
        <v/>
      </c>
      <c r="H19" s="556" t="str">
        <f>H$13</f>
        <v/>
      </c>
      <c r="I19" s="314"/>
      <c r="J19" s="556" t="str">
        <f>J$13</f>
        <v/>
      </c>
      <c r="K19" s="556" t="str">
        <f>K$13</f>
        <v/>
      </c>
      <c r="L19" s="286" t="str">
        <f>L$13</f>
        <v/>
      </c>
      <c r="M19" s="286" t="str">
        <f>M$13</f>
        <v/>
      </c>
      <c r="N19" s="314"/>
      <c r="O19" s="314"/>
      <c r="P19" s="314"/>
      <c r="Q19" s="314"/>
      <c r="R19" s="314"/>
      <c r="S19" s="286" t="e">
        <f>S$13</f>
        <v>#N/A</v>
      </c>
      <c r="T19" s="286" t="e">
        <f>T$13</f>
        <v>#N/A</v>
      </c>
      <c r="U19" s="314"/>
      <c r="V19" s="314"/>
      <c r="W19" s="314"/>
      <c r="X19" s="314"/>
      <c r="Y19" s="314" t="str">
        <f>$Y$13</f>
        <v/>
      </c>
      <c r="Z19" s="314"/>
      <c r="AA19" s="314"/>
      <c r="AB19" s="314"/>
      <c r="AC19" s="314"/>
      <c r="AD19" s="314"/>
      <c r="AE19" s="314"/>
      <c r="AF19" s="278" t="str">
        <f>AF$13</f>
        <v/>
      </c>
      <c r="AG19" s="286" t="str">
        <f>AG$13</f>
        <v/>
      </c>
      <c r="AH19" s="314"/>
      <c r="AI19" s="314"/>
      <c r="AJ19" s="286">
        <f>AJ$13</f>
        <v>0</v>
      </c>
      <c r="AK19" s="314"/>
      <c r="AL19" s="314"/>
      <c r="AM19" s="314"/>
      <c r="AN19" s="314"/>
      <c r="AO19" s="314"/>
      <c r="AP19" s="314"/>
      <c r="AQ19" s="314"/>
      <c r="AR19" s="314"/>
      <c r="AS19" s="314"/>
      <c r="AT19" s="278" t="str">
        <f>AT$13</f>
        <v/>
      </c>
      <c r="AU19" s="278"/>
      <c r="AV19" s="378"/>
      <c r="AW19" s="378"/>
      <c r="AX19" s="378"/>
      <c r="AY19" s="378"/>
      <c r="AZ19" s="378"/>
      <c r="BA19" s="378"/>
      <c r="BB19" s="378"/>
    </row>
    <row r="20" spans="1:54">
      <c r="A20" s="339" t="s">
        <v>586</v>
      </c>
      <c r="B20" s="339" t="s">
        <v>634</v>
      </c>
      <c r="C20" s="339" t="s">
        <v>620</v>
      </c>
      <c r="D20" s="339" t="s">
        <v>621</v>
      </c>
      <c r="E20" s="339" t="s">
        <v>622</v>
      </c>
      <c r="F20" s="339" t="s">
        <v>614</v>
      </c>
      <c r="G20" s="339" t="s">
        <v>623</v>
      </c>
      <c r="H20" s="339" t="s">
        <v>624</v>
      </c>
      <c r="I20" s="339" t="s">
        <v>625</v>
      </c>
      <c r="J20" s="339" t="s">
        <v>626</v>
      </c>
      <c r="K20" s="339" t="s">
        <v>627</v>
      </c>
      <c r="L20" s="339" t="s">
        <v>628</v>
      </c>
      <c r="M20" s="339" t="s">
        <v>629</v>
      </c>
      <c r="N20" s="339" t="s">
        <v>630</v>
      </c>
      <c r="O20" s="339" t="s">
        <v>631</v>
      </c>
      <c r="P20" s="339" t="s">
        <v>632</v>
      </c>
      <c r="Q20" s="339" t="s">
        <v>633</v>
      </c>
      <c r="R20" s="339" t="s">
        <v>1116</v>
      </c>
      <c r="S20" s="339" t="s">
        <v>701</v>
      </c>
      <c r="T20" s="339" t="s">
        <v>702</v>
      </c>
      <c r="U20" s="339" t="s">
        <v>699</v>
      </c>
      <c r="V20" s="339" t="s">
        <v>700</v>
      </c>
      <c r="W20" s="339" t="s">
        <v>824</v>
      </c>
      <c r="X20" s="339" t="s">
        <v>880</v>
      </c>
      <c r="Y20" s="339" t="s">
        <v>1118</v>
      </c>
      <c r="Z20" s="339" t="s">
        <v>1124</v>
      </c>
      <c r="AA20" s="339" t="s">
        <v>1125</v>
      </c>
      <c r="AB20" s="339" t="s">
        <v>1126</v>
      </c>
      <c r="AC20" s="339" t="s">
        <v>1127</v>
      </c>
      <c r="AD20" s="339" t="s">
        <v>1128</v>
      </c>
      <c r="AE20" s="339" t="s">
        <v>737</v>
      </c>
      <c r="AF20" s="339" t="s">
        <v>741</v>
      </c>
      <c r="AG20" s="339" t="s">
        <v>745</v>
      </c>
      <c r="AH20" s="339" t="s">
        <v>746</v>
      </c>
      <c r="AI20" s="339" t="s">
        <v>748</v>
      </c>
      <c r="AJ20" s="339" t="s">
        <v>747</v>
      </c>
      <c r="AK20" s="339" t="s">
        <v>1096</v>
      </c>
      <c r="AL20" s="339" t="s">
        <v>1140</v>
      </c>
      <c r="AM20" s="339" t="s">
        <v>1141</v>
      </c>
      <c r="AN20" s="339" t="s">
        <v>1142</v>
      </c>
      <c r="AO20" s="339" t="s">
        <v>1143</v>
      </c>
      <c r="AP20" s="339" t="s">
        <v>1144</v>
      </c>
      <c r="AQ20" s="339" t="s">
        <v>1145</v>
      </c>
      <c r="AR20" s="339" t="s">
        <v>1146</v>
      </c>
      <c r="AS20" s="339" t="s">
        <v>1147</v>
      </c>
      <c r="AT20" s="339" t="s">
        <v>1176</v>
      </c>
      <c r="AU20" s="339" t="s">
        <v>1247</v>
      </c>
      <c r="AV20" s="339" t="s">
        <v>1290</v>
      </c>
      <c r="AW20" s="339" t="s">
        <v>1291</v>
      </c>
      <c r="AX20" s="339" t="s">
        <v>1294</v>
      </c>
      <c r="AY20" s="339" t="s">
        <v>1295</v>
      </c>
      <c r="AZ20" s="339" t="s">
        <v>1372</v>
      </c>
      <c r="BA20" s="339" t="s">
        <v>1373</v>
      </c>
      <c r="BB20" s="339" t="s">
        <v>1481</v>
      </c>
    </row>
    <row r="21" spans="1:54">
      <c r="A21" s="339" t="s">
        <v>612</v>
      </c>
      <c r="B21" s="279" t="str">
        <f>IF(AND(お客様情報!$E$2="通常オンプレ",COUNTIF(お客様情報!$R$5:$R$9,"m‐FILTER5")&gt;0),6,"")</f>
        <v/>
      </c>
      <c r="C21" s="278" t="str">
        <f>IFERROR(VLOOKUP("m‐FILTER"&amp;5,お客様情報!$R$5:$U$9,4,FALSE),"")</f>
        <v/>
      </c>
      <c r="D21" s="286" t="str">
        <f>D$13</f>
        <v/>
      </c>
      <c r="E21" s="286" t="str">
        <f>E$13</f>
        <v/>
      </c>
      <c r="F21" s="286" t="str">
        <f>F$13</f>
        <v/>
      </c>
      <c r="G21" s="286" t="str">
        <f>G$13</f>
        <v/>
      </c>
      <c r="H21" s="556" t="str">
        <f>H$13</f>
        <v/>
      </c>
      <c r="I21" s="314"/>
      <c r="J21" s="556" t="str">
        <f>J$13</f>
        <v/>
      </c>
      <c r="K21" s="556" t="str">
        <f>K$13</f>
        <v/>
      </c>
      <c r="L21" s="286" t="str">
        <f>L$13</f>
        <v/>
      </c>
      <c r="M21" s="286" t="str">
        <f>M$13</f>
        <v/>
      </c>
      <c r="N21" s="314"/>
      <c r="O21" s="314"/>
      <c r="P21" s="314"/>
      <c r="Q21" s="314"/>
      <c r="R21" s="314"/>
      <c r="S21" s="286" t="e">
        <f>S$13</f>
        <v>#N/A</v>
      </c>
      <c r="T21" s="286" t="e">
        <f>T$13</f>
        <v>#N/A</v>
      </c>
      <c r="U21" s="314"/>
      <c r="V21" s="314"/>
      <c r="W21" s="314"/>
      <c r="X21" s="314"/>
      <c r="Y21" s="314" t="str">
        <f>$Y$13</f>
        <v/>
      </c>
      <c r="Z21" s="314"/>
      <c r="AA21" s="314"/>
      <c r="AB21" s="314"/>
      <c r="AC21" s="314"/>
      <c r="AD21" s="314"/>
      <c r="AE21" s="314"/>
      <c r="AF21" s="278" t="str">
        <f>AF$13</f>
        <v/>
      </c>
      <c r="AG21" s="286" t="str">
        <f>AG$13</f>
        <v/>
      </c>
      <c r="AH21" s="314"/>
      <c r="AI21" s="314"/>
      <c r="AJ21" s="286">
        <f>AJ$13</f>
        <v>0</v>
      </c>
      <c r="AK21" s="314"/>
      <c r="AL21" s="314"/>
      <c r="AM21" s="314"/>
      <c r="AN21" s="314"/>
      <c r="AO21" s="314"/>
      <c r="AP21" s="314"/>
      <c r="AQ21" s="314"/>
      <c r="AR21" s="314"/>
      <c r="AS21" s="314"/>
      <c r="AT21" s="278" t="str">
        <f>AT$13</f>
        <v/>
      </c>
      <c r="AU21" s="278"/>
      <c r="AV21" s="378"/>
      <c r="AW21" s="378"/>
      <c r="AX21" s="378"/>
      <c r="AY21" s="378"/>
      <c r="AZ21" s="378"/>
      <c r="BA21" s="378"/>
      <c r="BB21" s="378"/>
    </row>
    <row r="22" spans="1:54">
      <c r="A22" s="340" t="s">
        <v>613</v>
      </c>
      <c r="B22" s="340" t="s">
        <v>634</v>
      </c>
      <c r="C22" s="340" t="s">
        <v>620</v>
      </c>
      <c r="D22" s="340" t="s">
        <v>621</v>
      </c>
      <c r="E22" s="340" t="s">
        <v>622</v>
      </c>
      <c r="F22" s="340" t="s">
        <v>614</v>
      </c>
      <c r="G22" s="340" t="s">
        <v>623</v>
      </c>
      <c r="H22" s="340" t="s">
        <v>624</v>
      </c>
      <c r="I22" s="340" t="s">
        <v>625</v>
      </c>
      <c r="J22" s="340" t="s">
        <v>626</v>
      </c>
      <c r="K22" s="340" t="s">
        <v>627</v>
      </c>
      <c r="L22" s="340" t="s">
        <v>628</v>
      </c>
      <c r="M22" s="340" t="s">
        <v>629</v>
      </c>
      <c r="N22" s="340" t="s">
        <v>630</v>
      </c>
      <c r="O22" s="340" t="s">
        <v>631</v>
      </c>
      <c r="P22" s="340" t="s">
        <v>632</v>
      </c>
      <c r="Q22" s="340" t="s">
        <v>633</v>
      </c>
      <c r="R22" s="340" t="s">
        <v>1116</v>
      </c>
      <c r="S22" s="340" t="s">
        <v>701</v>
      </c>
      <c r="T22" s="340" t="s">
        <v>702</v>
      </c>
      <c r="U22" s="340" t="s">
        <v>699</v>
      </c>
      <c r="V22" s="340" t="s">
        <v>700</v>
      </c>
      <c r="W22" s="340" t="s">
        <v>822</v>
      </c>
      <c r="X22" s="340" t="s">
        <v>880</v>
      </c>
      <c r="Y22" s="340" t="s">
        <v>1118</v>
      </c>
      <c r="Z22" s="340" t="s">
        <v>1124</v>
      </c>
      <c r="AA22" s="340" t="s">
        <v>1125</v>
      </c>
      <c r="AB22" s="340" t="s">
        <v>1126</v>
      </c>
      <c r="AC22" s="340" t="s">
        <v>1127</v>
      </c>
      <c r="AD22" s="340" t="s">
        <v>1128</v>
      </c>
      <c r="AE22" s="340" t="s">
        <v>737</v>
      </c>
      <c r="AF22" s="340" t="s">
        <v>741</v>
      </c>
      <c r="AG22" s="340" t="s">
        <v>745</v>
      </c>
      <c r="AH22" s="340" t="s">
        <v>746</v>
      </c>
      <c r="AI22" s="340" t="s">
        <v>748</v>
      </c>
      <c r="AJ22" s="340" t="s">
        <v>747</v>
      </c>
      <c r="AK22" s="340" t="s">
        <v>1096</v>
      </c>
      <c r="AL22" s="340" t="s">
        <v>1140</v>
      </c>
      <c r="AM22" s="340" t="s">
        <v>1141</v>
      </c>
      <c r="AN22" s="340" t="s">
        <v>1142</v>
      </c>
      <c r="AO22" s="340" t="s">
        <v>1143</v>
      </c>
      <c r="AP22" s="340" t="s">
        <v>1144</v>
      </c>
      <c r="AQ22" s="340" t="s">
        <v>1145</v>
      </c>
      <c r="AR22" s="340" t="s">
        <v>1146</v>
      </c>
      <c r="AS22" s="340" t="s">
        <v>1147</v>
      </c>
      <c r="AT22" s="340" t="s">
        <v>1176</v>
      </c>
      <c r="AU22" s="340" t="s">
        <v>1247</v>
      </c>
      <c r="AV22" s="340" t="s">
        <v>1290</v>
      </c>
      <c r="AW22" s="340" t="s">
        <v>1291</v>
      </c>
      <c r="AX22" s="340" t="s">
        <v>1294</v>
      </c>
      <c r="AY22" s="340" t="s">
        <v>1295</v>
      </c>
      <c r="AZ22" s="340" t="s">
        <v>1372</v>
      </c>
      <c r="BA22" s="340" t="s">
        <v>1373</v>
      </c>
      <c r="BB22" s="340" t="s">
        <v>1481</v>
      </c>
    </row>
    <row r="23" spans="1:54">
      <c r="A23" s="340" t="s">
        <v>612</v>
      </c>
      <c r="B23" s="279" t="str">
        <f>IF(AND(お客様情報!$E$2="通常オンプレ",COUNTIF(お客様情報!$R$5:$R$9,"FinalCode Ver.6 VA1")&gt;0),9,"")</f>
        <v/>
      </c>
      <c r="C23" s="278" t="str">
        <f>IFERROR(VLOOKUP("FinalCode Ver.6 VA"&amp;1,お客様情報!$R$5:$U$9,4,FALSE),"")</f>
        <v/>
      </c>
      <c r="D23" s="286" t="str">
        <f>IF(入力フォームiF・mF・FC・iFBC・MA!AZ116&lt;&gt;"",入力フォームiF・mF・FC・iFBC・MA!AZ116,"")</f>
        <v/>
      </c>
      <c r="E23" s="314"/>
      <c r="F23" s="278" t="str">
        <f>IF(入力フォームiF・mF・FC・iFBC・MA!AA116="新規",TEXT(中間データオンプレ!U35,"YYYY-MM-DD"),"")</f>
        <v/>
      </c>
      <c r="G23" s="278" t="str">
        <f>LEFT(入力フォームiF・mF・FC・iFBC・MA!BG116,1)</f>
        <v/>
      </c>
      <c r="H23" s="278" t="str">
        <f>IF(入力フォームiF・mF・FC・iFBC・MA!K120&lt;&gt;"",入力フォームiF・mF・FC・iFBC・MA!K120,"")</f>
        <v/>
      </c>
      <c r="I23" s="314"/>
      <c r="J23" s="314"/>
      <c r="K23" s="314"/>
      <c r="L23" s="278" t="str">
        <f>IF(入力フォームiF・mF・FC・iFBC・MA!AH120="有/m-FILTER保有",IF(入力フォームiF・mF・FC・iFBC・MA!AY120&lt;&gt;"",入力フォームiF・mF・FC・iFBC・MA!AY120,""),"")</f>
        <v/>
      </c>
      <c r="M23" s="278" t="str">
        <f>IF(AND(入力フォームiF・mF・FC・iFBC・MA!AA116="新規",入力フォームiF・mF・FC・iFBC・MA!CH116="有"),"",IF(入力フォームiF・mF・FC・iFBC・MA!CO116&lt;&gt;"",入力フォームiF・mF・FC・iFBC・MA!CO116,""))</f>
        <v/>
      </c>
      <c r="N23" s="314"/>
      <c r="O23" s="286" t="str">
        <f>IF(入力フォームiF・mF・FC・iFBC・MA!CK120&lt;&gt;"",入力フォームiF・mF・FC・iFBC・MA!CK120,"")</f>
        <v/>
      </c>
      <c r="P23" s="314"/>
      <c r="Q23" s="314"/>
      <c r="R23" s="314"/>
      <c r="S23" s="278" t="e">
        <f>IF(お客様情報!$N$64="","",お客様情報!$N$64)</f>
        <v>#N/A</v>
      </c>
      <c r="T23" s="278" t="e">
        <f>IF(お客様情報!$N$65="","",お客様情報!$N$65)</f>
        <v>#N/A</v>
      </c>
      <c r="U23" s="314"/>
      <c r="V23" s="314"/>
      <c r="W23" s="314"/>
      <c r="X23" s="314"/>
      <c r="Y23" s="314"/>
      <c r="Z23" s="314"/>
      <c r="AA23" s="314"/>
      <c r="AB23" s="314"/>
      <c r="AC23" s="314"/>
      <c r="AD23" s="314"/>
      <c r="AE23" s="314"/>
      <c r="AF23" s="314"/>
      <c r="AG23" s="314"/>
      <c r="AH23" s="314"/>
      <c r="AI23" s="314"/>
      <c r="AJ23" s="314"/>
      <c r="AK23" s="278" t="str">
        <f>IF(AND(入力フォームiF・mF・FC・iFBC・MA!AA116="新規",入力フォームiF・mF・FC・iFBC・MA!CH116="有",入力フォームiF・mF・FC・iFBC・MA!CO116&lt;&gt;""),入力フォームiF・mF・FC・iFBC・MA!CO116,"")</f>
        <v/>
      </c>
      <c r="AL23" s="314"/>
      <c r="AM23" s="314"/>
      <c r="AN23" s="314"/>
      <c r="AO23" s="314"/>
      <c r="AP23" s="314"/>
      <c r="AQ23" s="314"/>
      <c r="AR23" s="314"/>
      <c r="AS23" s="314"/>
      <c r="AT23" s="314"/>
      <c r="AU23" s="314"/>
      <c r="AV23" s="314"/>
      <c r="AW23" s="314"/>
      <c r="AX23" s="314"/>
      <c r="AY23" s="314"/>
      <c r="AZ23" s="314"/>
      <c r="BA23" s="314"/>
      <c r="BB23" s="314"/>
    </row>
    <row r="24" spans="1:54">
      <c r="A24" s="340" t="s">
        <v>586</v>
      </c>
      <c r="B24" s="340" t="s">
        <v>634</v>
      </c>
      <c r="C24" s="340" t="s">
        <v>620</v>
      </c>
      <c r="D24" s="340" t="s">
        <v>621</v>
      </c>
      <c r="E24" s="340" t="s">
        <v>622</v>
      </c>
      <c r="F24" s="340" t="s">
        <v>614</v>
      </c>
      <c r="G24" s="340" t="s">
        <v>623</v>
      </c>
      <c r="H24" s="340" t="s">
        <v>624</v>
      </c>
      <c r="I24" s="340" t="s">
        <v>625</v>
      </c>
      <c r="J24" s="340" t="s">
        <v>626</v>
      </c>
      <c r="K24" s="340" t="s">
        <v>627</v>
      </c>
      <c r="L24" s="340" t="s">
        <v>628</v>
      </c>
      <c r="M24" s="340" t="s">
        <v>629</v>
      </c>
      <c r="N24" s="340" t="s">
        <v>630</v>
      </c>
      <c r="O24" s="340" t="s">
        <v>631</v>
      </c>
      <c r="P24" s="340" t="s">
        <v>632</v>
      </c>
      <c r="Q24" s="340" t="s">
        <v>633</v>
      </c>
      <c r="R24" s="340" t="s">
        <v>1116</v>
      </c>
      <c r="S24" s="340" t="s">
        <v>701</v>
      </c>
      <c r="T24" s="340" t="s">
        <v>702</v>
      </c>
      <c r="U24" s="340" t="s">
        <v>699</v>
      </c>
      <c r="V24" s="340" t="s">
        <v>700</v>
      </c>
      <c r="W24" s="340" t="s">
        <v>822</v>
      </c>
      <c r="X24" s="340" t="s">
        <v>880</v>
      </c>
      <c r="Y24" s="340" t="s">
        <v>1118</v>
      </c>
      <c r="Z24" s="340" t="s">
        <v>1124</v>
      </c>
      <c r="AA24" s="340" t="s">
        <v>1125</v>
      </c>
      <c r="AB24" s="340" t="s">
        <v>1126</v>
      </c>
      <c r="AC24" s="340" t="s">
        <v>1127</v>
      </c>
      <c r="AD24" s="340" t="s">
        <v>1128</v>
      </c>
      <c r="AE24" s="340" t="s">
        <v>737</v>
      </c>
      <c r="AF24" s="340" t="s">
        <v>741</v>
      </c>
      <c r="AG24" s="340" t="s">
        <v>745</v>
      </c>
      <c r="AH24" s="340" t="s">
        <v>746</v>
      </c>
      <c r="AI24" s="340" t="s">
        <v>748</v>
      </c>
      <c r="AJ24" s="340" t="s">
        <v>747</v>
      </c>
      <c r="AK24" s="340" t="s">
        <v>1096</v>
      </c>
      <c r="AL24" s="340" t="s">
        <v>1140</v>
      </c>
      <c r="AM24" s="340" t="s">
        <v>1141</v>
      </c>
      <c r="AN24" s="340" t="s">
        <v>1142</v>
      </c>
      <c r="AO24" s="340" t="s">
        <v>1143</v>
      </c>
      <c r="AP24" s="340" t="s">
        <v>1144</v>
      </c>
      <c r="AQ24" s="340" t="s">
        <v>1145</v>
      </c>
      <c r="AR24" s="340" t="s">
        <v>1146</v>
      </c>
      <c r="AS24" s="340" t="s">
        <v>1147</v>
      </c>
      <c r="AT24" s="340" t="s">
        <v>1176</v>
      </c>
      <c r="AU24" s="340" t="s">
        <v>1247</v>
      </c>
      <c r="AV24" s="340" t="s">
        <v>1290</v>
      </c>
      <c r="AW24" s="340" t="s">
        <v>1291</v>
      </c>
      <c r="AX24" s="340" t="s">
        <v>1294</v>
      </c>
      <c r="AY24" s="340" t="s">
        <v>1295</v>
      </c>
      <c r="AZ24" s="340" t="s">
        <v>1372</v>
      </c>
      <c r="BA24" s="340" t="s">
        <v>1373</v>
      </c>
      <c r="BB24" s="340" t="s">
        <v>1481</v>
      </c>
    </row>
    <row r="25" spans="1:54">
      <c r="A25" s="340" t="s">
        <v>612</v>
      </c>
      <c r="B25" s="279" t="str">
        <f>IF(AND(お客様情報!$E$2="通常オンプレ",COUNTIF(お客様情報!$R$5:$R$9,"FinalCode Ver.6 VA2")&gt;0),9,"")</f>
        <v/>
      </c>
      <c r="C25" s="278" t="str">
        <f>IFERROR(VLOOKUP("FinalCode Ver.6 VA"&amp;2,お客様情報!$R$5:$U$9,4,FALSE),"")</f>
        <v/>
      </c>
      <c r="D25" s="286" t="str">
        <f>D$23</f>
        <v/>
      </c>
      <c r="E25" s="314"/>
      <c r="F25" s="286" t="str">
        <f>F$23</f>
        <v/>
      </c>
      <c r="G25" s="286" t="str">
        <f>G$23</f>
        <v/>
      </c>
      <c r="H25" s="286" t="str">
        <f>H$23</f>
        <v/>
      </c>
      <c r="I25" s="314"/>
      <c r="J25" s="314"/>
      <c r="K25" s="314"/>
      <c r="L25" s="286" t="str">
        <f>L$23</f>
        <v/>
      </c>
      <c r="M25" s="286" t="str">
        <f>M$23</f>
        <v/>
      </c>
      <c r="N25" s="314"/>
      <c r="O25" s="286" t="str">
        <f>O$23</f>
        <v/>
      </c>
      <c r="P25" s="314"/>
      <c r="Q25" s="314"/>
      <c r="R25" s="314"/>
      <c r="S25" s="286" t="e">
        <f>S$23</f>
        <v>#N/A</v>
      </c>
      <c r="T25" s="286" t="e">
        <f>T$23</f>
        <v>#N/A</v>
      </c>
      <c r="U25" s="314"/>
      <c r="V25" s="314"/>
      <c r="W25" s="314"/>
      <c r="X25" s="314"/>
      <c r="Y25" s="314"/>
      <c r="Z25" s="314"/>
      <c r="AA25" s="314"/>
      <c r="AB25" s="314"/>
      <c r="AC25" s="314"/>
      <c r="AD25" s="314"/>
      <c r="AE25" s="314"/>
      <c r="AF25" s="314"/>
      <c r="AG25" s="314"/>
      <c r="AH25" s="314"/>
      <c r="AI25" s="314"/>
      <c r="AJ25" s="314"/>
      <c r="AK25" s="278" t="str">
        <f>AK$23</f>
        <v/>
      </c>
      <c r="AL25" s="314"/>
      <c r="AM25" s="314"/>
      <c r="AN25" s="314"/>
      <c r="AO25" s="314"/>
      <c r="AP25" s="314"/>
      <c r="AQ25" s="314"/>
      <c r="AR25" s="314"/>
      <c r="AS25" s="314"/>
      <c r="AT25" s="314"/>
      <c r="AU25" s="314"/>
      <c r="AV25" s="314"/>
      <c r="AW25" s="314"/>
      <c r="AX25" s="314"/>
      <c r="AY25" s="314"/>
      <c r="AZ25" s="314"/>
      <c r="BA25" s="314"/>
      <c r="BB25" s="314"/>
    </row>
    <row r="26" spans="1:54">
      <c r="A26" s="340" t="s">
        <v>586</v>
      </c>
      <c r="B26" s="340" t="s">
        <v>634</v>
      </c>
      <c r="C26" s="340" t="s">
        <v>620</v>
      </c>
      <c r="D26" s="340" t="s">
        <v>621</v>
      </c>
      <c r="E26" s="340" t="s">
        <v>622</v>
      </c>
      <c r="F26" s="340" t="s">
        <v>614</v>
      </c>
      <c r="G26" s="340" t="s">
        <v>623</v>
      </c>
      <c r="H26" s="340" t="s">
        <v>624</v>
      </c>
      <c r="I26" s="340" t="s">
        <v>625</v>
      </c>
      <c r="J26" s="340" t="s">
        <v>626</v>
      </c>
      <c r="K26" s="340" t="s">
        <v>627</v>
      </c>
      <c r="L26" s="340" t="s">
        <v>628</v>
      </c>
      <c r="M26" s="340" t="s">
        <v>629</v>
      </c>
      <c r="N26" s="340" t="s">
        <v>630</v>
      </c>
      <c r="O26" s="340" t="s">
        <v>631</v>
      </c>
      <c r="P26" s="340" t="s">
        <v>632</v>
      </c>
      <c r="Q26" s="340" t="s">
        <v>633</v>
      </c>
      <c r="R26" s="340" t="s">
        <v>1116</v>
      </c>
      <c r="S26" s="340" t="s">
        <v>701</v>
      </c>
      <c r="T26" s="340" t="s">
        <v>702</v>
      </c>
      <c r="U26" s="340" t="s">
        <v>699</v>
      </c>
      <c r="V26" s="340" t="s">
        <v>700</v>
      </c>
      <c r="W26" s="340" t="s">
        <v>822</v>
      </c>
      <c r="X26" s="340" t="s">
        <v>880</v>
      </c>
      <c r="Y26" s="340" t="s">
        <v>1118</v>
      </c>
      <c r="Z26" s="340" t="s">
        <v>1124</v>
      </c>
      <c r="AA26" s="340" t="s">
        <v>1125</v>
      </c>
      <c r="AB26" s="340" t="s">
        <v>1126</v>
      </c>
      <c r="AC26" s="340" t="s">
        <v>1127</v>
      </c>
      <c r="AD26" s="340" t="s">
        <v>1128</v>
      </c>
      <c r="AE26" s="340" t="s">
        <v>737</v>
      </c>
      <c r="AF26" s="340" t="s">
        <v>741</v>
      </c>
      <c r="AG26" s="340" t="s">
        <v>745</v>
      </c>
      <c r="AH26" s="340" t="s">
        <v>746</v>
      </c>
      <c r="AI26" s="340" t="s">
        <v>748</v>
      </c>
      <c r="AJ26" s="340" t="s">
        <v>747</v>
      </c>
      <c r="AK26" s="340" t="s">
        <v>1096</v>
      </c>
      <c r="AL26" s="340" t="s">
        <v>1140</v>
      </c>
      <c r="AM26" s="340" t="s">
        <v>1141</v>
      </c>
      <c r="AN26" s="340" t="s">
        <v>1142</v>
      </c>
      <c r="AO26" s="340" t="s">
        <v>1143</v>
      </c>
      <c r="AP26" s="340" t="s">
        <v>1144</v>
      </c>
      <c r="AQ26" s="340" t="s">
        <v>1145</v>
      </c>
      <c r="AR26" s="340" t="s">
        <v>1146</v>
      </c>
      <c r="AS26" s="340" t="s">
        <v>1147</v>
      </c>
      <c r="AT26" s="340" t="s">
        <v>1176</v>
      </c>
      <c r="AU26" s="340" t="s">
        <v>1247</v>
      </c>
      <c r="AV26" s="340" t="s">
        <v>1290</v>
      </c>
      <c r="AW26" s="340" t="s">
        <v>1291</v>
      </c>
      <c r="AX26" s="340" t="s">
        <v>1294</v>
      </c>
      <c r="AY26" s="340" t="s">
        <v>1295</v>
      </c>
      <c r="AZ26" s="340" t="s">
        <v>1372</v>
      </c>
      <c r="BA26" s="340" t="s">
        <v>1373</v>
      </c>
      <c r="BB26" s="340" t="s">
        <v>1481</v>
      </c>
    </row>
    <row r="27" spans="1:54">
      <c r="A27" s="340" t="s">
        <v>612</v>
      </c>
      <c r="B27" s="279" t="str">
        <f>IF(AND(お客様情報!$E$2="通常オンプレ",COUNTIF(お客様情報!$R$5:$R$9,"FinalCode Ver.6 VA3")&gt;0),9,"")</f>
        <v/>
      </c>
      <c r="C27" s="278" t="str">
        <f>IFERROR(VLOOKUP("FinalCode Ver.6 VA"&amp;3,お客様情報!$R$5:$U$9,4,FALSE),"")</f>
        <v/>
      </c>
      <c r="D27" s="286" t="str">
        <f>D$23</f>
        <v/>
      </c>
      <c r="E27" s="314"/>
      <c r="F27" s="286" t="str">
        <f>F$23</f>
        <v/>
      </c>
      <c r="G27" s="286" t="str">
        <f>G$23</f>
        <v/>
      </c>
      <c r="H27" s="286" t="str">
        <f>H$23</f>
        <v/>
      </c>
      <c r="I27" s="314"/>
      <c r="J27" s="314"/>
      <c r="K27" s="314"/>
      <c r="L27" s="286" t="str">
        <f>L$23</f>
        <v/>
      </c>
      <c r="M27" s="286" t="str">
        <f>M$23</f>
        <v/>
      </c>
      <c r="N27" s="314"/>
      <c r="O27" s="286" t="str">
        <f>O$23</f>
        <v/>
      </c>
      <c r="P27" s="314"/>
      <c r="Q27" s="314"/>
      <c r="R27" s="314"/>
      <c r="S27" s="286" t="e">
        <f>S$23</f>
        <v>#N/A</v>
      </c>
      <c r="T27" s="286" t="e">
        <f>T$23</f>
        <v>#N/A</v>
      </c>
      <c r="U27" s="314"/>
      <c r="V27" s="314"/>
      <c r="W27" s="314"/>
      <c r="X27" s="314"/>
      <c r="Y27" s="314"/>
      <c r="Z27" s="314"/>
      <c r="AA27" s="314"/>
      <c r="AB27" s="314"/>
      <c r="AC27" s="314"/>
      <c r="AD27" s="314"/>
      <c r="AE27" s="314"/>
      <c r="AF27" s="314"/>
      <c r="AG27" s="314"/>
      <c r="AH27" s="314"/>
      <c r="AI27" s="314"/>
      <c r="AJ27" s="314"/>
      <c r="AK27" s="278" t="str">
        <f>AK$23</f>
        <v/>
      </c>
      <c r="AL27" s="314"/>
      <c r="AM27" s="314"/>
      <c r="AN27" s="314"/>
      <c r="AO27" s="314"/>
      <c r="AP27" s="314"/>
      <c r="AQ27" s="314"/>
      <c r="AR27" s="314"/>
      <c r="AS27" s="314"/>
      <c r="AT27" s="314"/>
      <c r="AU27" s="314"/>
      <c r="AV27" s="314"/>
      <c r="AW27" s="314"/>
      <c r="AX27" s="314"/>
      <c r="AY27" s="314"/>
      <c r="AZ27" s="314"/>
      <c r="BA27" s="314"/>
      <c r="BB27" s="314"/>
    </row>
    <row r="28" spans="1:54">
      <c r="A28" s="340" t="s">
        <v>586</v>
      </c>
      <c r="B28" s="340" t="s">
        <v>634</v>
      </c>
      <c r="C28" s="340" t="s">
        <v>620</v>
      </c>
      <c r="D28" s="340" t="s">
        <v>621</v>
      </c>
      <c r="E28" s="340" t="s">
        <v>622</v>
      </c>
      <c r="F28" s="340" t="s">
        <v>614</v>
      </c>
      <c r="G28" s="340" t="s">
        <v>623</v>
      </c>
      <c r="H28" s="340" t="s">
        <v>624</v>
      </c>
      <c r="I28" s="340" t="s">
        <v>625</v>
      </c>
      <c r="J28" s="340" t="s">
        <v>626</v>
      </c>
      <c r="K28" s="340" t="s">
        <v>627</v>
      </c>
      <c r="L28" s="340" t="s">
        <v>628</v>
      </c>
      <c r="M28" s="340" t="s">
        <v>629</v>
      </c>
      <c r="N28" s="340" t="s">
        <v>630</v>
      </c>
      <c r="O28" s="340" t="s">
        <v>631</v>
      </c>
      <c r="P28" s="340" t="s">
        <v>632</v>
      </c>
      <c r="Q28" s="340" t="s">
        <v>633</v>
      </c>
      <c r="R28" s="340" t="s">
        <v>1116</v>
      </c>
      <c r="S28" s="340" t="s">
        <v>701</v>
      </c>
      <c r="T28" s="340" t="s">
        <v>702</v>
      </c>
      <c r="U28" s="340" t="s">
        <v>699</v>
      </c>
      <c r="V28" s="340" t="s">
        <v>700</v>
      </c>
      <c r="W28" s="340" t="s">
        <v>822</v>
      </c>
      <c r="X28" s="340" t="s">
        <v>880</v>
      </c>
      <c r="Y28" s="340" t="s">
        <v>1118</v>
      </c>
      <c r="Z28" s="340" t="s">
        <v>1124</v>
      </c>
      <c r="AA28" s="340" t="s">
        <v>1125</v>
      </c>
      <c r="AB28" s="340" t="s">
        <v>1126</v>
      </c>
      <c r="AC28" s="340" t="s">
        <v>1127</v>
      </c>
      <c r="AD28" s="340" t="s">
        <v>1128</v>
      </c>
      <c r="AE28" s="340" t="s">
        <v>737</v>
      </c>
      <c r="AF28" s="340" t="s">
        <v>741</v>
      </c>
      <c r="AG28" s="340" t="s">
        <v>745</v>
      </c>
      <c r="AH28" s="340" t="s">
        <v>746</v>
      </c>
      <c r="AI28" s="340" t="s">
        <v>748</v>
      </c>
      <c r="AJ28" s="340" t="s">
        <v>747</v>
      </c>
      <c r="AK28" s="340" t="s">
        <v>1096</v>
      </c>
      <c r="AL28" s="340" t="s">
        <v>1140</v>
      </c>
      <c r="AM28" s="340" t="s">
        <v>1141</v>
      </c>
      <c r="AN28" s="340" t="s">
        <v>1142</v>
      </c>
      <c r="AO28" s="340" t="s">
        <v>1143</v>
      </c>
      <c r="AP28" s="340" t="s">
        <v>1144</v>
      </c>
      <c r="AQ28" s="340" t="s">
        <v>1145</v>
      </c>
      <c r="AR28" s="340" t="s">
        <v>1146</v>
      </c>
      <c r="AS28" s="340" t="s">
        <v>1147</v>
      </c>
      <c r="AT28" s="340" t="s">
        <v>1176</v>
      </c>
      <c r="AU28" s="340" t="s">
        <v>1247</v>
      </c>
      <c r="AV28" s="340" t="s">
        <v>1290</v>
      </c>
      <c r="AW28" s="340" t="s">
        <v>1291</v>
      </c>
      <c r="AX28" s="340" t="s">
        <v>1294</v>
      </c>
      <c r="AY28" s="340" t="s">
        <v>1295</v>
      </c>
      <c r="AZ28" s="340" t="s">
        <v>1372</v>
      </c>
      <c r="BA28" s="340" t="s">
        <v>1373</v>
      </c>
      <c r="BB28" s="340" t="s">
        <v>1481</v>
      </c>
    </row>
    <row r="29" spans="1:54">
      <c r="A29" s="340" t="s">
        <v>612</v>
      </c>
      <c r="B29" s="279" t="str">
        <f>IF(AND(お客様情報!$E$2="通常オンプレ",COUNTIF(お客様情報!$R$5:$R$9,"FinalCode Ver.6 VA4")&gt;0),9,"")</f>
        <v/>
      </c>
      <c r="C29" s="278" t="str">
        <f>IFERROR(VLOOKUP("FinalCode Ver.6 VA"&amp;4,お客様情報!$R$5:$U$9,4,FALSE),"")</f>
        <v/>
      </c>
      <c r="D29" s="286" t="str">
        <f>D$23</f>
        <v/>
      </c>
      <c r="E29" s="314"/>
      <c r="F29" s="286" t="str">
        <f>F$23</f>
        <v/>
      </c>
      <c r="G29" s="286" t="str">
        <f>G$23</f>
        <v/>
      </c>
      <c r="H29" s="286" t="str">
        <f>H$23</f>
        <v/>
      </c>
      <c r="I29" s="314"/>
      <c r="J29" s="314"/>
      <c r="K29" s="314"/>
      <c r="L29" s="286" t="str">
        <f>L$23</f>
        <v/>
      </c>
      <c r="M29" s="286" t="str">
        <f>M$23</f>
        <v/>
      </c>
      <c r="N29" s="314"/>
      <c r="O29" s="286" t="str">
        <f>O$23</f>
        <v/>
      </c>
      <c r="P29" s="314"/>
      <c r="Q29" s="314"/>
      <c r="R29" s="314"/>
      <c r="S29" s="286" t="e">
        <f>S$23</f>
        <v>#N/A</v>
      </c>
      <c r="T29" s="286" t="e">
        <f>T$23</f>
        <v>#N/A</v>
      </c>
      <c r="U29" s="314"/>
      <c r="V29" s="314"/>
      <c r="W29" s="314"/>
      <c r="X29" s="314"/>
      <c r="Y29" s="314"/>
      <c r="Z29" s="314"/>
      <c r="AA29" s="314"/>
      <c r="AB29" s="314"/>
      <c r="AC29" s="314"/>
      <c r="AD29" s="314"/>
      <c r="AE29" s="314"/>
      <c r="AF29" s="314"/>
      <c r="AG29" s="314"/>
      <c r="AH29" s="314"/>
      <c r="AI29" s="314"/>
      <c r="AJ29" s="314"/>
      <c r="AK29" s="278" t="str">
        <f>AK$23</f>
        <v/>
      </c>
      <c r="AL29" s="314"/>
      <c r="AM29" s="314"/>
      <c r="AN29" s="314"/>
      <c r="AO29" s="314"/>
      <c r="AP29" s="314"/>
      <c r="AQ29" s="314"/>
      <c r="AR29" s="314"/>
      <c r="AS29" s="314"/>
      <c r="AT29" s="314"/>
      <c r="AU29" s="314"/>
      <c r="AV29" s="314"/>
      <c r="AW29" s="314"/>
      <c r="AX29" s="314"/>
      <c r="AY29" s="314"/>
      <c r="AZ29" s="314"/>
      <c r="BA29" s="314"/>
      <c r="BB29" s="314"/>
    </row>
    <row r="30" spans="1:54">
      <c r="A30" s="340" t="s">
        <v>586</v>
      </c>
      <c r="B30" s="340" t="s">
        <v>634</v>
      </c>
      <c r="C30" s="340" t="s">
        <v>620</v>
      </c>
      <c r="D30" s="340" t="s">
        <v>621</v>
      </c>
      <c r="E30" s="340" t="s">
        <v>622</v>
      </c>
      <c r="F30" s="340" t="s">
        <v>614</v>
      </c>
      <c r="G30" s="340" t="s">
        <v>623</v>
      </c>
      <c r="H30" s="340" t="s">
        <v>624</v>
      </c>
      <c r="I30" s="340" t="s">
        <v>625</v>
      </c>
      <c r="J30" s="340" t="s">
        <v>626</v>
      </c>
      <c r="K30" s="340" t="s">
        <v>627</v>
      </c>
      <c r="L30" s="340" t="s">
        <v>628</v>
      </c>
      <c r="M30" s="340" t="s">
        <v>629</v>
      </c>
      <c r="N30" s="340" t="s">
        <v>630</v>
      </c>
      <c r="O30" s="340" t="s">
        <v>631</v>
      </c>
      <c r="P30" s="340" t="s">
        <v>632</v>
      </c>
      <c r="Q30" s="340" t="s">
        <v>633</v>
      </c>
      <c r="R30" s="340" t="s">
        <v>1116</v>
      </c>
      <c r="S30" s="340" t="s">
        <v>701</v>
      </c>
      <c r="T30" s="340" t="s">
        <v>702</v>
      </c>
      <c r="U30" s="340" t="s">
        <v>699</v>
      </c>
      <c r="V30" s="340" t="s">
        <v>700</v>
      </c>
      <c r="W30" s="340" t="s">
        <v>822</v>
      </c>
      <c r="X30" s="340" t="s">
        <v>880</v>
      </c>
      <c r="Y30" s="340" t="s">
        <v>1118</v>
      </c>
      <c r="Z30" s="340" t="s">
        <v>1124</v>
      </c>
      <c r="AA30" s="340" t="s">
        <v>1125</v>
      </c>
      <c r="AB30" s="340" t="s">
        <v>1126</v>
      </c>
      <c r="AC30" s="340" t="s">
        <v>1127</v>
      </c>
      <c r="AD30" s="340" t="s">
        <v>1128</v>
      </c>
      <c r="AE30" s="340" t="s">
        <v>737</v>
      </c>
      <c r="AF30" s="340" t="s">
        <v>741</v>
      </c>
      <c r="AG30" s="340" t="s">
        <v>745</v>
      </c>
      <c r="AH30" s="340" t="s">
        <v>746</v>
      </c>
      <c r="AI30" s="340" t="s">
        <v>748</v>
      </c>
      <c r="AJ30" s="340" t="s">
        <v>747</v>
      </c>
      <c r="AK30" s="340" t="s">
        <v>1096</v>
      </c>
      <c r="AL30" s="340" t="s">
        <v>1140</v>
      </c>
      <c r="AM30" s="340" t="s">
        <v>1141</v>
      </c>
      <c r="AN30" s="340" t="s">
        <v>1142</v>
      </c>
      <c r="AO30" s="340" t="s">
        <v>1143</v>
      </c>
      <c r="AP30" s="340" t="s">
        <v>1144</v>
      </c>
      <c r="AQ30" s="340" t="s">
        <v>1145</v>
      </c>
      <c r="AR30" s="340" t="s">
        <v>1146</v>
      </c>
      <c r="AS30" s="340" t="s">
        <v>1147</v>
      </c>
      <c r="AT30" s="340" t="s">
        <v>1176</v>
      </c>
      <c r="AU30" s="340" t="s">
        <v>1247</v>
      </c>
      <c r="AV30" s="340" t="s">
        <v>1290</v>
      </c>
      <c r="AW30" s="340" t="s">
        <v>1291</v>
      </c>
      <c r="AX30" s="340" t="s">
        <v>1294</v>
      </c>
      <c r="AY30" s="340" t="s">
        <v>1295</v>
      </c>
      <c r="AZ30" s="340" t="s">
        <v>1372</v>
      </c>
      <c r="BA30" s="340" t="s">
        <v>1373</v>
      </c>
      <c r="BB30" s="340" t="s">
        <v>1481</v>
      </c>
    </row>
    <row r="31" spans="1:54">
      <c r="A31" s="340" t="s">
        <v>612</v>
      </c>
      <c r="B31" s="279" t="str">
        <f>IF(AND(お客様情報!$E$2="通常オンプレ",COUNTIF(お客様情報!$R$5:$R$9,"FinalCode Ver.6 VA5")&gt;0),9,"")</f>
        <v/>
      </c>
      <c r="C31" s="278" t="str">
        <f>IFERROR(VLOOKUP("FinalCode Ver.6 VA"&amp;5,お客様情報!$R$5:$U$9,4,FALSE),"")</f>
        <v/>
      </c>
      <c r="D31" s="286" t="str">
        <f>D$23</f>
        <v/>
      </c>
      <c r="E31" s="314"/>
      <c r="F31" s="286" t="str">
        <f>F$23</f>
        <v/>
      </c>
      <c r="G31" s="286" t="str">
        <f>G$23</f>
        <v/>
      </c>
      <c r="H31" s="286" t="str">
        <f>H$23</f>
        <v/>
      </c>
      <c r="I31" s="314"/>
      <c r="J31" s="314"/>
      <c r="K31" s="314"/>
      <c r="L31" s="286" t="str">
        <f>L$23</f>
        <v/>
      </c>
      <c r="M31" s="286" t="str">
        <f>M$23</f>
        <v/>
      </c>
      <c r="N31" s="314"/>
      <c r="O31" s="286" t="str">
        <f>O$23</f>
        <v/>
      </c>
      <c r="P31" s="314"/>
      <c r="Q31" s="314"/>
      <c r="R31" s="314"/>
      <c r="S31" s="286" t="e">
        <f>S$23</f>
        <v>#N/A</v>
      </c>
      <c r="T31" s="286" t="e">
        <f>T$23</f>
        <v>#N/A</v>
      </c>
      <c r="U31" s="314"/>
      <c r="V31" s="314"/>
      <c r="W31" s="314"/>
      <c r="X31" s="314"/>
      <c r="Y31" s="314"/>
      <c r="Z31" s="314"/>
      <c r="AA31" s="314"/>
      <c r="AB31" s="314"/>
      <c r="AC31" s="314"/>
      <c r="AD31" s="314"/>
      <c r="AE31" s="314"/>
      <c r="AF31" s="314"/>
      <c r="AG31" s="314"/>
      <c r="AH31" s="314"/>
      <c r="AI31" s="314"/>
      <c r="AJ31" s="314"/>
      <c r="AK31" s="278" t="str">
        <f>AK$23</f>
        <v/>
      </c>
      <c r="AL31" s="314"/>
      <c r="AM31" s="314"/>
      <c r="AN31" s="314"/>
      <c r="AO31" s="314"/>
      <c r="AP31" s="314"/>
      <c r="AQ31" s="314"/>
      <c r="AR31" s="314"/>
      <c r="AS31" s="314"/>
      <c r="AT31" s="314"/>
      <c r="AU31" s="314"/>
      <c r="AV31" s="314"/>
      <c r="AW31" s="314"/>
      <c r="AX31" s="314"/>
      <c r="AY31" s="314"/>
      <c r="AZ31" s="314"/>
      <c r="BA31" s="314"/>
      <c r="BB31" s="314"/>
    </row>
    <row r="32" spans="1:54">
      <c r="A32" s="341" t="s">
        <v>586</v>
      </c>
      <c r="B32" s="341" t="s">
        <v>634</v>
      </c>
      <c r="C32" s="341" t="s">
        <v>620</v>
      </c>
      <c r="D32" s="341" t="s">
        <v>621</v>
      </c>
      <c r="E32" s="341" t="s">
        <v>622</v>
      </c>
      <c r="F32" s="341" t="s">
        <v>614</v>
      </c>
      <c r="G32" s="341" t="s">
        <v>623</v>
      </c>
      <c r="H32" s="341" t="s">
        <v>624</v>
      </c>
      <c r="I32" s="341" t="s">
        <v>625</v>
      </c>
      <c r="J32" s="341" t="s">
        <v>626</v>
      </c>
      <c r="K32" s="341" t="s">
        <v>627</v>
      </c>
      <c r="L32" s="341" t="s">
        <v>628</v>
      </c>
      <c r="M32" s="341" t="s">
        <v>629</v>
      </c>
      <c r="N32" s="341" t="s">
        <v>630</v>
      </c>
      <c r="O32" s="341" t="s">
        <v>631</v>
      </c>
      <c r="P32" s="341" t="s">
        <v>632</v>
      </c>
      <c r="Q32" s="341" t="s">
        <v>633</v>
      </c>
      <c r="R32" s="341" t="s">
        <v>1116</v>
      </c>
      <c r="S32" s="341" t="s">
        <v>701</v>
      </c>
      <c r="T32" s="341" t="s">
        <v>702</v>
      </c>
      <c r="U32" s="341" t="s">
        <v>699</v>
      </c>
      <c r="V32" s="341" t="s">
        <v>700</v>
      </c>
      <c r="W32" s="341" t="s">
        <v>822</v>
      </c>
      <c r="X32" s="341" t="s">
        <v>880</v>
      </c>
      <c r="Y32" s="341" t="s">
        <v>1118</v>
      </c>
      <c r="Z32" s="341" t="s">
        <v>1124</v>
      </c>
      <c r="AA32" s="341" t="s">
        <v>1125</v>
      </c>
      <c r="AB32" s="341" t="s">
        <v>1126</v>
      </c>
      <c r="AC32" s="341" t="s">
        <v>1127</v>
      </c>
      <c r="AD32" s="341" t="s">
        <v>1128</v>
      </c>
      <c r="AE32" s="341" t="s">
        <v>737</v>
      </c>
      <c r="AF32" s="341" t="s">
        <v>741</v>
      </c>
      <c r="AG32" s="341" t="s">
        <v>745</v>
      </c>
      <c r="AH32" s="341" t="s">
        <v>1340</v>
      </c>
      <c r="AI32" s="341" t="s">
        <v>748</v>
      </c>
      <c r="AJ32" s="341" t="s">
        <v>747</v>
      </c>
      <c r="AK32" s="341" t="s">
        <v>1096</v>
      </c>
      <c r="AL32" s="341" t="s">
        <v>1140</v>
      </c>
      <c r="AM32" s="341" t="s">
        <v>1141</v>
      </c>
      <c r="AN32" s="341" t="s">
        <v>1142</v>
      </c>
      <c r="AO32" s="341" t="s">
        <v>1143</v>
      </c>
      <c r="AP32" s="341" t="s">
        <v>1144</v>
      </c>
      <c r="AQ32" s="341" t="s">
        <v>1145</v>
      </c>
      <c r="AR32" s="341" t="s">
        <v>1146</v>
      </c>
      <c r="AS32" s="341" t="s">
        <v>1147</v>
      </c>
      <c r="AT32" s="341" t="s">
        <v>1341</v>
      </c>
      <c r="AU32" s="341" t="s">
        <v>1247</v>
      </c>
      <c r="AV32" s="341" t="s">
        <v>1290</v>
      </c>
      <c r="AW32" s="341" t="s">
        <v>1291</v>
      </c>
      <c r="AX32" s="341" t="s">
        <v>1294</v>
      </c>
      <c r="AY32" s="341" t="s">
        <v>1295</v>
      </c>
      <c r="AZ32" s="341" t="s">
        <v>1372</v>
      </c>
      <c r="BA32" s="341" t="s">
        <v>1373</v>
      </c>
      <c r="BB32" s="341" t="s">
        <v>1481</v>
      </c>
    </row>
    <row r="33" spans="1:54">
      <c r="A33" s="342" t="s">
        <v>612</v>
      </c>
      <c r="B33" s="279" t="str">
        <f>IF(AND(お客様情報!$E$2="通常オンプレ",COUNTIF(お客様情報!$R$5:$R$9,"m-FILTER MailAdviser1")&gt;0),7,"")</f>
        <v/>
      </c>
      <c r="C33" s="278" t="str">
        <f>IFERROR(VLOOKUP("m-FILTER MailAdviser"&amp;1,お客様情報!$R$5:$U$9,4,FALSE),"")</f>
        <v/>
      </c>
      <c r="D33" s="286" t="str">
        <f>IF(入力フォームiF・mF・FC・iFBC・MA!AR148&lt;&gt;"",入力フォームiF・mF・FC・iFBC・MA!AR148,"")</f>
        <v/>
      </c>
      <c r="E33" s="314"/>
      <c r="F33" s="278" t="str">
        <f>IF(入力フォームiF・mF・FC・iFBC・MA!X148="新規",TEXT(中間データオンプレ!U3,"YYYY-MM-DD"),"")</f>
        <v/>
      </c>
      <c r="G33" s="278" t="str">
        <f>LEFT(入力フォームiF・mF・FC・iFBC・MA!AY148,1)</f>
        <v/>
      </c>
      <c r="H33" s="278" t="str">
        <f>IF(AND(入力フォームiF・mF・FC・iFBC・MA!E148="Microsoft 365版",入力フォームiF・mF・FC・iFBC・MA!BU152&lt;&gt;""),入力フォームiF・mF・FC・iFBC・MA!BU152,IF(入力フォームiF・mF・FC・iFBC・MA!I152="有/暗号化強固OP保有なし",入力フォームiF・mF・FC・iFBC・MA!BU152,""))</f>
        <v/>
      </c>
      <c r="I33" s="314"/>
      <c r="J33" s="314"/>
      <c r="K33" s="314"/>
      <c r="L33" s="278" t="str">
        <f>IF(入力フォームiF・mF・FC・iFBC・MA!AF152&lt;&gt;"",入力フォームiF・mF・FC・iFBC・MA!AF152,"")</f>
        <v/>
      </c>
      <c r="M33" s="602">
        <f>IF(AND(入力フォームiF・mF・FC・iFBC・MA!E148="Microsoft 365版",入力フォームiF・mF・FC・iFBC・MA!CA148="有",入力フォームiF・mF・FC・iFBC・MA!X148="新規"),"",入力フォームiF・mF・FC・iFBC・MA!CR148)</f>
        <v>0</v>
      </c>
      <c r="N33" s="314"/>
      <c r="O33" s="314"/>
      <c r="P33" s="314"/>
      <c r="Q33" s="314"/>
      <c r="R33" s="314"/>
      <c r="S33" s="278" t="e">
        <f>IF(お客様情報!$N$64="","",お客様情報!$N$64)</f>
        <v>#N/A</v>
      </c>
      <c r="T33" s="278" t="e">
        <f>IF(お客様情報!$N$65="","",お客様情報!$N$65)</f>
        <v>#N/A</v>
      </c>
      <c r="U33" s="314"/>
      <c r="V33" s="314"/>
      <c r="W33" s="314"/>
      <c r="X33" s="314"/>
      <c r="Y33" s="314"/>
      <c r="Z33" s="314"/>
      <c r="AA33" s="314"/>
      <c r="AB33" s="314"/>
      <c r="AC33" s="314"/>
      <c r="AD33" s="314"/>
      <c r="AE33" s="314"/>
      <c r="AF33" s="314"/>
      <c r="AG33" s="314"/>
      <c r="AH33" s="314"/>
      <c r="AI33" s="314"/>
      <c r="AJ33" s="314"/>
      <c r="AK33" s="567" t="str">
        <f>IF(AND(入力フォームiF・mF・FC・iFBC・MA!E148="Microsoft 365版",入力フォームiF・mF・FC・iFBC・MA!CA148="有",入力フォームiF・mF・FC・iFBC・MA!CR148&lt;&gt;""),入力フォームiF・mF・FC・iFBC・MA!CR148,"")</f>
        <v/>
      </c>
      <c r="AL33" s="314"/>
      <c r="AM33" s="314"/>
      <c r="AN33" s="314"/>
      <c r="AO33" s="314"/>
      <c r="AP33" s="314"/>
      <c r="AQ33" s="314"/>
      <c r="AR33" s="314"/>
      <c r="AS33" s="314"/>
      <c r="AT33" s="567" t="str">
        <f>IF(AND(入力フォームiF・mF・FC・iFBC・MA!E148="Microsoft 365版",入力フォームiF・mF・FC・iFBC・MA!AF152&lt;&gt;""),入力フォームiF・mF・FC・iFBC・MA!AF152,IF(入力フォームiF・mF・FC・iFBC・MA!I152="有/暗号化強固OP保有あり",入力フォームiF・mF・FC・iFBC・MA!AF152,""))</f>
        <v/>
      </c>
      <c r="AU33" s="378"/>
      <c r="AV33" s="314"/>
      <c r="AW33" s="314"/>
      <c r="AX33" s="314"/>
      <c r="AY33" s="314"/>
      <c r="AZ33" s="314"/>
      <c r="BA33" s="314"/>
      <c r="BB33" s="314"/>
    </row>
    <row r="34" spans="1:54">
      <c r="A34" s="341" t="s">
        <v>586</v>
      </c>
      <c r="B34" s="341" t="s">
        <v>634</v>
      </c>
      <c r="C34" s="341" t="s">
        <v>620</v>
      </c>
      <c r="D34" s="341" t="s">
        <v>621</v>
      </c>
      <c r="E34" s="341" t="s">
        <v>622</v>
      </c>
      <c r="F34" s="341" t="s">
        <v>614</v>
      </c>
      <c r="G34" s="341" t="s">
        <v>623</v>
      </c>
      <c r="H34" s="341" t="s">
        <v>624</v>
      </c>
      <c r="I34" s="341" t="s">
        <v>625</v>
      </c>
      <c r="J34" s="341" t="s">
        <v>626</v>
      </c>
      <c r="K34" s="341" t="s">
        <v>627</v>
      </c>
      <c r="L34" s="341" t="s">
        <v>628</v>
      </c>
      <c r="M34" s="341" t="s">
        <v>629</v>
      </c>
      <c r="N34" s="341" t="s">
        <v>630</v>
      </c>
      <c r="O34" s="341" t="s">
        <v>631</v>
      </c>
      <c r="P34" s="341" t="s">
        <v>632</v>
      </c>
      <c r="Q34" s="341" t="s">
        <v>633</v>
      </c>
      <c r="R34" s="341" t="s">
        <v>1116</v>
      </c>
      <c r="S34" s="341" t="s">
        <v>701</v>
      </c>
      <c r="T34" s="341" t="s">
        <v>702</v>
      </c>
      <c r="U34" s="341" t="s">
        <v>699</v>
      </c>
      <c r="V34" s="341" t="s">
        <v>700</v>
      </c>
      <c r="W34" s="341" t="s">
        <v>822</v>
      </c>
      <c r="X34" s="341" t="s">
        <v>880</v>
      </c>
      <c r="Y34" s="341" t="s">
        <v>1118</v>
      </c>
      <c r="Z34" s="341" t="s">
        <v>1124</v>
      </c>
      <c r="AA34" s="341" t="s">
        <v>1125</v>
      </c>
      <c r="AB34" s="341" t="s">
        <v>1126</v>
      </c>
      <c r="AC34" s="341" t="s">
        <v>1127</v>
      </c>
      <c r="AD34" s="341" t="s">
        <v>1128</v>
      </c>
      <c r="AE34" s="341" t="s">
        <v>737</v>
      </c>
      <c r="AF34" s="341" t="s">
        <v>741</v>
      </c>
      <c r="AG34" s="341" t="s">
        <v>745</v>
      </c>
      <c r="AH34" s="341" t="s">
        <v>746</v>
      </c>
      <c r="AI34" s="341" t="s">
        <v>748</v>
      </c>
      <c r="AJ34" s="341" t="s">
        <v>747</v>
      </c>
      <c r="AK34" s="341" t="s">
        <v>1096</v>
      </c>
      <c r="AL34" s="341" t="s">
        <v>1140</v>
      </c>
      <c r="AM34" s="341" t="s">
        <v>1141</v>
      </c>
      <c r="AN34" s="341" t="s">
        <v>1142</v>
      </c>
      <c r="AO34" s="341" t="s">
        <v>1143</v>
      </c>
      <c r="AP34" s="341" t="s">
        <v>1144</v>
      </c>
      <c r="AQ34" s="341" t="s">
        <v>1145</v>
      </c>
      <c r="AR34" s="341" t="s">
        <v>1146</v>
      </c>
      <c r="AS34" s="341" t="s">
        <v>1147</v>
      </c>
      <c r="AT34" s="341" t="s">
        <v>1176</v>
      </c>
      <c r="AU34" s="341" t="s">
        <v>1247</v>
      </c>
      <c r="AV34" s="341" t="s">
        <v>1290</v>
      </c>
      <c r="AW34" s="341" t="s">
        <v>1291</v>
      </c>
      <c r="AX34" s="341" t="s">
        <v>1294</v>
      </c>
      <c r="AY34" s="341" t="s">
        <v>1295</v>
      </c>
      <c r="AZ34" s="341" t="s">
        <v>1372</v>
      </c>
      <c r="BA34" s="341" t="s">
        <v>1373</v>
      </c>
      <c r="BB34" s="341" t="s">
        <v>1481</v>
      </c>
    </row>
    <row r="35" spans="1:54">
      <c r="A35" s="342" t="s">
        <v>612</v>
      </c>
      <c r="B35" s="279" t="str">
        <f>IF(AND(お客様情報!$E$2="通常オンプレ",COUNTIF(お客様情報!$R$5:$R$9,"m-FILTER MailAdviser2")&gt;0),7,"")</f>
        <v/>
      </c>
      <c r="C35" s="278" t="str">
        <f>IFERROR(VLOOKUP("m-FILTER MailAdviser"&amp;2,お客様情報!$R$5:$U$9,4,FALSE),"")</f>
        <v/>
      </c>
      <c r="D35" s="286" t="str">
        <f>D$33</f>
        <v/>
      </c>
      <c r="E35" s="314"/>
      <c r="F35" s="286" t="str">
        <f>F$33</f>
        <v/>
      </c>
      <c r="G35" s="286" t="str">
        <f>G$33</f>
        <v/>
      </c>
      <c r="H35" s="278" t="str">
        <f>H$33</f>
        <v/>
      </c>
      <c r="I35" s="314"/>
      <c r="J35" s="314"/>
      <c r="K35" s="314"/>
      <c r="L35" s="286" t="str">
        <f>L$33</f>
        <v/>
      </c>
      <c r="M35" s="286">
        <f>M$33</f>
        <v>0</v>
      </c>
      <c r="N35" s="314"/>
      <c r="O35" s="314"/>
      <c r="P35" s="314"/>
      <c r="Q35" s="314"/>
      <c r="R35" s="314"/>
      <c r="S35" s="286" t="e">
        <f>S$33</f>
        <v>#N/A</v>
      </c>
      <c r="T35" s="286" t="e">
        <f>T$33</f>
        <v>#N/A</v>
      </c>
      <c r="U35" s="314"/>
      <c r="V35" s="314"/>
      <c r="W35" s="314"/>
      <c r="X35" s="314"/>
      <c r="Y35" s="314"/>
      <c r="Z35" s="314"/>
      <c r="AA35" s="314"/>
      <c r="AB35" s="314"/>
      <c r="AC35" s="314"/>
      <c r="AD35" s="314"/>
      <c r="AE35" s="314"/>
      <c r="AF35" s="314"/>
      <c r="AG35" s="314"/>
      <c r="AH35" s="653"/>
      <c r="AI35" s="314"/>
      <c r="AJ35" s="314"/>
      <c r="AK35" s="314" t="str">
        <f>$AK$33</f>
        <v/>
      </c>
      <c r="AL35" s="314"/>
      <c r="AM35" s="314"/>
      <c r="AN35" s="314"/>
      <c r="AO35" s="314"/>
      <c r="AP35" s="314"/>
      <c r="AQ35" s="314"/>
      <c r="AR35" s="314"/>
      <c r="AS35" s="314"/>
      <c r="AT35" s="278" t="str">
        <f>AT$33</f>
        <v/>
      </c>
      <c r="AU35" s="378"/>
      <c r="AV35" s="314"/>
      <c r="AW35" s="314"/>
      <c r="AX35" s="314"/>
      <c r="AY35" s="314"/>
      <c r="AZ35" s="314"/>
      <c r="BA35" s="314"/>
      <c r="BB35" s="314"/>
    </row>
    <row r="36" spans="1:54">
      <c r="A36" s="341" t="s">
        <v>586</v>
      </c>
      <c r="B36" s="341" t="s">
        <v>634</v>
      </c>
      <c r="C36" s="341" t="s">
        <v>620</v>
      </c>
      <c r="D36" s="341" t="s">
        <v>621</v>
      </c>
      <c r="E36" s="341" t="s">
        <v>622</v>
      </c>
      <c r="F36" s="341" t="s">
        <v>614</v>
      </c>
      <c r="G36" s="341" t="s">
        <v>623</v>
      </c>
      <c r="H36" s="341" t="s">
        <v>624</v>
      </c>
      <c r="I36" s="341" t="s">
        <v>625</v>
      </c>
      <c r="J36" s="341" t="s">
        <v>626</v>
      </c>
      <c r="K36" s="341" t="s">
        <v>627</v>
      </c>
      <c r="L36" s="341" t="s">
        <v>628</v>
      </c>
      <c r="M36" s="341" t="s">
        <v>629</v>
      </c>
      <c r="N36" s="341" t="s">
        <v>630</v>
      </c>
      <c r="O36" s="341" t="s">
        <v>631</v>
      </c>
      <c r="P36" s="341" t="s">
        <v>632</v>
      </c>
      <c r="Q36" s="341" t="s">
        <v>633</v>
      </c>
      <c r="R36" s="341" t="s">
        <v>1116</v>
      </c>
      <c r="S36" s="341" t="s">
        <v>701</v>
      </c>
      <c r="T36" s="341" t="s">
        <v>702</v>
      </c>
      <c r="U36" s="341" t="s">
        <v>699</v>
      </c>
      <c r="V36" s="341" t="s">
        <v>700</v>
      </c>
      <c r="W36" s="341" t="s">
        <v>822</v>
      </c>
      <c r="X36" s="341" t="s">
        <v>880</v>
      </c>
      <c r="Y36" s="341" t="s">
        <v>1118</v>
      </c>
      <c r="Z36" s="341" t="s">
        <v>1124</v>
      </c>
      <c r="AA36" s="341" t="s">
        <v>1125</v>
      </c>
      <c r="AB36" s="341" t="s">
        <v>1126</v>
      </c>
      <c r="AC36" s="341" t="s">
        <v>1127</v>
      </c>
      <c r="AD36" s="341" t="s">
        <v>1128</v>
      </c>
      <c r="AE36" s="341" t="s">
        <v>737</v>
      </c>
      <c r="AF36" s="341" t="s">
        <v>741</v>
      </c>
      <c r="AG36" s="341" t="s">
        <v>745</v>
      </c>
      <c r="AH36" s="341" t="s">
        <v>746</v>
      </c>
      <c r="AI36" s="341" t="s">
        <v>748</v>
      </c>
      <c r="AJ36" s="341" t="s">
        <v>747</v>
      </c>
      <c r="AK36" s="341" t="s">
        <v>1096</v>
      </c>
      <c r="AL36" s="341" t="s">
        <v>1140</v>
      </c>
      <c r="AM36" s="341" t="s">
        <v>1141</v>
      </c>
      <c r="AN36" s="341" t="s">
        <v>1142</v>
      </c>
      <c r="AO36" s="341" t="s">
        <v>1143</v>
      </c>
      <c r="AP36" s="341" t="s">
        <v>1144</v>
      </c>
      <c r="AQ36" s="341" t="s">
        <v>1145</v>
      </c>
      <c r="AR36" s="341" t="s">
        <v>1146</v>
      </c>
      <c r="AS36" s="341" t="s">
        <v>1147</v>
      </c>
      <c r="AT36" s="341" t="s">
        <v>1176</v>
      </c>
      <c r="AU36" s="341" t="s">
        <v>1247</v>
      </c>
      <c r="AV36" s="341" t="s">
        <v>1290</v>
      </c>
      <c r="AW36" s="341" t="s">
        <v>1291</v>
      </c>
      <c r="AX36" s="341" t="s">
        <v>1294</v>
      </c>
      <c r="AY36" s="341" t="s">
        <v>1295</v>
      </c>
      <c r="AZ36" s="341" t="s">
        <v>1372</v>
      </c>
      <c r="BA36" s="341" t="s">
        <v>1373</v>
      </c>
      <c r="BB36" s="341" t="s">
        <v>1481</v>
      </c>
    </row>
    <row r="37" spans="1:54">
      <c r="A37" s="342" t="s">
        <v>612</v>
      </c>
      <c r="B37" s="279" t="str">
        <f>IF(AND(お客様情報!$E$2="通常オンプレ",COUNTIF(お客様情報!$R$5:$R$9,"m-FILTER MailAdviser3")&gt;0),7,"")</f>
        <v/>
      </c>
      <c r="C37" s="278" t="str">
        <f>IFERROR(VLOOKUP("m-FILTER MailAdviser"&amp;3,お客様情報!$R$5:$U$9,4,FALSE),"")</f>
        <v/>
      </c>
      <c r="D37" s="286" t="str">
        <f>D$33</f>
        <v/>
      </c>
      <c r="E37" s="314"/>
      <c r="F37" s="286" t="str">
        <f>F$33</f>
        <v/>
      </c>
      <c r="G37" s="286" t="str">
        <f>G$33</f>
        <v/>
      </c>
      <c r="H37" s="278" t="str">
        <f>H$33</f>
        <v/>
      </c>
      <c r="I37" s="314"/>
      <c r="J37" s="314"/>
      <c r="K37" s="314"/>
      <c r="L37" s="286" t="str">
        <f>L$33</f>
        <v/>
      </c>
      <c r="M37" s="286">
        <f>M$33</f>
        <v>0</v>
      </c>
      <c r="N37" s="314"/>
      <c r="O37" s="314"/>
      <c r="P37" s="314"/>
      <c r="Q37" s="314"/>
      <c r="R37" s="314"/>
      <c r="S37" s="286" t="e">
        <f>S$33</f>
        <v>#N/A</v>
      </c>
      <c r="T37" s="286" t="e">
        <f>T$33</f>
        <v>#N/A</v>
      </c>
      <c r="U37" s="314"/>
      <c r="V37" s="314"/>
      <c r="W37" s="314"/>
      <c r="X37" s="314"/>
      <c r="Y37" s="314"/>
      <c r="Z37" s="314"/>
      <c r="AA37" s="314"/>
      <c r="AB37" s="314"/>
      <c r="AC37" s="314"/>
      <c r="AD37" s="314"/>
      <c r="AE37" s="314"/>
      <c r="AF37" s="314"/>
      <c r="AG37" s="314"/>
      <c r="AH37" s="653"/>
      <c r="AI37" s="314"/>
      <c r="AJ37" s="314"/>
      <c r="AK37" s="314" t="str">
        <f>$AK$33</f>
        <v/>
      </c>
      <c r="AL37" s="314"/>
      <c r="AM37" s="314"/>
      <c r="AN37" s="314"/>
      <c r="AO37" s="314"/>
      <c r="AP37" s="314"/>
      <c r="AQ37" s="314"/>
      <c r="AR37" s="314"/>
      <c r="AS37" s="314"/>
      <c r="AT37" s="278" t="str">
        <f>AT$33</f>
        <v/>
      </c>
      <c r="AU37" s="378"/>
      <c r="AV37" s="314"/>
      <c r="AW37" s="314"/>
      <c r="AX37" s="314"/>
      <c r="AY37" s="314"/>
      <c r="AZ37" s="314"/>
      <c r="BA37" s="314"/>
      <c r="BB37" s="314"/>
    </row>
    <row r="38" spans="1:54">
      <c r="A38" s="341" t="s">
        <v>586</v>
      </c>
      <c r="B38" s="341" t="s">
        <v>634</v>
      </c>
      <c r="C38" s="341" t="s">
        <v>620</v>
      </c>
      <c r="D38" s="341" t="s">
        <v>621</v>
      </c>
      <c r="E38" s="341" t="s">
        <v>622</v>
      </c>
      <c r="F38" s="341" t="s">
        <v>614</v>
      </c>
      <c r="G38" s="341" t="s">
        <v>623</v>
      </c>
      <c r="H38" s="341" t="s">
        <v>624</v>
      </c>
      <c r="I38" s="341" t="s">
        <v>625</v>
      </c>
      <c r="J38" s="341" t="s">
        <v>626</v>
      </c>
      <c r="K38" s="341" t="s">
        <v>627</v>
      </c>
      <c r="L38" s="341" t="s">
        <v>628</v>
      </c>
      <c r="M38" s="341" t="s">
        <v>629</v>
      </c>
      <c r="N38" s="341" t="s">
        <v>630</v>
      </c>
      <c r="O38" s="341" t="s">
        <v>631</v>
      </c>
      <c r="P38" s="341" t="s">
        <v>632</v>
      </c>
      <c r="Q38" s="341" t="s">
        <v>633</v>
      </c>
      <c r="R38" s="341" t="s">
        <v>1116</v>
      </c>
      <c r="S38" s="341" t="s">
        <v>701</v>
      </c>
      <c r="T38" s="341" t="s">
        <v>702</v>
      </c>
      <c r="U38" s="341" t="s">
        <v>699</v>
      </c>
      <c r="V38" s="341" t="s">
        <v>700</v>
      </c>
      <c r="W38" s="341" t="s">
        <v>822</v>
      </c>
      <c r="X38" s="341" t="s">
        <v>880</v>
      </c>
      <c r="Y38" s="341" t="s">
        <v>1118</v>
      </c>
      <c r="Z38" s="341" t="s">
        <v>1124</v>
      </c>
      <c r="AA38" s="341" t="s">
        <v>1125</v>
      </c>
      <c r="AB38" s="341" t="s">
        <v>1126</v>
      </c>
      <c r="AC38" s="341" t="s">
        <v>1127</v>
      </c>
      <c r="AD38" s="341" t="s">
        <v>1128</v>
      </c>
      <c r="AE38" s="341" t="s">
        <v>737</v>
      </c>
      <c r="AF38" s="341" t="s">
        <v>741</v>
      </c>
      <c r="AG38" s="341" t="s">
        <v>745</v>
      </c>
      <c r="AH38" s="341" t="s">
        <v>746</v>
      </c>
      <c r="AI38" s="341" t="s">
        <v>748</v>
      </c>
      <c r="AJ38" s="341" t="s">
        <v>747</v>
      </c>
      <c r="AK38" s="341" t="s">
        <v>1096</v>
      </c>
      <c r="AL38" s="341" t="s">
        <v>1140</v>
      </c>
      <c r="AM38" s="341" t="s">
        <v>1141</v>
      </c>
      <c r="AN38" s="341" t="s">
        <v>1142</v>
      </c>
      <c r="AO38" s="341" t="s">
        <v>1143</v>
      </c>
      <c r="AP38" s="341" t="s">
        <v>1144</v>
      </c>
      <c r="AQ38" s="341" t="s">
        <v>1145</v>
      </c>
      <c r="AR38" s="341" t="s">
        <v>1146</v>
      </c>
      <c r="AS38" s="341" t="s">
        <v>1147</v>
      </c>
      <c r="AT38" s="341" t="s">
        <v>1176</v>
      </c>
      <c r="AU38" s="341" t="s">
        <v>1247</v>
      </c>
      <c r="AV38" s="341" t="s">
        <v>1290</v>
      </c>
      <c r="AW38" s="341" t="s">
        <v>1291</v>
      </c>
      <c r="AX38" s="341" t="s">
        <v>1294</v>
      </c>
      <c r="AY38" s="341" t="s">
        <v>1295</v>
      </c>
      <c r="AZ38" s="341" t="s">
        <v>1372</v>
      </c>
      <c r="BA38" s="341" t="s">
        <v>1373</v>
      </c>
      <c r="BB38" s="341" t="s">
        <v>1481</v>
      </c>
    </row>
    <row r="39" spans="1:54">
      <c r="A39" s="342" t="s">
        <v>612</v>
      </c>
      <c r="B39" s="279" t="str">
        <f>IF(AND(お客様情報!$E$2="通常オンプレ",COUNTIF(お客様情報!$R$5:$R$9,"m-FILTER MailAdviser4")&gt;0),7,"")</f>
        <v/>
      </c>
      <c r="C39" s="278" t="str">
        <f>IFERROR(VLOOKUP("m-FILTER MailAdviser"&amp;4,お客様情報!$R$5:$U$9,4,FALSE),"")</f>
        <v/>
      </c>
      <c r="D39" s="286" t="str">
        <f>D$33</f>
        <v/>
      </c>
      <c r="E39" s="314"/>
      <c r="F39" s="286" t="str">
        <f>F$33</f>
        <v/>
      </c>
      <c r="G39" s="286" t="str">
        <f>G$33</f>
        <v/>
      </c>
      <c r="H39" s="278" t="str">
        <f>H$33</f>
        <v/>
      </c>
      <c r="I39" s="314"/>
      <c r="J39" s="314"/>
      <c r="K39" s="314"/>
      <c r="L39" s="286" t="str">
        <f>L$33</f>
        <v/>
      </c>
      <c r="M39" s="286">
        <f>M$33</f>
        <v>0</v>
      </c>
      <c r="N39" s="314"/>
      <c r="O39" s="314"/>
      <c r="P39" s="314"/>
      <c r="Q39" s="314"/>
      <c r="R39" s="314"/>
      <c r="S39" s="286" t="e">
        <f>S$33</f>
        <v>#N/A</v>
      </c>
      <c r="T39" s="286" t="e">
        <f>T$33</f>
        <v>#N/A</v>
      </c>
      <c r="U39" s="314"/>
      <c r="V39" s="314"/>
      <c r="W39" s="314"/>
      <c r="X39" s="314"/>
      <c r="Y39" s="314"/>
      <c r="Z39" s="314"/>
      <c r="AA39" s="314"/>
      <c r="AB39" s="314"/>
      <c r="AC39" s="314"/>
      <c r="AD39" s="314"/>
      <c r="AE39" s="314"/>
      <c r="AF39" s="314"/>
      <c r="AG39" s="314"/>
      <c r="AH39" s="653"/>
      <c r="AI39" s="314"/>
      <c r="AJ39" s="314"/>
      <c r="AK39" s="314" t="str">
        <f>$AK$33</f>
        <v/>
      </c>
      <c r="AL39" s="314"/>
      <c r="AM39" s="314"/>
      <c r="AN39" s="314"/>
      <c r="AO39" s="314"/>
      <c r="AP39" s="314"/>
      <c r="AQ39" s="314"/>
      <c r="AR39" s="314"/>
      <c r="AS39" s="314"/>
      <c r="AT39" s="278" t="str">
        <f>AT$33</f>
        <v/>
      </c>
      <c r="AU39" s="378"/>
      <c r="AV39" s="314"/>
      <c r="AW39" s="314"/>
      <c r="AX39" s="314"/>
      <c r="AY39" s="314"/>
      <c r="AZ39" s="314"/>
      <c r="BA39" s="314"/>
      <c r="BB39" s="314"/>
    </row>
    <row r="40" spans="1:54">
      <c r="A40" s="341" t="s">
        <v>586</v>
      </c>
      <c r="B40" s="341" t="s">
        <v>634</v>
      </c>
      <c r="C40" s="341" t="s">
        <v>620</v>
      </c>
      <c r="D40" s="341" t="s">
        <v>621</v>
      </c>
      <c r="E40" s="341" t="s">
        <v>622</v>
      </c>
      <c r="F40" s="341" t="s">
        <v>614</v>
      </c>
      <c r="G40" s="341" t="s">
        <v>623</v>
      </c>
      <c r="H40" s="341" t="s">
        <v>624</v>
      </c>
      <c r="I40" s="341" t="s">
        <v>625</v>
      </c>
      <c r="J40" s="341" t="s">
        <v>626</v>
      </c>
      <c r="K40" s="341" t="s">
        <v>627</v>
      </c>
      <c r="L40" s="341" t="s">
        <v>628</v>
      </c>
      <c r="M40" s="341" t="s">
        <v>629</v>
      </c>
      <c r="N40" s="341" t="s">
        <v>630</v>
      </c>
      <c r="O40" s="341" t="s">
        <v>631</v>
      </c>
      <c r="P40" s="341" t="s">
        <v>632</v>
      </c>
      <c r="Q40" s="341" t="s">
        <v>633</v>
      </c>
      <c r="R40" s="341" t="s">
        <v>1116</v>
      </c>
      <c r="S40" s="341" t="s">
        <v>701</v>
      </c>
      <c r="T40" s="341" t="s">
        <v>702</v>
      </c>
      <c r="U40" s="341" t="s">
        <v>699</v>
      </c>
      <c r="V40" s="341" t="s">
        <v>700</v>
      </c>
      <c r="W40" s="341" t="s">
        <v>822</v>
      </c>
      <c r="X40" s="341" t="s">
        <v>880</v>
      </c>
      <c r="Y40" s="341" t="s">
        <v>1118</v>
      </c>
      <c r="Z40" s="341" t="s">
        <v>1124</v>
      </c>
      <c r="AA40" s="341" t="s">
        <v>1125</v>
      </c>
      <c r="AB40" s="341" t="s">
        <v>1126</v>
      </c>
      <c r="AC40" s="341" t="s">
        <v>1127</v>
      </c>
      <c r="AD40" s="341" t="s">
        <v>1128</v>
      </c>
      <c r="AE40" s="341" t="s">
        <v>737</v>
      </c>
      <c r="AF40" s="341" t="s">
        <v>741</v>
      </c>
      <c r="AG40" s="341" t="s">
        <v>745</v>
      </c>
      <c r="AH40" s="341" t="s">
        <v>746</v>
      </c>
      <c r="AI40" s="341" t="s">
        <v>748</v>
      </c>
      <c r="AJ40" s="341" t="s">
        <v>747</v>
      </c>
      <c r="AK40" s="341" t="s">
        <v>1096</v>
      </c>
      <c r="AL40" s="341" t="s">
        <v>1140</v>
      </c>
      <c r="AM40" s="341" t="s">
        <v>1141</v>
      </c>
      <c r="AN40" s="341" t="s">
        <v>1142</v>
      </c>
      <c r="AO40" s="341" t="s">
        <v>1143</v>
      </c>
      <c r="AP40" s="341" t="s">
        <v>1144</v>
      </c>
      <c r="AQ40" s="341" t="s">
        <v>1145</v>
      </c>
      <c r="AR40" s="341" t="s">
        <v>1146</v>
      </c>
      <c r="AS40" s="341" t="s">
        <v>1147</v>
      </c>
      <c r="AT40" s="341" t="s">
        <v>1176</v>
      </c>
      <c r="AU40" s="341" t="s">
        <v>1247</v>
      </c>
      <c r="AV40" s="341" t="s">
        <v>1290</v>
      </c>
      <c r="AW40" s="341" t="s">
        <v>1291</v>
      </c>
      <c r="AX40" s="341" t="s">
        <v>1294</v>
      </c>
      <c r="AY40" s="341" t="s">
        <v>1295</v>
      </c>
      <c r="AZ40" s="341" t="s">
        <v>1372</v>
      </c>
      <c r="BA40" s="341" t="s">
        <v>1373</v>
      </c>
      <c r="BB40" s="341" t="s">
        <v>1481</v>
      </c>
    </row>
    <row r="41" spans="1:54">
      <c r="A41" s="342" t="s">
        <v>612</v>
      </c>
      <c r="B41" s="279" t="str">
        <f>IF(AND(お客様情報!$E$2="通常オンプレ",COUNTIF(お客様情報!$R$5:$R$9,"m-FILTER MailAdviser5")&gt;0),7,"")</f>
        <v/>
      </c>
      <c r="C41" s="278" t="str">
        <f>IFERROR(VLOOKUP("m-FILTER MailAdviser"&amp;5,お客様情報!$R$5:$U$9,4,FALSE),"")</f>
        <v/>
      </c>
      <c r="D41" s="286" t="str">
        <f>D$33</f>
        <v/>
      </c>
      <c r="E41" s="314"/>
      <c r="F41" s="286" t="str">
        <f>F$33</f>
        <v/>
      </c>
      <c r="G41" s="286" t="str">
        <f>G$33</f>
        <v/>
      </c>
      <c r="H41" s="278" t="str">
        <f>H$33</f>
        <v/>
      </c>
      <c r="I41" s="314"/>
      <c r="J41" s="314"/>
      <c r="K41" s="314"/>
      <c r="L41" s="286" t="str">
        <f>L$33</f>
        <v/>
      </c>
      <c r="M41" s="286">
        <f>M$33</f>
        <v>0</v>
      </c>
      <c r="N41" s="314"/>
      <c r="O41" s="314"/>
      <c r="P41" s="314"/>
      <c r="Q41" s="314"/>
      <c r="R41" s="314"/>
      <c r="S41" s="286" t="e">
        <f>S$33</f>
        <v>#N/A</v>
      </c>
      <c r="T41" s="286" t="e">
        <f>T$33</f>
        <v>#N/A</v>
      </c>
      <c r="U41" s="314"/>
      <c r="V41" s="314"/>
      <c r="W41" s="314"/>
      <c r="X41" s="314"/>
      <c r="Y41" s="314"/>
      <c r="Z41" s="314"/>
      <c r="AA41" s="314"/>
      <c r="AB41" s="314"/>
      <c r="AC41" s="314"/>
      <c r="AD41" s="314"/>
      <c r="AE41" s="314"/>
      <c r="AF41" s="314"/>
      <c r="AG41" s="314"/>
      <c r="AH41" s="653"/>
      <c r="AI41" s="314"/>
      <c r="AJ41" s="314"/>
      <c r="AK41" s="314" t="str">
        <f>$AK$33</f>
        <v/>
      </c>
      <c r="AL41" s="314"/>
      <c r="AM41" s="314"/>
      <c r="AN41" s="314"/>
      <c r="AO41" s="314"/>
      <c r="AP41" s="314"/>
      <c r="AQ41" s="314"/>
      <c r="AR41" s="314"/>
      <c r="AS41" s="314"/>
      <c r="AT41" s="278" t="str">
        <f>AT$33</f>
        <v/>
      </c>
      <c r="AU41" s="378"/>
      <c r="AV41" s="314"/>
      <c r="AW41" s="314"/>
      <c r="AX41" s="314"/>
      <c r="AY41" s="314"/>
      <c r="AZ41" s="314"/>
      <c r="BA41" s="314"/>
      <c r="BB41" s="314"/>
    </row>
    <row r="42" spans="1:54">
      <c r="A42" s="343" t="s">
        <v>586</v>
      </c>
      <c r="B42" s="343" t="s">
        <v>634</v>
      </c>
      <c r="C42" s="343" t="s">
        <v>620</v>
      </c>
      <c r="D42" s="343" t="s">
        <v>621</v>
      </c>
      <c r="E42" s="343" t="s">
        <v>622</v>
      </c>
      <c r="F42" s="343" t="s">
        <v>614</v>
      </c>
      <c r="G42" s="343" t="s">
        <v>623</v>
      </c>
      <c r="H42" s="343" t="s">
        <v>624</v>
      </c>
      <c r="I42" s="343" t="s">
        <v>625</v>
      </c>
      <c r="J42" s="343" t="s">
        <v>626</v>
      </c>
      <c r="K42" s="343" t="s">
        <v>627</v>
      </c>
      <c r="L42" s="343" t="s">
        <v>628</v>
      </c>
      <c r="M42" s="343" t="s">
        <v>629</v>
      </c>
      <c r="N42" s="343" t="s">
        <v>630</v>
      </c>
      <c r="O42" s="343" t="s">
        <v>631</v>
      </c>
      <c r="P42" s="343" t="s">
        <v>632</v>
      </c>
      <c r="Q42" s="343" t="s">
        <v>633</v>
      </c>
      <c r="R42" s="343" t="s">
        <v>1116</v>
      </c>
      <c r="S42" s="343" t="s">
        <v>701</v>
      </c>
      <c r="T42" s="343" t="s">
        <v>702</v>
      </c>
      <c r="U42" s="343" t="s">
        <v>699</v>
      </c>
      <c r="V42" s="343" t="s">
        <v>700</v>
      </c>
      <c r="W42" s="343" t="s">
        <v>822</v>
      </c>
      <c r="X42" s="343" t="s">
        <v>880</v>
      </c>
      <c r="Y42" s="343" t="s">
        <v>1118</v>
      </c>
      <c r="Z42" s="343" t="s">
        <v>1124</v>
      </c>
      <c r="AA42" s="343" t="s">
        <v>1125</v>
      </c>
      <c r="AB42" s="343" t="s">
        <v>1126</v>
      </c>
      <c r="AC42" s="343" t="s">
        <v>1127</v>
      </c>
      <c r="AD42" s="343" t="s">
        <v>1128</v>
      </c>
      <c r="AE42" s="343" t="s">
        <v>737</v>
      </c>
      <c r="AF42" s="343" t="s">
        <v>741</v>
      </c>
      <c r="AG42" s="343" t="s">
        <v>745</v>
      </c>
      <c r="AH42" s="343" t="s">
        <v>746</v>
      </c>
      <c r="AI42" s="343" t="s">
        <v>748</v>
      </c>
      <c r="AJ42" s="343" t="s">
        <v>747</v>
      </c>
      <c r="AK42" s="343" t="s">
        <v>1096</v>
      </c>
      <c r="AL42" s="343" t="s">
        <v>1140</v>
      </c>
      <c r="AM42" s="343" t="s">
        <v>1141</v>
      </c>
      <c r="AN42" s="343" t="s">
        <v>1142</v>
      </c>
      <c r="AO42" s="343" t="s">
        <v>1143</v>
      </c>
      <c r="AP42" s="343" t="s">
        <v>1144</v>
      </c>
      <c r="AQ42" s="343" t="s">
        <v>1145</v>
      </c>
      <c r="AR42" s="343" t="s">
        <v>1146</v>
      </c>
      <c r="AS42" s="343" t="s">
        <v>1147</v>
      </c>
      <c r="AT42" s="343" t="s">
        <v>1176</v>
      </c>
      <c r="AU42" s="343" t="s">
        <v>1247</v>
      </c>
      <c r="AV42" s="343" t="s">
        <v>1293</v>
      </c>
      <c r="AW42" s="343" t="s">
        <v>1291</v>
      </c>
      <c r="AX42" s="343" t="s">
        <v>1294</v>
      </c>
      <c r="AY42" s="343" t="s">
        <v>1295</v>
      </c>
      <c r="AZ42" s="343" t="s">
        <v>1372</v>
      </c>
      <c r="BA42" s="343" t="s">
        <v>1373</v>
      </c>
      <c r="BB42" s="343" t="s">
        <v>1481</v>
      </c>
    </row>
    <row r="43" spans="1:54">
      <c r="A43" s="343" t="s">
        <v>612</v>
      </c>
      <c r="B43" s="279" t="str">
        <f>IF(AND(お客様情報!$E$2="通常オンプレ",COUNTIF(お客様情報!$R$5:$R$9,"i-FILTER ブラウザー&amp;クラウド1")&gt;0),3,"")</f>
        <v/>
      </c>
      <c r="C43" s="278" t="str">
        <f>IFERROR(VLOOKUP("i-FILTER ブラウザー&amp;クラウド"&amp;1,お客様情報!$R$5:$U$9,4,FALSE),"")</f>
        <v/>
      </c>
      <c r="D43" s="286" t="str">
        <f>IF(入力フォームiF・mF・FC・iFBC・MA!AR142&lt;&gt;"",入力フォームiF・mF・FC・iFBC・MA!AR142,"")</f>
        <v/>
      </c>
      <c r="E43" s="286" t="str">
        <f>IF(入力フォームiF・mF・FC・iFBC・MA!AZ142,入力フォームiF・mF・FC・iFBC・MA!AZ142,"")</f>
        <v/>
      </c>
      <c r="F43" s="278" t="str">
        <f>IF(入力フォームiF・mF・FC・iFBC・MA!X142="新規",TEXT(中間データオンプレ!L3,"YYYY-MM-DD"),"")</f>
        <v/>
      </c>
      <c r="G43" s="278" t="str">
        <f>LEFT(入力フォームiF・mF・FC・iFBC・MA!BE142,1)</f>
        <v/>
      </c>
      <c r="H43" s="314"/>
      <c r="I43" s="314"/>
      <c r="J43" s="314"/>
      <c r="K43" s="314"/>
      <c r="L43" s="314"/>
      <c r="M43" s="278" t="str">
        <f>IF(AND(入力フォームiF・mF・FC・iFBC・MA!X142="新規",入力フォームiF・mF・FC・iFBC・MA!CF142="有"),"",IF(入力フォームiF・mF・FC・iFBC・MA!CP142&lt;&gt;"",入力フォームiF・mF・FC・iFBC・MA!CP142,""))</f>
        <v/>
      </c>
      <c r="N43" s="314"/>
      <c r="O43" s="314"/>
      <c r="P43" s="314"/>
      <c r="Q43" s="314"/>
      <c r="R43" s="314"/>
      <c r="S43" s="278" t="e">
        <f>IF(お客様情報!$N$64="","",お客様情報!$N$64)</f>
        <v>#N/A</v>
      </c>
      <c r="T43" s="278" t="e">
        <f>IF(お客様情報!$N$65="","",お客様情報!$N$65)</f>
        <v>#N/A</v>
      </c>
      <c r="U43" s="314"/>
      <c r="V43" s="314"/>
      <c r="W43" s="314"/>
      <c r="X43" s="314"/>
      <c r="Y43" s="314"/>
      <c r="Z43" s="314"/>
      <c r="AA43" s="314"/>
      <c r="AB43" s="314"/>
      <c r="AC43" s="314"/>
      <c r="AD43" s="314"/>
      <c r="AE43" s="314"/>
      <c r="AF43" s="314"/>
      <c r="AG43" s="314"/>
      <c r="AH43" s="314"/>
      <c r="AI43" s="314"/>
      <c r="AJ43" s="314"/>
      <c r="AK43" s="278" t="str">
        <f>IF(AND(入力フォームiF・mF・FC・iFBC・MA!X142="新規",入力フォームiF・mF・FC・iFBC・MA!CF142="有",入力フォームiF・mF・FC・iFBC・MA!CP142&lt;&gt;""),入力フォームiF・mF・FC・iFBC・MA!CP142,"")</f>
        <v/>
      </c>
      <c r="AL43" s="314"/>
      <c r="AM43" s="314"/>
      <c r="AN43" s="314"/>
      <c r="AO43" s="314"/>
      <c r="AP43" s="314"/>
      <c r="AQ43" s="314"/>
      <c r="AR43" s="314"/>
      <c r="AS43" s="314"/>
      <c r="AT43" s="314"/>
      <c r="AU43" s="314"/>
      <c r="AV43" s="314"/>
      <c r="AW43" s="314"/>
      <c r="AX43" s="314"/>
      <c r="AY43" s="314"/>
      <c r="AZ43" s="314"/>
      <c r="BA43" s="314"/>
      <c r="BB43" s="314"/>
    </row>
    <row r="44" spans="1:54">
      <c r="A44" s="343" t="s">
        <v>586</v>
      </c>
      <c r="B44" s="343" t="s">
        <v>634</v>
      </c>
      <c r="C44" s="343" t="s">
        <v>620</v>
      </c>
      <c r="D44" s="343" t="s">
        <v>621</v>
      </c>
      <c r="E44" s="343" t="s">
        <v>622</v>
      </c>
      <c r="F44" s="343" t="s">
        <v>614</v>
      </c>
      <c r="G44" s="343" t="s">
        <v>623</v>
      </c>
      <c r="H44" s="343" t="s">
        <v>624</v>
      </c>
      <c r="I44" s="343" t="s">
        <v>625</v>
      </c>
      <c r="J44" s="343" t="s">
        <v>626</v>
      </c>
      <c r="K44" s="343" t="s">
        <v>627</v>
      </c>
      <c r="L44" s="343" t="s">
        <v>628</v>
      </c>
      <c r="M44" s="343" t="s">
        <v>629</v>
      </c>
      <c r="N44" s="343" t="s">
        <v>630</v>
      </c>
      <c r="O44" s="343" t="s">
        <v>631</v>
      </c>
      <c r="P44" s="343" t="s">
        <v>632</v>
      </c>
      <c r="Q44" s="343" t="s">
        <v>633</v>
      </c>
      <c r="R44" s="343" t="s">
        <v>1116</v>
      </c>
      <c r="S44" s="343" t="s">
        <v>701</v>
      </c>
      <c r="T44" s="343" t="s">
        <v>702</v>
      </c>
      <c r="U44" s="343" t="s">
        <v>699</v>
      </c>
      <c r="V44" s="343" t="s">
        <v>700</v>
      </c>
      <c r="W44" s="343" t="s">
        <v>822</v>
      </c>
      <c r="X44" s="343" t="s">
        <v>880</v>
      </c>
      <c r="Y44" s="343" t="s">
        <v>1118</v>
      </c>
      <c r="Z44" s="343" t="s">
        <v>1124</v>
      </c>
      <c r="AA44" s="343" t="s">
        <v>1125</v>
      </c>
      <c r="AB44" s="343" t="s">
        <v>1126</v>
      </c>
      <c r="AC44" s="343" t="s">
        <v>1127</v>
      </c>
      <c r="AD44" s="343" t="s">
        <v>1128</v>
      </c>
      <c r="AE44" s="343" t="s">
        <v>737</v>
      </c>
      <c r="AF44" s="343" t="s">
        <v>741</v>
      </c>
      <c r="AG44" s="343" t="s">
        <v>745</v>
      </c>
      <c r="AH44" s="343" t="s">
        <v>746</v>
      </c>
      <c r="AI44" s="343" t="s">
        <v>748</v>
      </c>
      <c r="AJ44" s="343" t="s">
        <v>747</v>
      </c>
      <c r="AK44" s="343" t="s">
        <v>1096</v>
      </c>
      <c r="AL44" s="343" t="s">
        <v>1140</v>
      </c>
      <c r="AM44" s="343" t="s">
        <v>1141</v>
      </c>
      <c r="AN44" s="343" t="s">
        <v>1142</v>
      </c>
      <c r="AO44" s="343" t="s">
        <v>1143</v>
      </c>
      <c r="AP44" s="343" t="s">
        <v>1144</v>
      </c>
      <c r="AQ44" s="343" t="s">
        <v>1145</v>
      </c>
      <c r="AR44" s="343" t="s">
        <v>1146</v>
      </c>
      <c r="AS44" s="343" t="s">
        <v>1147</v>
      </c>
      <c r="AT44" s="343" t="s">
        <v>1176</v>
      </c>
      <c r="AU44" s="343" t="s">
        <v>1247</v>
      </c>
      <c r="AV44" s="343" t="s">
        <v>1293</v>
      </c>
      <c r="AW44" s="343" t="s">
        <v>1291</v>
      </c>
      <c r="AX44" s="343" t="s">
        <v>1294</v>
      </c>
      <c r="AY44" s="343" t="s">
        <v>1295</v>
      </c>
      <c r="AZ44" s="343" t="s">
        <v>1372</v>
      </c>
      <c r="BA44" s="343" t="s">
        <v>1373</v>
      </c>
      <c r="BB44" s="343" t="s">
        <v>1481</v>
      </c>
    </row>
    <row r="45" spans="1:54">
      <c r="A45" s="343" t="s">
        <v>612</v>
      </c>
      <c r="B45" s="279" t="str">
        <f>IF(AND(お客様情報!$E$2="通常オンプレ",COUNTIF(お客様情報!$R$5:$R$9,"i-FILTER ブラウザー&amp;クラウド2")&gt;0),3,"")</f>
        <v/>
      </c>
      <c r="C45" s="278" t="str">
        <f>IFERROR(VLOOKUP("i-FILTER ブラウザー&amp;クラウド"&amp;2,お客様情報!$R$5:$U$9,4,FALSE),"")</f>
        <v/>
      </c>
      <c r="D45" s="286" t="str">
        <f>D$43</f>
        <v/>
      </c>
      <c r="E45" s="286" t="str">
        <f>E$43</f>
        <v/>
      </c>
      <c r="F45" s="286" t="str">
        <f>F$43</f>
        <v/>
      </c>
      <c r="G45" s="286" t="str">
        <f>G$43</f>
        <v/>
      </c>
      <c r="H45" s="314"/>
      <c r="I45" s="314"/>
      <c r="J45" s="314"/>
      <c r="K45" s="314"/>
      <c r="L45" s="314"/>
      <c r="M45" s="286" t="str">
        <f>M$43</f>
        <v/>
      </c>
      <c r="N45" s="314"/>
      <c r="O45" s="314"/>
      <c r="P45" s="314"/>
      <c r="Q45" s="314"/>
      <c r="R45" s="314"/>
      <c r="S45" s="286" t="e">
        <f>S$43</f>
        <v>#N/A</v>
      </c>
      <c r="T45" s="286" t="e">
        <f>T$43</f>
        <v>#N/A</v>
      </c>
      <c r="U45" s="314"/>
      <c r="V45" s="314"/>
      <c r="W45" s="314"/>
      <c r="X45" s="314"/>
      <c r="Y45" s="314"/>
      <c r="Z45" s="314"/>
      <c r="AA45" s="314"/>
      <c r="AB45" s="314"/>
      <c r="AC45" s="314"/>
      <c r="AD45" s="314"/>
      <c r="AE45" s="314"/>
      <c r="AF45" s="314"/>
      <c r="AG45" s="314"/>
      <c r="AH45" s="314"/>
      <c r="AI45" s="314"/>
      <c r="AJ45" s="314"/>
      <c r="AK45" s="278" t="str">
        <f>AK$43</f>
        <v/>
      </c>
      <c r="AL45" s="314"/>
      <c r="AM45" s="314"/>
      <c r="AN45" s="314"/>
      <c r="AO45" s="314"/>
      <c r="AP45" s="314"/>
      <c r="AQ45" s="314"/>
      <c r="AR45" s="314"/>
      <c r="AS45" s="314"/>
      <c r="AT45" s="314"/>
      <c r="AU45" s="314"/>
      <c r="AV45" s="314"/>
      <c r="AW45" s="314"/>
      <c r="AX45" s="314"/>
      <c r="AY45" s="314"/>
      <c r="AZ45" s="314"/>
      <c r="BA45" s="314"/>
      <c r="BB45" s="314"/>
    </row>
    <row r="46" spans="1:54">
      <c r="A46" s="343" t="s">
        <v>586</v>
      </c>
      <c r="B46" s="343" t="s">
        <v>634</v>
      </c>
      <c r="C46" s="343" t="s">
        <v>620</v>
      </c>
      <c r="D46" s="343" t="s">
        <v>621</v>
      </c>
      <c r="E46" s="343" t="s">
        <v>622</v>
      </c>
      <c r="F46" s="343" t="s">
        <v>614</v>
      </c>
      <c r="G46" s="343" t="s">
        <v>623</v>
      </c>
      <c r="H46" s="343" t="s">
        <v>624</v>
      </c>
      <c r="I46" s="343" t="s">
        <v>625</v>
      </c>
      <c r="J46" s="343" t="s">
        <v>626</v>
      </c>
      <c r="K46" s="343" t="s">
        <v>627</v>
      </c>
      <c r="L46" s="343" t="s">
        <v>628</v>
      </c>
      <c r="M46" s="343" t="s">
        <v>629</v>
      </c>
      <c r="N46" s="343" t="s">
        <v>630</v>
      </c>
      <c r="O46" s="343" t="s">
        <v>631</v>
      </c>
      <c r="P46" s="343" t="s">
        <v>632</v>
      </c>
      <c r="Q46" s="343" t="s">
        <v>633</v>
      </c>
      <c r="R46" s="343" t="s">
        <v>1116</v>
      </c>
      <c r="S46" s="343" t="s">
        <v>701</v>
      </c>
      <c r="T46" s="343" t="s">
        <v>702</v>
      </c>
      <c r="U46" s="343" t="s">
        <v>699</v>
      </c>
      <c r="V46" s="343" t="s">
        <v>700</v>
      </c>
      <c r="W46" s="343" t="s">
        <v>822</v>
      </c>
      <c r="X46" s="343" t="s">
        <v>880</v>
      </c>
      <c r="Y46" s="343" t="s">
        <v>1118</v>
      </c>
      <c r="Z46" s="343" t="s">
        <v>1124</v>
      </c>
      <c r="AA46" s="343" t="s">
        <v>1125</v>
      </c>
      <c r="AB46" s="343" t="s">
        <v>1126</v>
      </c>
      <c r="AC46" s="343" t="s">
        <v>1127</v>
      </c>
      <c r="AD46" s="343" t="s">
        <v>1128</v>
      </c>
      <c r="AE46" s="343" t="s">
        <v>737</v>
      </c>
      <c r="AF46" s="343" t="s">
        <v>741</v>
      </c>
      <c r="AG46" s="343" t="s">
        <v>745</v>
      </c>
      <c r="AH46" s="343" t="s">
        <v>746</v>
      </c>
      <c r="AI46" s="343" t="s">
        <v>748</v>
      </c>
      <c r="AJ46" s="343" t="s">
        <v>747</v>
      </c>
      <c r="AK46" s="343" t="s">
        <v>1096</v>
      </c>
      <c r="AL46" s="343" t="s">
        <v>1140</v>
      </c>
      <c r="AM46" s="343" t="s">
        <v>1141</v>
      </c>
      <c r="AN46" s="343" t="s">
        <v>1142</v>
      </c>
      <c r="AO46" s="343" t="s">
        <v>1143</v>
      </c>
      <c r="AP46" s="343" t="s">
        <v>1144</v>
      </c>
      <c r="AQ46" s="343" t="s">
        <v>1145</v>
      </c>
      <c r="AR46" s="343" t="s">
        <v>1146</v>
      </c>
      <c r="AS46" s="343" t="s">
        <v>1147</v>
      </c>
      <c r="AT46" s="343" t="s">
        <v>1176</v>
      </c>
      <c r="AU46" s="343" t="s">
        <v>1247</v>
      </c>
      <c r="AV46" s="343" t="s">
        <v>1293</v>
      </c>
      <c r="AW46" s="343" t="s">
        <v>1291</v>
      </c>
      <c r="AX46" s="343" t="s">
        <v>1294</v>
      </c>
      <c r="AY46" s="343" t="s">
        <v>1295</v>
      </c>
      <c r="AZ46" s="343" t="s">
        <v>1372</v>
      </c>
      <c r="BA46" s="343" t="s">
        <v>1373</v>
      </c>
      <c r="BB46" s="343" t="s">
        <v>1481</v>
      </c>
    </row>
    <row r="47" spans="1:54">
      <c r="A47" s="343" t="s">
        <v>612</v>
      </c>
      <c r="B47" s="279" t="str">
        <f>IF(AND(お客様情報!$E$2="通常オンプレ",COUNTIF(お客様情報!$R$5:$R$9,"i-FILTER ブラウザー&amp;クラウド3")&gt;0),3,"")</f>
        <v/>
      </c>
      <c r="C47" s="278" t="str">
        <f>IFERROR(VLOOKUP("i-FILTER ブラウザー&amp;クラウド"&amp;3,お客様情報!$R$5:$U$9,4,FALSE),"")</f>
        <v/>
      </c>
      <c r="D47" s="286" t="str">
        <f>D$43</f>
        <v/>
      </c>
      <c r="E47" s="286" t="str">
        <f>E$43</f>
        <v/>
      </c>
      <c r="F47" s="286" t="str">
        <f>F$43</f>
        <v/>
      </c>
      <c r="G47" s="286" t="str">
        <f>G$43</f>
        <v/>
      </c>
      <c r="H47" s="314"/>
      <c r="I47" s="314"/>
      <c r="J47" s="314"/>
      <c r="K47" s="314"/>
      <c r="L47" s="314"/>
      <c r="M47" s="286" t="str">
        <f>M$43</f>
        <v/>
      </c>
      <c r="N47" s="314"/>
      <c r="O47" s="314"/>
      <c r="P47" s="314"/>
      <c r="Q47" s="314"/>
      <c r="R47" s="314"/>
      <c r="S47" s="286" t="e">
        <f>S$43</f>
        <v>#N/A</v>
      </c>
      <c r="T47" s="286" t="e">
        <f>T$43</f>
        <v>#N/A</v>
      </c>
      <c r="U47" s="314"/>
      <c r="V47" s="314"/>
      <c r="W47" s="314"/>
      <c r="X47" s="314"/>
      <c r="Y47" s="314"/>
      <c r="Z47" s="314"/>
      <c r="AA47" s="314"/>
      <c r="AB47" s="314"/>
      <c r="AC47" s="314"/>
      <c r="AD47" s="314"/>
      <c r="AE47" s="314"/>
      <c r="AF47" s="314"/>
      <c r="AG47" s="314"/>
      <c r="AH47" s="314"/>
      <c r="AI47" s="314"/>
      <c r="AJ47" s="314"/>
      <c r="AK47" s="278" t="str">
        <f>AK$43</f>
        <v/>
      </c>
      <c r="AL47" s="314"/>
      <c r="AM47" s="314"/>
      <c r="AN47" s="314"/>
      <c r="AO47" s="314"/>
      <c r="AP47" s="314"/>
      <c r="AQ47" s="314"/>
      <c r="AR47" s="314"/>
      <c r="AS47" s="314"/>
      <c r="AT47" s="314"/>
      <c r="AU47" s="314"/>
      <c r="AV47" s="314"/>
      <c r="AW47" s="314"/>
      <c r="AX47" s="314"/>
      <c r="AY47" s="314"/>
      <c r="AZ47" s="314"/>
      <c r="BA47" s="314"/>
      <c r="BB47" s="314"/>
    </row>
    <row r="48" spans="1:54">
      <c r="A48" s="343" t="s">
        <v>586</v>
      </c>
      <c r="B48" s="343" t="s">
        <v>634</v>
      </c>
      <c r="C48" s="343" t="s">
        <v>620</v>
      </c>
      <c r="D48" s="343" t="s">
        <v>621</v>
      </c>
      <c r="E48" s="343" t="s">
        <v>622</v>
      </c>
      <c r="F48" s="343" t="s">
        <v>614</v>
      </c>
      <c r="G48" s="343" t="s">
        <v>623</v>
      </c>
      <c r="H48" s="343" t="s">
        <v>624</v>
      </c>
      <c r="I48" s="343" t="s">
        <v>625</v>
      </c>
      <c r="J48" s="343" t="s">
        <v>626</v>
      </c>
      <c r="K48" s="343" t="s">
        <v>627</v>
      </c>
      <c r="L48" s="343" t="s">
        <v>628</v>
      </c>
      <c r="M48" s="343" t="s">
        <v>629</v>
      </c>
      <c r="N48" s="343" t="s">
        <v>630</v>
      </c>
      <c r="O48" s="343" t="s">
        <v>631</v>
      </c>
      <c r="P48" s="343" t="s">
        <v>632</v>
      </c>
      <c r="Q48" s="343" t="s">
        <v>633</v>
      </c>
      <c r="R48" s="343" t="s">
        <v>1116</v>
      </c>
      <c r="S48" s="343" t="s">
        <v>701</v>
      </c>
      <c r="T48" s="343" t="s">
        <v>702</v>
      </c>
      <c r="U48" s="343" t="s">
        <v>699</v>
      </c>
      <c r="V48" s="343" t="s">
        <v>700</v>
      </c>
      <c r="W48" s="343" t="s">
        <v>822</v>
      </c>
      <c r="X48" s="343" t="s">
        <v>880</v>
      </c>
      <c r="Y48" s="343" t="s">
        <v>1118</v>
      </c>
      <c r="Z48" s="343" t="s">
        <v>1124</v>
      </c>
      <c r="AA48" s="343" t="s">
        <v>1125</v>
      </c>
      <c r="AB48" s="343" t="s">
        <v>1126</v>
      </c>
      <c r="AC48" s="343" t="s">
        <v>1127</v>
      </c>
      <c r="AD48" s="343" t="s">
        <v>1128</v>
      </c>
      <c r="AE48" s="343" t="s">
        <v>737</v>
      </c>
      <c r="AF48" s="343" t="s">
        <v>741</v>
      </c>
      <c r="AG48" s="343" t="s">
        <v>745</v>
      </c>
      <c r="AH48" s="343" t="s">
        <v>746</v>
      </c>
      <c r="AI48" s="343" t="s">
        <v>748</v>
      </c>
      <c r="AJ48" s="343" t="s">
        <v>747</v>
      </c>
      <c r="AK48" s="343" t="s">
        <v>1096</v>
      </c>
      <c r="AL48" s="343" t="s">
        <v>1140</v>
      </c>
      <c r="AM48" s="343" t="s">
        <v>1141</v>
      </c>
      <c r="AN48" s="343" t="s">
        <v>1142</v>
      </c>
      <c r="AO48" s="343" t="s">
        <v>1143</v>
      </c>
      <c r="AP48" s="343" t="s">
        <v>1144</v>
      </c>
      <c r="AQ48" s="343" t="s">
        <v>1145</v>
      </c>
      <c r="AR48" s="343" t="s">
        <v>1146</v>
      </c>
      <c r="AS48" s="343" t="s">
        <v>1147</v>
      </c>
      <c r="AT48" s="343" t="s">
        <v>1176</v>
      </c>
      <c r="AU48" s="343" t="s">
        <v>1247</v>
      </c>
      <c r="AV48" s="343" t="s">
        <v>1293</v>
      </c>
      <c r="AW48" s="343" t="s">
        <v>1291</v>
      </c>
      <c r="AX48" s="343" t="s">
        <v>1294</v>
      </c>
      <c r="AY48" s="343" t="s">
        <v>1295</v>
      </c>
      <c r="AZ48" s="343" t="s">
        <v>1372</v>
      </c>
      <c r="BA48" s="343" t="s">
        <v>1373</v>
      </c>
      <c r="BB48" s="343" t="s">
        <v>1481</v>
      </c>
    </row>
    <row r="49" spans="1:54">
      <c r="A49" s="343" t="s">
        <v>612</v>
      </c>
      <c r="B49" s="279" t="str">
        <f>IF(AND(お客様情報!$E$2="通常オンプレ",COUNTIF(お客様情報!$R$5:$R$9,"i-FILTER ブラウザー&amp;クラウド4")&gt;0),3,"")</f>
        <v/>
      </c>
      <c r="C49" s="278" t="str">
        <f>IFERROR(VLOOKUP("i-FILTER ブラウザー&amp;クラウド"&amp;4,お客様情報!$R$5:$U$9,4,FALSE),"")</f>
        <v/>
      </c>
      <c r="D49" s="286" t="str">
        <f>D$43</f>
        <v/>
      </c>
      <c r="E49" s="286" t="str">
        <f>E$43</f>
        <v/>
      </c>
      <c r="F49" s="286" t="str">
        <f>F$43</f>
        <v/>
      </c>
      <c r="G49" s="286" t="str">
        <f>G$43</f>
        <v/>
      </c>
      <c r="H49" s="314"/>
      <c r="I49" s="314"/>
      <c r="J49" s="314"/>
      <c r="K49" s="314"/>
      <c r="L49" s="314"/>
      <c r="M49" s="286" t="str">
        <f>M$43</f>
        <v/>
      </c>
      <c r="N49" s="314"/>
      <c r="O49" s="314"/>
      <c r="P49" s="314"/>
      <c r="Q49" s="314"/>
      <c r="R49" s="314"/>
      <c r="S49" s="286" t="e">
        <f>S$43</f>
        <v>#N/A</v>
      </c>
      <c r="T49" s="286" t="e">
        <f>T$43</f>
        <v>#N/A</v>
      </c>
      <c r="U49" s="314"/>
      <c r="V49" s="314"/>
      <c r="W49" s="314"/>
      <c r="X49" s="314"/>
      <c r="Y49" s="314"/>
      <c r="Z49" s="314"/>
      <c r="AA49" s="314"/>
      <c r="AB49" s="314"/>
      <c r="AC49" s="314"/>
      <c r="AD49" s="314"/>
      <c r="AE49" s="314"/>
      <c r="AF49" s="314"/>
      <c r="AG49" s="314"/>
      <c r="AH49" s="314"/>
      <c r="AI49" s="314"/>
      <c r="AJ49" s="314"/>
      <c r="AK49" s="278" t="str">
        <f>AK$43</f>
        <v/>
      </c>
      <c r="AL49" s="314"/>
      <c r="AM49" s="314"/>
      <c r="AN49" s="314"/>
      <c r="AO49" s="314"/>
      <c r="AP49" s="314"/>
      <c r="AQ49" s="314"/>
      <c r="AR49" s="314"/>
      <c r="AS49" s="314"/>
      <c r="AT49" s="314"/>
      <c r="AU49" s="314"/>
      <c r="AV49" s="314"/>
      <c r="AW49" s="314"/>
      <c r="AX49" s="314"/>
      <c r="AY49" s="314"/>
      <c r="AZ49" s="314"/>
      <c r="BA49" s="314"/>
      <c r="BB49" s="314"/>
    </row>
    <row r="50" spans="1:54">
      <c r="A50" s="343" t="s">
        <v>586</v>
      </c>
      <c r="B50" s="343" t="s">
        <v>634</v>
      </c>
      <c r="C50" s="343" t="s">
        <v>620</v>
      </c>
      <c r="D50" s="343" t="s">
        <v>621</v>
      </c>
      <c r="E50" s="343" t="s">
        <v>622</v>
      </c>
      <c r="F50" s="343" t="s">
        <v>614</v>
      </c>
      <c r="G50" s="343" t="s">
        <v>623</v>
      </c>
      <c r="H50" s="343" t="s">
        <v>624</v>
      </c>
      <c r="I50" s="343" t="s">
        <v>625</v>
      </c>
      <c r="J50" s="343" t="s">
        <v>626</v>
      </c>
      <c r="K50" s="343" t="s">
        <v>627</v>
      </c>
      <c r="L50" s="343" t="s">
        <v>628</v>
      </c>
      <c r="M50" s="343" t="s">
        <v>629</v>
      </c>
      <c r="N50" s="343" t="s">
        <v>630</v>
      </c>
      <c r="O50" s="343" t="s">
        <v>631</v>
      </c>
      <c r="P50" s="343" t="s">
        <v>632</v>
      </c>
      <c r="Q50" s="343" t="s">
        <v>633</v>
      </c>
      <c r="R50" s="343" t="s">
        <v>1116</v>
      </c>
      <c r="S50" s="343" t="s">
        <v>701</v>
      </c>
      <c r="T50" s="343" t="s">
        <v>702</v>
      </c>
      <c r="U50" s="343" t="s">
        <v>699</v>
      </c>
      <c r="V50" s="343" t="s">
        <v>700</v>
      </c>
      <c r="W50" s="343" t="s">
        <v>822</v>
      </c>
      <c r="X50" s="343" t="s">
        <v>880</v>
      </c>
      <c r="Y50" s="343" t="s">
        <v>1118</v>
      </c>
      <c r="Z50" s="343" t="s">
        <v>1124</v>
      </c>
      <c r="AA50" s="343" t="s">
        <v>1125</v>
      </c>
      <c r="AB50" s="343" t="s">
        <v>1126</v>
      </c>
      <c r="AC50" s="343" t="s">
        <v>1127</v>
      </c>
      <c r="AD50" s="343" t="s">
        <v>1128</v>
      </c>
      <c r="AE50" s="343" t="s">
        <v>737</v>
      </c>
      <c r="AF50" s="343" t="s">
        <v>741</v>
      </c>
      <c r="AG50" s="343" t="s">
        <v>745</v>
      </c>
      <c r="AH50" s="343" t="s">
        <v>746</v>
      </c>
      <c r="AI50" s="343" t="s">
        <v>748</v>
      </c>
      <c r="AJ50" s="343" t="s">
        <v>747</v>
      </c>
      <c r="AK50" s="343" t="s">
        <v>1096</v>
      </c>
      <c r="AL50" s="343" t="s">
        <v>1140</v>
      </c>
      <c r="AM50" s="343" t="s">
        <v>1141</v>
      </c>
      <c r="AN50" s="343" t="s">
        <v>1142</v>
      </c>
      <c r="AO50" s="343" t="s">
        <v>1143</v>
      </c>
      <c r="AP50" s="343" t="s">
        <v>1144</v>
      </c>
      <c r="AQ50" s="343" t="s">
        <v>1145</v>
      </c>
      <c r="AR50" s="343" t="s">
        <v>1146</v>
      </c>
      <c r="AS50" s="343" t="s">
        <v>1147</v>
      </c>
      <c r="AT50" s="343" t="s">
        <v>1176</v>
      </c>
      <c r="AU50" s="343" t="s">
        <v>1247</v>
      </c>
      <c r="AV50" s="343" t="s">
        <v>1293</v>
      </c>
      <c r="AW50" s="343" t="s">
        <v>1291</v>
      </c>
      <c r="AX50" s="343" t="s">
        <v>1294</v>
      </c>
      <c r="AY50" s="343" t="s">
        <v>1295</v>
      </c>
      <c r="AZ50" s="343" t="s">
        <v>1372</v>
      </c>
      <c r="BA50" s="343" t="s">
        <v>1373</v>
      </c>
      <c r="BB50" s="343" t="s">
        <v>1482</v>
      </c>
    </row>
    <row r="51" spans="1:54">
      <c r="A51" s="343" t="s">
        <v>612</v>
      </c>
      <c r="B51" s="279" t="str">
        <f>IF(AND(お客様情報!$E$2="通常オンプレ",COUNTIF(お客様情報!$R$5:$R$9,"i-FILTER ブラウザー&amp;クラウド5")&gt;0),3,"")</f>
        <v/>
      </c>
      <c r="C51" s="278" t="str">
        <f>IFERROR(VLOOKUP("i-FILTER ブラウザー&amp;クラウド"&amp;5,お客様情報!$R$5:$U$9,4,FALSE),"")</f>
        <v/>
      </c>
      <c r="D51" s="286" t="str">
        <f>D$43</f>
        <v/>
      </c>
      <c r="E51" s="286" t="str">
        <f>E$43</f>
        <v/>
      </c>
      <c r="F51" s="286" t="str">
        <f>F$43</f>
        <v/>
      </c>
      <c r="G51" s="286" t="str">
        <f>G$43</f>
        <v/>
      </c>
      <c r="H51" s="314"/>
      <c r="I51" s="314"/>
      <c r="J51" s="314"/>
      <c r="K51" s="314"/>
      <c r="L51" s="314"/>
      <c r="M51" s="286" t="str">
        <f>M$43</f>
        <v/>
      </c>
      <c r="N51" s="314"/>
      <c r="O51" s="314"/>
      <c r="P51" s="314"/>
      <c r="Q51" s="314"/>
      <c r="R51" s="314"/>
      <c r="S51" s="286" t="e">
        <f>S$43</f>
        <v>#N/A</v>
      </c>
      <c r="T51" s="286" t="e">
        <f>T$43</f>
        <v>#N/A</v>
      </c>
      <c r="U51" s="314"/>
      <c r="V51" s="314"/>
      <c r="W51" s="314"/>
      <c r="X51" s="314"/>
      <c r="Y51" s="314"/>
      <c r="Z51" s="314"/>
      <c r="AA51" s="314"/>
      <c r="AB51" s="314"/>
      <c r="AC51" s="314"/>
      <c r="AD51" s="314"/>
      <c r="AE51" s="314"/>
      <c r="AF51" s="314"/>
      <c r="AG51" s="314"/>
      <c r="AH51" s="314"/>
      <c r="AI51" s="314"/>
      <c r="AJ51" s="314"/>
      <c r="AK51" s="278" t="str">
        <f>AK$43</f>
        <v/>
      </c>
      <c r="AL51" s="314"/>
      <c r="AM51" s="314"/>
      <c r="AN51" s="314"/>
      <c r="AO51" s="314"/>
      <c r="AP51" s="314"/>
      <c r="AQ51" s="314"/>
      <c r="AR51" s="314"/>
      <c r="AS51" s="314"/>
      <c r="AT51" s="314"/>
      <c r="AU51" s="314"/>
      <c r="AV51" s="314"/>
      <c r="AW51" s="314"/>
      <c r="AX51" s="314"/>
      <c r="AY51" s="314"/>
      <c r="AZ51" s="314"/>
      <c r="BA51" s="314"/>
      <c r="BB51" s="314"/>
    </row>
    <row r="52" spans="1:54">
      <c r="A52" s="344" t="s">
        <v>586</v>
      </c>
      <c r="B52" s="344" t="s">
        <v>634</v>
      </c>
      <c r="C52" s="344" t="s">
        <v>620</v>
      </c>
      <c r="D52" s="344" t="s">
        <v>621</v>
      </c>
      <c r="E52" s="344" t="s">
        <v>622</v>
      </c>
      <c r="F52" s="344" t="s">
        <v>614</v>
      </c>
      <c r="G52" s="344" t="s">
        <v>623</v>
      </c>
      <c r="H52" s="344" t="s">
        <v>624</v>
      </c>
      <c r="I52" s="344" t="s">
        <v>625</v>
      </c>
      <c r="J52" s="344" t="s">
        <v>626</v>
      </c>
      <c r="K52" s="344" t="s">
        <v>627</v>
      </c>
      <c r="L52" s="344" t="s">
        <v>628</v>
      </c>
      <c r="M52" s="344" t="s">
        <v>629</v>
      </c>
      <c r="N52" s="344" t="s">
        <v>630</v>
      </c>
      <c r="O52" s="344" t="s">
        <v>631</v>
      </c>
      <c r="P52" s="344" t="s">
        <v>632</v>
      </c>
      <c r="Q52" s="344" t="s">
        <v>633</v>
      </c>
      <c r="R52" s="344" t="s">
        <v>1116</v>
      </c>
      <c r="S52" s="344" t="s">
        <v>701</v>
      </c>
      <c r="T52" s="344" t="s">
        <v>702</v>
      </c>
      <c r="U52" s="344" t="s">
        <v>699</v>
      </c>
      <c r="V52" s="344" t="s">
        <v>700</v>
      </c>
      <c r="W52" s="344" t="s">
        <v>822</v>
      </c>
      <c r="X52" s="344" t="s">
        <v>880</v>
      </c>
      <c r="Y52" s="344" t="s">
        <v>1118</v>
      </c>
      <c r="Z52" s="344" t="s">
        <v>1124</v>
      </c>
      <c r="AA52" s="344" t="s">
        <v>1125</v>
      </c>
      <c r="AB52" s="344" t="s">
        <v>1126</v>
      </c>
      <c r="AC52" s="344" t="s">
        <v>1127</v>
      </c>
      <c r="AD52" s="344" t="s">
        <v>1128</v>
      </c>
      <c r="AE52" s="344" t="s">
        <v>737</v>
      </c>
      <c r="AF52" s="344" t="s">
        <v>741</v>
      </c>
      <c r="AG52" s="344" t="s">
        <v>745</v>
      </c>
      <c r="AH52" s="344" t="s">
        <v>746</v>
      </c>
      <c r="AI52" s="344" t="s">
        <v>748</v>
      </c>
      <c r="AJ52" s="344" t="s">
        <v>747</v>
      </c>
      <c r="AK52" s="344" t="s">
        <v>1096</v>
      </c>
      <c r="AL52" s="344" t="s">
        <v>1140</v>
      </c>
      <c r="AM52" s="344" t="s">
        <v>1141</v>
      </c>
      <c r="AN52" s="344" t="s">
        <v>1142</v>
      </c>
      <c r="AO52" s="344" t="s">
        <v>1143</v>
      </c>
      <c r="AP52" s="344" t="s">
        <v>1144</v>
      </c>
      <c r="AQ52" s="344" t="s">
        <v>1145</v>
      </c>
      <c r="AR52" s="344" t="s">
        <v>1146</v>
      </c>
      <c r="AS52" s="344" t="s">
        <v>1147</v>
      </c>
      <c r="AT52" s="344" t="s">
        <v>1176</v>
      </c>
      <c r="AU52" s="344" t="s">
        <v>1248</v>
      </c>
      <c r="AV52" s="344" t="s">
        <v>1293</v>
      </c>
      <c r="AW52" s="344" t="s">
        <v>1291</v>
      </c>
      <c r="AX52" s="344" t="s">
        <v>1294</v>
      </c>
      <c r="AY52" s="344" t="s">
        <v>1295</v>
      </c>
      <c r="AZ52" s="344" t="s">
        <v>1372</v>
      </c>
      <c r="BA52" s="344" t="s">
        <v>1373</v>
      </c>
      <c r="BB52" s="344" t="s">
        <v>1481</v>
      </c>
    </row>
    <row r="53" spans="1:54">
      <c r="A53" s="344" t="s">
        <v>612</v>
      </c>
      <c r="B53" s="279" t="str">
        <f>IF(AND(お客様情報!$E$2="Cloud",COUNTIF(お客様情報!$R$13:$R$17,"i‐FILTER@Cloud1")&gt;0),1,"")</f>
        <v/>
      </c>
      <c r="C53" s="278" t="str">
        <f>IFERROR(VLOOKUP("i‐FILTER@Cloud"&amp;1,お客様情報!$R$13:$U$17,4,FALSE),"")</f>
        <v/>
      </c>
      <c r="D53" s="286" t="str">
        <f>IF(入力フォームDA_Cloud!BA87&lt;&gt;"",入力フォームDA_Cloud!BA87,"")</f>
        <v/>
      </c>
      <c r="E53" s="314"/>
      <c r="F53" s="278" t="str">
        <f>TEXT(IF(入力フォームDA_Cloud!N90*入力フォームDA_Cloud!U90=0,"",(入力フォームDA_Cloud!N90+2000)&amp;"/"&amp;入力フォームDA_Cloud!U90&amp;"/"&amp;入力フォームDA_Cloud!AB90),"yyyy-mm-dd")</f>
        <v/>
      </c>
      <c r="G53" s="278" t="str">
        <f>LEFT(入力フォームDA_Cloud!DG87,1)</f>
        <v/>
      </c>
      <c r="H53" s="314"/>
      <c r="I53" s="278" t="str">
        <f>IF(AND(入力フォームDA_Cloud!M71="無",入力フォームDA_Cloud!BO87="無"),入力フォームDA_Cloud!M74,"")</f>
        <v/>
      </c>
      <c r="J53" s="556" t="str">
        <f>IF(入力フォームDA_Cloud!AX80="はい/お客様アドレス",入力フォームDA_Cloud!AG40,IF(入力フォームDA_Cloud!AX80="はい/通知先記入",入力フォームDA_Cloud!BR80,""))</f>
        <v/>
      </c>
      <c r="K53" s="556" t="str">
        <f>IF(入力フォームDA_Cloud!AX82="はい/お客様アドレス",入力フォームDA_Cloud!AG40,IF(入力フォームDA_Cloud!AX82="はい/通知先記入",入力フォームDA_Cloud!BR82,""))</f>
        <v/>
      </c>
      <c r="L53" s="314"/>
      <c r="M53" s="278" t="str">
        <f>IF(AND(入力フォームDA_Cloud!AD87="新規",入力フォームDA_Cloud!BO87="有"),"",IF(入力フォームDA_Cloud!BZ87&lt;&gt;"",入力フォームDA_Cloud!BZ87,""))</f>
        <v/>
      </c>
      <c r="N53" s="278" t="str">
        <f>IF(入力フォームDA_Cloud!M71="有",入力フォームDA_Cloud!M77,"")</f>
        <v/>
      </c>
      <c r="O53" s="314"/>
      <c r="P53" s="314"/>
      <c r="Q53" s="314"/>
      <c r="R53" s="314"/>
      <c r="S53" s="278" t="e">
        <f>IF(お客様情報!$N$64="","",お客様情報!$N$64)</f>
        <v>#N/A</v>
      </c>
      <c r="T53" s="278" t="e">
        <f>IF(お客様情報!$N$65="","",お客様情報!$N$65)</f>
        <v>#N/A</v>
      </c>
      <c r="U53" s="314"/>
      <c r="V53" s="314"/>
      <c r="W53" s="278" t="str">
        <f>IF(入力フォームDA_Cloud!P102="有","子ども見守り","")</f>
        <v/>
      </c>
      <c r="X53" s="278"/>
      <c r="Y53" s="314"/>
      <c r="Z53" s="314"/>
      <c r="AA53" s="314"/>
      <c r="AB53" s="314"/>
      <c r="AC53" s="314"/>
      <c r="AD53" s="314"/>
      <c r="AE53" s="314"/>
      <c r="AF53" s="314"/>
      <c r="AG53" s="314"/>
      <c r="AH53" s="314"/>
      <c r="AI53" s="314"/>
      <c r="AJ53" s="314"/>
      <c r="AK53" s="278" t="str">
        <f>IF(AND(入力フォームDA_Cloud!AD87="新規",入力フォームDA_Cloud!BO87="有",入力フォームDA_Cloud!BZ87&lt;&gt;""),入力フォームDA_Cloud!BZ87,"")</f>
        <v/>
      </c>
      <c r="AL53" s="278" t="str">
        <f>IF(入力フォームDA_Cloud!V105="","",入力フォームDA_Cloud!V105)</f>
        <v/>
      </c>
      <c r="AM53" s="278" t="str">
        <f>IF(入力フォームDA_Cloud!J105="端末数",1,IF(入力フォームDA_Cloud!J105="ユーザー数",2,""))</f>
        <v/>
      </c>
      <c r="AN53" s="278" t="str">
        <f>IF(入力フォームDA_Cloud!BA102&lt;&gt;"",入力フォームDA_Cloud!BA102,"")</f>
        <v/>
      </c>
      <c r="AO53" s="278" t="str">
        <f>IF(入力フォームDA_Cloud!BT102&lt;&gt;"",入力フォームDA_Cloud!BT102,"")</f>
        <v/>
      </c>
      <c r="AP53" s="278" t="str">
        <f>IF(入力フォームDA_Cloud!CM102&lt;&gt;"",入力フォームDA_Cloud!CM102,"")</f>
        <v/>
      </c>
      <c r="AQ53" s="278" t="str">
        <f>IF(入力フォームDA_Cloud!BA105&lt;&gt;"",入力フォームDA_Cloud!BA105,"")</f>
        <v/>
      </c>
      <c r="AR53" s="278" t="str">
        <f>IF(入力フォームDA_Cloud!BT105&lt;&gt;"",入力フォームDA_Cloud!BT105,"")</f>
        <v/>
      </c>
      <c r="AS53" s="278" t="str">
        <f>IF(入力フォームDA_Cloud!CM105&lt;&gt;"",入力フォームDA_Cloud!CM105,"")</f>
        <v/>
      </c>
      <c r="AT53" s="378"/>
      <c r="AU53" s="567"/>
      <c r="AV53" s="378"/>
      <c r="AW53" s="378"/>
      <c r="AX53" s="378"/>
      <c r="AY53" s="378"/>
      <c r="AZ53" s="378"/>
      <c r="BA53" s="378"/>
      <c r="BB53" s="378"/>
    </row>
    <row r="54" spans="1:54">
      <c r="A54" s="344" t="s">
        <v>586</v>
      </c>
      <c r="B54" s="344" t="s">
        <v>634</v>
      </c>
      <c r="C54" s="344" t="s">
        <v>620</v>
      </c>
      <c r="D54" s="344" t="s">
        <v>621</v>
      </c>
      <c r="E54" s="344" t="s">
        <v>622</v>
      </c>
      <c r="F54" s="344" t="s">
        <v>614</v>
      </c>
      <c r="G54" s="344" t="s">
        <v>623</v>
      </c>
      <c r="H54" s="344" t="s">
        <v>624</v>
      </c>
      <c r="I54" s="344" t="s">
        <v>625</v>
      </c>
      <c r="J54" s="344" t="s">
        <v>626</v>
      </c>
      <c r="K54" s="344" t="s">
        <v>627</v>
      </c>
      <c r="L54" s="344" t="s">
        <v>628</v>
      </c>
      <c r="M54" s="344" t="s">
        <v>629</v>
      </c>
      <c r="N54" s="344" t="s">
        <v>630</v>
      </c>
      <c r="O54" s="344" t="s">
        <v>631</v>
      </c>
      <c r="P54" s="344" t="s">
        <v>632</v>
      </c>
      <c r="Q54" s="344" t="s">
        <v>633</v>
      </c>
      <c r="R54" s="344" t="s">
        <v>1116</v>
      </c>
      <c r="S54" s="344" t="s">
        <v>701</v>
      </c>
      <c r="T54" s="344" t="s">
        <v>702</v>
      </c>
      <c r="U54" s="344" t="s">
        <v>699</v>
      </c>
      <c r="V54" s="344" t="s">
        <v>700</v>
      </c>
      <c r="W54" s="344" t="s">
        <v>822</v>
      </c>
      <c r="X54" s="344" t="s">
        <v>880</v>
      </c>
      <c r="Y54" s="344" t="s">
        <v>1118</v>
      </c>
      <c r="Z54" s="344" t="s">
        <v>1124</v>
      </c>
      <c r="AA54" s="344" t="s">
        <v>1125</v>
      </c>
      <c r="AB54" s="344" t="s">
        <v>1126</v>
      </c>
      <c r="AC54" s="344" t="s">
        <v>1127</v>
      </c>
      <c r="AD54" s="344" t="s">
        <v>1128</v>
      </c>
      <c r="AE54" s="344" t="s">
        <v>737</v>
      </c>
      <c r="AF54" s="344" t="s">
        <v>741</v>
      </c>
      <c r="AG54" s="344" t="s">
        <v>745</v>
      </c>
      <c r="AH54" s="344" t="s">
        <v>746</v>
      </c>
      <c r="AI54" s="344" t="s">
        <v>748</v>
      </c>
      <c r="AJ54" s="344" t="s">
        <v>747</v>
      </c>
      <c r="AK54" s="344" t="s">
        <v>1096</v>
      </c>
      <c r="AL54" s="344" t="s">
        <v>1140</v>
      </c>
      <c r="AM54" s="344" t="s">
        <v>1141</v>
      </c>
      <c r="AN54" s="344" t="s">
        <v>1142</v>
      </c>
      <c r="AO54" s="344" t="s">
        <v>1143</v>
      </c>
      <c r="AP54" s="344" t="s">
        <v>1144</v>
      </c>
      <c r="AQ54" s="344" t="s">
        <v>1145</v>
      </c>
      <c r="AR54" s="344" t="s">
        <v>1146</v>
      </c>
      <c r="AS54" s="344" t="s">
        <v>1147</v>
      </c>
      <c r="AT54" s="344" t="s">
        <v>1176</v>
      </c>
      <c r="AU54" s="344" t="s">
        <v>1247</v>
      </c>
      <c r="AV54" s="344" t="s">
        <v>1293</v>
      </c>
      <c r="AW54" s="344" t="s">
        <v>1291</v>
      </c>
      <c r="AX54" s="344" t="s">
        <v>1294</v>
      </c>
      <c r="AY54" s="344" t="s">
        <v>1295</v>
      </c>
      <c r="AZ54" s="344" t="s">
        <v>1372</v>
      </c>
      <c r="BA54" s="344" t="s">
        <v>1373</v>
      </c>
      <c r="BB54" s="344" t="s">
        <v>1481</v>
      </c>
    </row>
    <row r="55" spans="1:54">
      <c r="A55" s="344" t="s">
        <v>612</v>
      </c>
      <c r="B55" s="279" t="str">
        <f>IF(AND(お客様情報!$E$2="Cloud",COUNTIF(お客様情報!$R$13:$R$17,"i‐FILTER@Cloud2")&gt;0),1,"")</f>
        <v/>
      </c>
      <c r="C55" s="278" t="str">
        <f>IFERROR(VLOOKUP("i‐FILTER@Cloud"&amp;2,お客様情報!$R$13:$U$17,4,FALSE),"")</f>
        <v/>
      </c>
      <c r="D55" s="286" t="str">
        <f>D$53</f>
        <v/>
      </c>
      <c r="E55" s="314"/>
      <c r="F55" s="286" t="str">
        <f>F$53</f>
        <v/>
      </c>
      <c r="G55" s="286" t="str">
        <f>G$53</f>
        <v/>
      </c>
      <c r="H55" s="314"/>
      <c r="I55" s="286" t="str">
        <f>I$53</f>
        <v/>
      </c>
      <c r="J55" s="556" t="str">
        <f>J$53</f>
        <v/>
      </c>
      <c r="K55" s="556" t="str">
        <f>K$53</f>
        <v/>
      </c>
      <c r="L55" s="314"/>
      <c r="M55" s="286" t="str">
        <f>M$53</f>
        <v/>
      </c>
      <c r="N55" s="286" t="str">
        <f>N$53</f>
        <v/>
      </c>
      <c r="O55" s="314"/>
      <c r="P55" s="314"/>
      <c r="Q55" s="314"/>
      <c r="R55" s="314"/>
      <c r="S55" s="286" t="e">
        <f>S$53</f>
        <v>#N/A</v>
      </c>
      <c r="T55" s="286" t="e">
        <f>T$53</f>
        <v>#N/A</v>
      </c>
      <c r="U55" s="314"/>
      <c r="V55" s="314"/>
      <c r="W55" s="286" t="str">
        <f>W$53</f>
        <v/>
      </c>
      <c r="X55" s="286"/>
      <c r="Y55" s="314"/>
      <c r="Z55" s="314"/>
      <c r="AA55" s="314"/>
      <c r="AB55" s="314"/>
      <c r="AC55" s="314"/>
      <c r="AD55" s="314"/>
      <c r="AE55" s="314"/>
      <c r="AF55" s="314"/>
      <c r="AG55" s="314"/>
      <c r="AH55" s="314"/>
      <c r="AI55" s="314"/>
      <c r="AJ55" s="314"/>
      <c r="AK55" s="278" t="str">
        <f>AK$53</f>
        <v/>
      </c>
      <c r="AL55" s="278" t="str">
        <f>AL$53</f>
        <v/>
      </c>
      <c r="AM55" s="278" t="str">
        <f t="shared" ref="AM55:AS61" si="4">AM$53</f>
        <v/>
      </c>
      <c r="AN55" s="278" t="str">
        <f t="shared" si="4"/>
        <v/>
      </c>
      <c r="AO55" s="278" t="str">
        <f t="shared" si="4"/>
        <v/>
      </c>
      <c r="AP55" s="278" t="str">
        <f t="shared" si="4"/>
        <v/>
      </c>
      <c r="AQ55" s="278" t="str">
        <f t="shared" si="4"/>
        <v/>
      </c>
      <c r="AR55" s="278" t="str">
        <f t="shared" si="4"/>
        <v/>
      </c>
      <c r="AS55" s="278" t="str">
        <f t="shared" si="4"/>
        <v/>
      </c>
      <c r="AT55" s="378"/>
      <c r="AU55" s="567"/>
      <c r="AV55" s="378"/>
      <c r="AW55" s="378"/>
      <c r="AX55" s="378"/>
      <c r="AY55" s="378"/>
      <c r="AZ55" s="378"/>
      <c r="BA55" s="378"/>
      <c r="BB55" s="378"/>
    </row>
    <row r="56" spans="1:54">
      <c r="A56" s="344" t="s">
        <v>586</v>
      </c>
      <c r="B56" s="344" t="s">
        <v>634</v>
      </c>
      <c r="C56" s="344" t="s">
        <v>620</v>
      </c>
      <c r="D56" s="344" t="s">
        <v>621</v>
      </c>
      <c r="E56" s="344" t="s">
        <v>622</v>
      </c>
      <c r="F56" s="344" t="s">
        <v>614</v>
      </c>
      <c r="G56" s="344" t="s">
        <v>623</v>
      </c>
      <c r="H56" s="344" t="s">
        <v>624</v>
      </c>
      <c r="I56" s="344" t="s">
        <v>625</v>
      </c>
      <c r="J56" s="344" t="s">
        <v>626</v>
      </c>
      <c r="K56" s="344" t="s">
        <v>627</v>
      </c>
      <c r="L56" s="344" t="s">
        <v>628</v>
      </c>
      <c r="M56" s="344" t="s">
        <v>629</v>
      </c>
      <c r="N56" s="344" t="s">
        <v>630</v>
      </c>
      <c r="O56" s="344" t="s">
        <v>631</v>
      </c>
      <c r="P56" s="344" t="s">
        <v>632</v>
      </c>
      <c r="Q56" s="344" t="s">
        <v>633</v>
      </c>
      <c r="R56" s="344" t="s">
        <v>1116</v>
      </c>
      <c r="S56" s="344" t="s">
        <v>701</v>
      </c>
      <c r="T56" s="344" t="s">
        <v>702</v>
      </c>
      <c r="U56" s="344" t="s">
        <v>699</v>
      </c>
      <c r="V56" s="344" t="s">
        <v>700</v>
      </c>
      <c r="W56" s="344" t="s">
        <v>822</v>
      </c>
      <c r="X56" s="344" t="s">
        <v>880</v>
      </c>
      <c r="Y56" s="344" t="s">
        <v>1118</v>
      </c>
      <c r="Z56" s="344" t="s">
        <v>1124</v>
      </c>
      <c r="AA56" s="344" t="s">
        <v>1125</v>
      </c>
      <c r="AB56" s="344" t="s">
        <v>1126</v>
      </c>
      <c r="AC56" s="344" t="s">
        <v>1127</v>
      </c>
      <c r="AD56" s="344" t="s">
        <v>1128</v>
      </c>
      <c r="AE56" s="344" t="s">
        <v>737</v>
      </c>
      <c r="AF56" s="344" t="s">
        <v>741</v>
      </c>
      <c r="AG56" s="344" t="s">
        <v>745</v>
      </c>
      <c r="AH56" s="344" t="s">
        <v>746</v>
      </c>
      <c r="AI56" s="344" t="s">
        <v>748</v>
      </c>
      <c r="AJ56" s="344" t="s">
        <v>747</v>
      </c>
      <c r="AK56" s="344" t="s">
        <v>1096</v>
      </c>
      <c r="AL56" s="344" t="s">
        <v>1140</v>
      </c>
      <c r="AM56" s="344" t="s">
        <v>1141</v>
      </c>
      <c r="AN56" s="344" t="s">
        <v>1142</v>
      </c>
      <c r="AO56" s="344" t="s">
        <v>1143</v>
      </c>
      <c r="AP56" s="344" t="s">
        <v>1144</v>
      </c>
      <c r="AQ56" s="344" t="s">
        <v>1145</v>
      </c>
      <c r="AR56" s="344" t="s">
        <v>1146</v>
      </c>
      <c r="AS56" s="344" t="s">
        <v>1147</v>
      </c>
      <c r="AT56" s="344" t="s">
        <v>1176</v>
      </c>
      <c r="AU56" s="344" t="s">
        <v>1247</v>
      </c>
      <c r="AV56" s="344" t="s">
        <v>1293</v>
      </c>
      <c r="AW56" s="344" t="s">
        <v>1291</v>
      </c>
      <c r="AX56" s="344" t="s">
        <v>1294</v>
      </c>
      <c r="AY56" s="344" t="s">
        <v>1295</v>
      </c>
      <c r="AZ56" s="344" t="s">
        <v>1372</v>
      </c>
      <c r="BA56" s="344" t="s">
        <v>1373</v>
      </c>
      <c r="BB56" s="344" t="s">
        <v>1481</v>
      </c>
    </row>
    <row r="57" spans="1:54">
      <c r="A57" s="344" t="s">
        <v>612</v>
      </c>
      <c r="B57" s="279" t="str">
        <f>IF(AND(お客様情報!$E$2="Cloud",COUNTIF(お客様情報!$R$13:$R$17,"i‐FILTER@Cloud3")&gt;0),1,"")</f>
        <v/>
      </c>
      <c r="C57" s="278" t="str">
        <f>IFERROR(VLOOKUP("i‐FILTER@Cloud"&amp;3,お客様情報!$R$13:$U$17,4,FALSE),"")</f>
        <v/>
      </c>
      <c r="D57" s="286" t="str">
        <f>D$53</f>
        <v/>
      </c>
      <c r="E57" s="314"/>
      <c r="F57" s="286" t="str">
        <f>F$53</f>
        <v/>
      </c>
      <c r="G57" s="286" t="str">
        <f>G$53</f>
        <v/>
      </c>
      <c r="H57" s="314"/>
      <c r="I57" s="286" t="str">
        <f>I$53</f>
        <v/>
      </c>
      <c r="J57" s="556" t="str">
        <f>J$53</f>
        <v/>
      </c>
      <c r="K57" s="556" t="str">
        <f>K$53</f>
        <v/>
      </c>
      <c r="L57" s="314"/>
      <c r="M57" s="286" t="str">
        <f>M$53</f>
        <v/>
      </c>
      <c r="N57" s="286" t="str">
        <f>N$53</f>
        <v/>
      </c>
      <c r="O57" s="314"/>
      <c r="P57" s="314"/>
      <c r="Q57" s="314"/>
      <c r="R57" s="314"/>
      <c r="S57" s="286" t="e">
        <f>S$53</f>
        <v>#N/A</v>
      </c>
      <c r="T57" s="286" t="e">
        <f>T$53</f>
        <v>#N/A</v>
      </c>
      <c r="U57" s="314"/>
      <c r="V57" s="314"/>
      <c r="W57" s="286" t="str">
        <f>W$53</f>
        <v/>
      </c>
      <c r="X57" s="286"/>
      <c r="Y57" s="314"/>
      <c r="Z57" s="314"/>
      <c r="AA57" s="314"/>
      <c r="AB57" s="314"/>
      <c r="AC57" s="314"/>
      <c r="AD57" s="314"/>
      <c r="AE57" s="314"/>
      <c r="AF57" s="314"/>
      <c r="AG57" s="314"/>
      <c r="AH57" s="314"/>
      <c r="AI57" s="314"/>
      <c r="AJ57" s="314"/>
      <c r="AK57" s="278" t="str">
        <f>AK$53</f>
        <v/>
      </c>
      <c r="AL57" s="278" t="str">
        <f>AL$53</f>
        <v/>
      </c>
      <c r="AM57" s="278" t="str">
        <f t="shared" si="4"/>
        <v/>
      </c>
      <c r="AN57" s="278" t="str">
        <f t="shared" si="4"/>
        <v/>
      </c>
      <c r="AO57" s="278" t="str">
        <f t="shared" si="4"/>
        <v/>
      </c>
      <c r="AP57" s="278" t="str">
        <f t="shared" si="4"/>
        <v/>
      </c>
      <c r="AQ57" s="278" t="str">
        <f t="shared" si="4"/>
        <v/>
      </c>
      <c r="AR57" s="278" t="str">
        <f t="shared" si="4"/>
        <v/>
      </c>
      <c r="AS57" s="278" t="str">
        <f t="shared" si="4"/>
        <v/>
      </c>
      <c r="AT57" s="378"/>
      <c r="AU57" s="567"/>
      <c r="AV57" s="378"/>
      <c r="AW57" s="378"/>
      <c r="AX57" s="378"/>
      <c r="AY57" s="378"/>
      <c r="AZ57" s="378"/>
      <c r="BA57" s="378"/>
      <c r="BB57" s="378"/>
    </row>
    <row r="58" spans="1:54">
      <c r="A58" s="344" t="s">
        <v>586</v>
      </c>
      <c r="B58" s="344" t="s">
        <v>634</v>
      </c>
      <c r="C58" s="344" t="s">
        <v>620</v>
      </c>
      <c r="D58" s="344" t="s">
        <v>621</v>
      </c>
      <c r="E58" s="344" t="s">
        <v>622</v>
      </c>
      <c r="F58" s="344" t="s">
        <v>614</v>
      </c>
      <c r="G58" s="344" t="s">
        <v>623</v>
      </c>
      <c r="H58" s="344" t="s">
        <v>624</v>
      </c>
      <c r="I58" s="344" t="s">
        <v>625</v>
      </c>
      <c r="J58" s="344" t="s">
        <v>626</v>
      </c>
      <c r="K58" s="344" t="s">
        <v>627</v>
      </c>
      <c r="L58" s="344" t="s">
        <v>628</v>
      </c>
      <c r="M58" s="344" t="s">
        <v>629</v>
      </c>
      <c r="N58" s="344" t="s">
        <v>630</v>
      </c>
      <c r="O58" s="344" t="s">
        <v>631</v>
      </c>
      <c r="P58" s="344" t="s">
        <v>632</v>
      </c>
      <c r="Q58" s="344" t="s">
        <v>633</v>
      </c>
      <c r="R58" s="344" t="s">
        <v>1116</v>
      </c>
      <c r="S58" s="344" t="s">
        <v>701</v>
      </c>
      <c r="T58" s="344" t="s">
        <v>702</v>
      </c>
      <c r="U58" s="344" t="s">
        <v>699</v>
      </c>
      <c r="V58" s="344" t="s">
        <v>700</v>
      </c>
      <c r="W58" s="344" t="s">
        <v>822</v>
      </c>
      <c r="X58" s="344" t="s">
        <v>880</v>
      </c>
      <c r="Y58" s="344" t="s">
        <v>1118</v>
      </c>
      <c r="Z58" s="344" t="s">
        <v>1124</v>
      </c>
      <c r="AA58" s="344" t="s">
        <v>1125</v>
      </c>
      <c r="AB58" s="344" t="s">
        <v>1126</v>
      </c>
      <c r="AC58" s="344" t="s">
        <v>1127</v>
      </c>
      <c r="AD58" s="344" t="s">
        <v>1128</v>
      </c>
      <c r="AE58" s="344" t="s">
        <v>737</v>
      </c>
      <c r="AF58" s="344" t="s">
        <v>741</v>
      </c>
      <c r="AG58" s="344" t="s">
        <v>745</v>
      </c>
      <c r="AH58" s="344" t="s">
        <v>746</v>
      </c>
      <c r="AI58" s="344" t="s">
        <v>748</v>
      </c>
      <c r="AJ58" s="344" t="s">
        <v>747</v>
      </c>
      <c r="AK58" s="344" t="s">
        <v>1096</v>
      </c>
      <c r="AL58" s="344" t="s">
        <v>1140</v>
      </c>
      <c r="AM58" s="344" t="s">
        <v>1141</v>
      </c>
      <c r="AN58" s="344" t="s">
        <v>1142</v>
      </c>
      <c r="AO58" s="344" t="s">
        <v>1143</v>
      </c>
      <c r="AP58" s="344" t="s">
        <v>1144</v>
      </c>
      <c r="AQ58" s="344" t="s">
        <v>1145</v>
      </c>
      <c r="AR58" s="344" t="s">
        <v>1146</v>
      </c>
      <c r="AS58" s="344" t="s">
        <v>1147</v>
      </c>
      <c r="AT58" s="344" t="s">
        <v>1176</v>
      </c>
      <c r="AU58" s="344" t="s">
        <v>1247</v>
      </c>
      <c r="AV58" s="344" t="s">
        <v>1293</v>
      </c>
      <c r="AW58" s="344" t="s">
        <v>1291</v>
      </c>
      <c r="AX58" s="344" t="s">
        <v>1294</v>
      </c>
      <c r="AY58" s="344" t="s">
        <v>1295</v>
      </c>
      <c r="AZ58" s="344" t="s">
        <v>1372</v>
      </c>
      <c r="BA58" s="344" t="s">
        <v>1373</v>
      </c>
      <c r="BB58" s="344" t="s">
        <v>1481</v>
      </c>
    </row>
    <row r="59" spans="1:54">
      <c r="A59" s="344" t="s">
        <v>612</v>
      </c>
      <c r="B59" s="279" t="str">
        <f>IF(AND(お客様情報!$E$2="Cloud",COUNTIF(お客様情報!$R$13:$R$17,"i‐FILTER@Cloud4")&gt;0),1,"")</f>
        <v/>
      </c>
      <c r="C59" s="278" t="str">
        <f>IFERROR(VLOOKUP("i‐FILTER@Cloud"&amp;4,お客様情報!$R$13:$U$17,4,FALSE),"")</f>
        <v/>
      </c>
      <c r="D59" s="286" t="str">
        <f>D$53</f>
        <v/>
      </c>
      <c r="E59" s="314"/>
      <c r="F59" s="286" t="str">
        <f>F$53</f>
        <v/>
      </c>
      <c r="G59" s="286" t="str">
        <f>G$53</f>
        <v/>
      </c>
      <c r="H59" s="314"/>
      <c r="I59" s="286" t="str">
        <f>I$53</f>
        <v/>
      </c>
      <c r="J59" s="556" t="str">
        <f>J$53</f>
        <v/>
      </c>
      <c r="K59" s="556" t="str">
        <f>K$53</f>
        <v/>
      </c>
      <c r="L59" s="314"/>
      <c r="M59" s="286" t="str">
        <f>M$53</f>
        <v/>
      </c>
      <c r="N59" s="286" t="str">
        <f>N$53</f>
        <v/>
      </c>
      <c r="O59" s="314"/>
      <c r="P59" s="314"/>
      <c r="Q59" s="314"/>
      <c r="R59" s="314"/>
      <c r="S59" s="286" t="e">
        <f>S$53</f>
        <v>#N/A</v>
      </c>
      <c r="T59" s="286" t="e">
        <f>T$53</f>
        <v>#N/A</v>
      </c>
      <c r="U59" s="314"/>
      <c r="V59" s="314"/>
      <c r="W59" s="286" t="str">
        <f>W$53</f>
        <v/>
      </c>
      <c r="X59" s="286"/>
      <c r="Y59" s="314"/>
      <c r="Z59" s="314"/>
      <c r="AA59" s="314"/>
      <c r="AB59" s="314"/>
      <c r="AC59" s="314"/>
      <c r="AD59" s="314"/>
      <c r="AE59" s="314"/>
      <c r="AF59" s="314"/>
      <c r="AG59" s="314"/>
      <c r="AH59" s="314"/>
      <c r="AI59" s="314"/>
      <c r="AJ59" s="314"/>
      <c r="AK59" s="278" t="str">
        <f>AK$53</f>
        <v/>
      </c>
      <c r="AL59" s="278" t="str">
        <f>AL$53</f>
        <v/>
      </c>
      <c r="AM59" s="278" t="str">
        <f t="shared" si="4"/>
        <v/>
      </c>
      <c r="AN59" s="278" t="str">
        <f t="shared" si="4"/>
        <v/>
      </c>
      <c r="AO59" s="278" t="str">
        <f t="shared" si="4"/>
        <v/>
      </c>
      <c r="AP59" s="278" t="str">
        <f t="shared" si="4"/>
        <v/>
      </c>
      <c r="AQ59" s="278" t="str">
        <f t="shared" si="4"/>
        <v/>
      </c>
      <c r="AR59" s="278" t="str">
        <f t="shared" si="4"/>
        <v/>
      </c>
      <c r="AS59" s="278" t="str">
        <f t="shared" si="4"/>
        <v/>
      </c>
      <c r="AT59" s="378"/>
      <c r="AU59" s="567"/>
      <c r="AV59" s="378"/>
      <c r="AW59" s="378"/>
      <c r="AX59" s="378"/>
      <c r="AY59" s="378"/>
      <c r="AZ59" s="378"/>
      <c r="BA59" s="378"/>
      <c r="BB59" s="378"/>
    </row>
    <row r="60" spans="1:54">
      <c r="A60" s="344" t="s">
        <v>586</v>
      </c>
      <c r="B60" s="344" t="s">
        <v>634</v>
      </c>
      <c r="C60" s="344" t="s">
        <v>620</v>
      </c>
      <c r="D60" s="344" t="s">
        <v>621</v>
      </c>
      <c r="E60" s="344" t="s">
        <v>622</v>
      </c>
      <c r="F60" s="344" t="s">
        <v>614</v>
      </c>
      <c r="G60" s="344" t="s">
        <v>623</v>
      </c>
      <c r="H60" s="344" t="s">
        <v>624</v>
      </c>
      <c r="I60" s="344" t="s">
        <v>625</v>
      </c>
      <c r="J60" s="344" t="s">
        <v>626</v>
      </c>
      <c r="K60" s="344" t="s">
        <v>627</v>
      </c>
      <c r="L60" s="344" t="s">
        <v>628</v>
      </c>
      <c r="M60" s="344" t="s">
        <v>629</v>
      </c>
      <c r="N60" s="344" t="s">
        <v>630</v>
      </c>
      <c r="O60" s="344" t="s">
        <v>631</v>
      </c>
      <c r="P60" s="344" t="s">
        <v>632</v>
      </c>
      <c r="Q60" s="344" t="s">
        <v>633</v>
      </c>
      <c r="R60" s="344" t="s">
        <v>1116</v>
      </c>
      <c r="S60" s="344" t="s">
        <v>701</v>
      </c>
      <c r="T60" s="344" t="s">
        <v>702</v>
      </c>
      <c r="U60" s="344" t="s">
        <v>699</v>
      </c>
      <c r="V60" s="344" t="s">
        <v>700</v>
      </c>
      <c r="W60" s="344" t="s">
        <v>822</v>
      </c>
      <c r="X60" s="344" t="s">
        <v>880</v>
      </c>
      <c r="Y60" s="344" t="s">
        <v>1118</v>
      </c>
      <c r="Z60" s="344" t="s">
        <v>1124</v>
      </c>
      <c r="AA60" s="344" t="s">
        <v>1125</v>
      </c>
      <c r="AB60" s="344" t="s">
        <v>1126</v>
      </c>
      <c r="AC60" s="344" t="s">
        <v>1127</v>
      </c>
      <c r="AD60" s="344" t="s">
        <v>1128</v>
      </c>
      <c r="AE60" s="344" t="s">
        <v>737</v>
      </c>
      <c r="AF60" s="344" t="s">
        <v>741</v>
      </c>
      <c r="AG60" s="344" t="s">
        <v>745</v>
      </c>
      <c r="AH60" s="344" t="s">
        <v>746</v>
      </c>
      <c r="AI60" s="344" t="s">
        <v>748</v>
      </c>
      <c r="AJ60" s="344" t="s">
        <v>747</v>
      </c>
      <c r="AK60" s="344" t="s">
        <v>1096</v>
      </c>
      <c r="AL60" s="344" t="s">
        <v>1140</v>
      </c>
      <c r="AM60" s="344" t="s">
        <v>1141</v>
      </c>
      <c r="AN60" s="344" t="s">
        <v>1142</v>
      </c>
      <c r="AO60" s="344" t="s">
        <v>1143</v>
      </c>
      <c r="AP60" s="344" t="s">
        <v>1144</v>
      </c>
      <c r="AQ60" s="344" t="s">
        <v>1145</v>
      </c>
      <c r="AR60" s="344" t="s">
        <v>1146</v>
      </c>
      <c r="AS60" s="344" t="s">
        <v>1147</v>
      </c>
      <c r="AT60" s="344" t="s">
        <v>1176</v>
      </c>
      <c r="AU60" s="344" t="s">
        <v>1247</v>
      </c>
      <c r="AV60" s="344" t="s">
        <v>1293</v>
      </c>
      <c r="AW60" s="344" t="s">
        <v>1291</v>
      </c>
      <c r="AX60" s="344" t="s">
        <v>1294</v>
      </c>
      <c r="AY60" s="344" t="s">
        <v>1295</v>
      </c>
      <c r="AZ60" s="344" t="s">
        <v>1372</v>
      </c>
      <c r="BA60" s="344" t="s">
        <v>1373</v>
      </c>
      <c r="BB60" s="344" t="s">
        <v>1481</v>
      </c>
    </row>
    <row r="61" spans="1:54">
      <c r="A61" s="344" t="s">
        <v>612</v>
      </c>
      <c r="B61" s="279" t="str">
        <f>IF(AND(お客様情報!$E$2="Cloud",COUNTIF(お客様情報!$R$13:$R$17,"i‐FILTER@Cloud5")&gt;0),1,"")</f>
        <v/>
      </c>
      <c r="C61" s="278" t="str">
        <f>IFERROR(VLOOKUP("i‐FILTER@Cloud"&amp;5,お客様情報!$R$13:$U$17,4,FALSE),"")</f>
        <v/>
      </c>
      <c r="D61" s="286" t="str">
        <f>D$53</f>
        <v/>
      </c>
      <c r="E61" s="314"/>
      <c r="F61" s="286" t="str">
        <f>F$53</f>
        <v/>
      </c>
      <c r="G61" s="286" t="str">
        <f>G$53</f>
        <v/>
      </c>
      <c r="H61" s="314"/>
      <c r="I61" s="286" t="str">
        <f>I$53</f>
        <v/>
      </c>
      <c r="J61" s="556" t="str">
        <f>J$53</f>
        <v/>
      </c>
      <c r="K61" s="556" t="str">
        <f>K$53</f>
        <v/>
      </c>
      <c r="L61" s="314"/>
      <c r="M61" s="286" t="str">
        <f>M$53</f>
        <v/>
      </c>
      <c r="N61" s="286" t="str">
        <f>N$53</f>
        <v/>
      </c>
      <c r="O61" s="314"/>
      <c r="P61" s="314"/>
      <c r="Q61" s="314"/>
      <c r="R61" s="314"/>
      <c r="S61" s="286" t="e">
        <f>S$53</f>
        <v>#N/A</v>
      </c>
      <c r="T61" s="286" t="e">
        <f>T$53</f>
        <v>#N/A</v>
      </c>
      <c r="U61" s="314"/>
      <c r="V61" s="314"/>
      <c r="W61" s="286" t="str">
        <f>W$53</f>
        <v/>
      </c>
      <c r="X61" s="286"/>
      <c r="Y61" s="314"/>
      <c r="Z61" s="314"/>
      <c r="AA61" s="314"/>
      <c r="AB61" s="314"/>
      <c r="AC61" s="314"/>
      <c r="AD61" s="314"/>
      <c r="AE61" s="314"/>
      <c r="AF61" s="314"/>
      <c r="AG61" s="314"/>
      <c r="AH61" s="314"/>
      <c r="AI61" s="314"/>
      <c r="AJ61" s="314"/>
      <c r="AK61" s="278" t="str">
        <f>AK$53</f>
        <v/>
      </c>
      <c r="AL61" s="278" t="str">
        <f>AL$53</f>
        <v/>
      </c>
      <c r="AM61" s="278" t="str">
        <f t="shared" si="4"/>
        <v/>
      </c>
      <c r="AN61" s="278" t="str">
        <f t="shared" si="4"/>
        <v/>
      </c>
      <c r="AO61" s="278" t="str">
        <f t="shared" si="4"/>
        <v/>
      </c>
      <c r="AP61" s="278" t="str">
        <f t="shared" si="4"/>
        <v/>
      </c>
      <c r="AQ61" s="278" t="str">
        <f t="shared" si="4"/>
        <v/>
      </c>
      <c r="AR61" s="278" t="str">
        <f t="shared" si="4"/>
        <v/>
      </c>
      <c r="AS61" s="278" t="str">
        <f t="shared" si="4"/>
        <v/>
      </c>
      <c r="AT61" s="378"/>
      <c r="AU61" s="567"/>
      <c r="AV61" s="378"/>
      <c r="AW61" s="378"/>
      <c r="AX61" s="378"/>
      <c r="AY61" s="378"/>
      <c r="AZ61" s="378"/>
      <c r="BA61" s="378"/>
      <c r="BB61" s="378"/>
    </row>
    <row r="62" spans="1:54">
      <c r="A62" s="345" t="s">
        <v>586</v>
      </c>
      <c r="B62" s="345" t="s">
        <v>634</v>
      </c>
      <c r="C62" s="345" t="s">
        <v>620</v>
      </c>
      <c r="D62" s="345" t="s">
        <v>621</v>
      </c>
      <c r="E62" s="345" t="s">
        <v>622</v>
      </c>
      <c r="F62" s="345" t="s">
        <v>614</v>
      </c>
      <c r="G62" s="345" t="s">
        <v>623</v>
      </c>
      <c r="H62" s="345" t="s">
        <v>624</v>
      </c>
      <c r="I62" s="345" t="s">
        <v>1206</v>
      </c>
      <c r="J62" s="345" t="s">
        <v>626</v>
      </c>
      <c r="K62" s="345" t="s">
        <v>627</v>
      </c>
      <c r="L62" s="345" t="s">
        <v>628</v>
      </c>
      <c r="M62" s="345" t="s">
        <v>629</v>
      </c>
      <c r="N62" s="345" t="s">
        <v>630</v>
      </c>
      <c r="O62" s="345" t="s">
        <v>631</v>
      </c>
      <c r="P62" s="345" t="s">
        <v>632</v>
      </c>
      <c r="Q62" s="345" t="s">
        <v>633</v>
      </c>
      <c r="R62" s="345" t="s">
        <v>1116</v>
      </c>
      <c r="S62" s="345" t="s">
        <v>701</v>
      </c>
      <c r="T62" s="345" t="s">
        <v>702</v>
      </c>
      <c r="U62" s="345" t="s">
        <v>699</v>
      </c>
      <c r="V62" s="345" t="s">
        <v>700</v>
      </c>
      <c r="W62" s="345" t="s">
        <v>822</v>
      </c>
      <c r="X62" s="345" t="s">
        <v>880</v>
      </c>
      <c r="Y62" s="345" t="s">
        <v>1118</v>
      </c>
      <c r="Z62" s="345" t="s">
        <v>1124</v>
      </c>
      <c r="AA62" s="345" t="s">
        <v>1125</v>
      </c>
      <c r="AB62" s="345" t="s">
        <v>1126</v>
      </c>
      <c r="AC62" s="345" t="s">
        <v>1127</v>
      </c>
      <c r="AD62" s="345" t="s">
        <v>1128</v>
      </c>
      <c r="AE62" s="345" t="s">
        <v>737</v>
      </c>
      <c r="AF62" s="345" t="s">
        <v>741</v>
      </c>
      <c r="AG62" s="345" t="s">
        <v>745</v>
      </c>
      <c r="AH62" s="345" t="s">
        <v>746</v>
      </c>
      <c r="AI62" s="345" t="s">
        <v>748</v>
      </c>
      <c r="AJ62" s="345" t="s">
        <v>747</v>
      </c>
      <c r="AK62" s="345" t="s">
        <v>1096</v>
      </c>
      <c r="AL62" s="345" t="s">
        <v>1140</v>
      </c>
      <c r="AM62" s="345" t="s">
        <v>1141</v>
      </c>
      <c r="AN62" s="345" t="s">
        <v>1142</v>
      </c>
      <c r="AO62" s="345" t="s">
        <v>1143</v>
      </c>
      <c r="AP62" s="345" t="s">
        <v>1144</v>
      </c>
      <c r="AQ62" s="345" t="s">
        <v>1145</v>
      </c>
      <c r="AR62" s="345" t="s">
        <v>1146</v>
      </c>
      <c r="AS62" s="345" t="s">
        <v>1147</v>
      </c>
      <c r="AT62" s="345" t="s">
        <v>1176</v>
      </c>
      <c r="AU62" s="345" t="s">
        <v>1247</v>
      </c>
      <c r="AV62" s="345" t="s">
        <v>1293</v>
      </c>
      <c r="AW62" s="345" t="s">
        <v>1291</v>
      </c>
      <c r="AX62" s="345" t="s">
        <v>1294</v>
      </c>
      <c r="AY62" s="345" t="s">
        <v>1295</v>
      </c>
      <c r="AZ62" s="345" t="s">
        <v>1372</v>
      </c>
      <c r="BA62" s="345" t="s">
        <v>1373</v>
      </c>
      <c r="BB62" s="345" t="s">
        <v>1481</v>
      </c>
    </row>
    <row r="63" spans="1:54">
      <c r="A63" s="345" t="s">
        <v>612</v>
      </c>
      <c r="B63" s="279" t="str">
        <f>IF(AND(お客様情報!$E$2="Cloud",COUNTIF(お客様情報!$R$13:$R$17,"m-FILTER@Cloud1")&gt;0),5,"")</f>
        <v/>
      </c>
      <c r="C63" s="278" t="str">
        <f>IFERROR(VLOOKUP("m-FILTER@Cloud"&amp;1,お客様情報!$R$13:$U$17,4,FALSE),"")</f>
        <v/>
      </c>
      <c r="D63" s="286" t="str">
        <f>IF(入力フォームDA_Cloud!BF113&lt;&gt;"",入力フォームDA_Cloud!BF113,"")</f>
        <v/>
      </c>
      <c r="E63" s="314"/>
      <c r="F63" s="278" t="str">
        <f>TEXT(IF(入力フォームDA_Cloud!N116*入力フォームDA_Cloud!U116=0,"",(入力フォームDA_Cloud!N116+2000)&amp;"/"&amp;入力フォームDA_Cloud!U116&amp;"/"&amp;入力フォームDA_Cloud!AB116),"yyyy-mm-dd")</f>
        <v/>
      </c>
      <c r="G63" s="278" t="str">
        <f>LEFT(入力フォームDA_Cloud!DH113,1)</f>
        <v/>
      </c>
      <c r="H63" s="278" t="str">
        <f>IF(入力フォームDA_Cloud!I119="有/暗号化強固OP保有なし",入力フォームDA_Cloud!AT119,"")</f>
        <v/>
      </c>
      <c r="I63" s="278" t="str">
        <f>IF(AND(入力フォームDA_Cloud!M71="無",入力フォームDA_Cloud!BR113="無"),入力フォームDA_Cloud!M74,"")</f>
        <v/>
      </c>
      <c r="J63" s="556" t="str">
        <f>IF(入力フォームDA_Cloud!AX80="はい/お客様アドレス",入力フォームDA_Cloud!AG40,IF(入力フォームDA_Cloud!AX80="はい/通知先記入",入力フォームDA_Cloud!BR80,""))</f>
        <v/>
      </c>
      <c r="K63" s="556" t="str">
        <f>IF(入力フォームDA_Cloud!AX82="はい/お客様アドレス",入力フォームDA_Cloud!AG40,IF(入力フォームDA_Cloud!AX82="はい/通知先記入",入力フォームDA_Cloud!BR82,""))</f>
        <v/>
      </c>
      <c r="L63" s="314"/>
      <c r="M63" s="278" t="str">
        <f>IF(AND(入力フォームDA_Cloud!AA113="新規",入力フォームDA_Cloud!BR113="有"),"",IF(入力フォームDA_Cloud!CC113&lt;&gt;"",入力フォームDA_Cloud!CC113,""))</f>
        <v/>
      </c>
      <c r="N63" s="278" t="str">
        <f>IF(入力フォームDA_Cloud!M71="有",入力フォームDA_Cloud!M77,"")</f>
        <v/>
      </c>
      <c r="O63" s="314"/>
      <c r="P63" s="314"/>
      <c r="Q63" s="314"/>
      <c r="R63" s="314"/>
      <c r="S63" s="278" t="e">
        <f>IF(お客様情報!$N$64="","",お客様情報!$N$64)</f>
        <v>#N/A</v>
      </c>
      <c r="T63" s="278" t="e">
        <f>IF(お客様情報!$N$65="","",お客様情報!$N$65)</f>
        <v>#N/A</v>
      </c>
      <c r="U63" s="556"/>
      <c r="V63" s="314"/>
      <c r="W63" s="314"/>
      <c r="X63" s="314"/>
      <c r="Y63" s="314"/>
      <c r="Z63" s="314"/>
      <c r="AA63" s="314"/>
      <c r="AB63" s="314"/>
      <c r="AC63" s="314"/>
      <c r="AD63" s="314"/>
      <c r="AE63" s="314"/>
      <c r="AF63" s="567" t="str">
        <f>IF(入力フォームDA_Cloud!AT122="","",入力フォームDA_Cloud!AT122)</f>
        <v/>
      </c>
      <c r="AG63" s="314"/>
      <c r="AH63" s="314"/>
      <c r="AI63" s="314"/>
      <c r="AJ63" s="567"/>
      <c r="AK63" s="278" t="str">
        <f>IF(AND(入力フォームDA_Cloud!AA113="新規",入力フォームDA_Cloud!BR113="有",入力フォームDA_Cloud!CC113&lt;&gt;""),入力フォームDA_Cloud!CC113,"")</f>
        <v/>
      </c>
      <c r="AL63" s="314"/>
      <c r="AM63" s="314"/>
      <c r="AN63" s="314"/>
      <c r="AO63" s="314"/>
      <c r="AP63" s="314"/>
      <c r="AQ63" s="314"/>
      <c r="AR63" s="314"/>
      <c r="AS63" s="314"/>
      <c r="AT63" s="278" t="str">
        <f>IF(入力フォームDA_Cloud!I119="有/暗号化強固OP保有あり",入力フォームDA_Cloud!CB119,"")</f>
        <v/>
      </c>
      <c r="AU63" s="278"/>
      <c r="AV63" s="378"/>
      <c r="AW63" s="378"/>
      <c r="AX63" s="378"/>
      <c r="AY63" s="378"/>
      <c r="AZ63" s="378"/>
      <c r="BA63" s="378"/>
      <c r="BB63" s="378"/>
    </row>
    <row r="64" spans="1:54">
      <c r="A64" s="345" t="s">
        <v>586</v>
      </c>
      <c r="B64" s="345" t="s">
        <v>634</v>
      </c>
      <c r="C64" s="345" t="s">
        <v>620</v>
      </c>
      <c r="D64" s="345" t="s">
        <v>621</v>
      </c>
      <c r="E64" s="345" t="s">
        <v>622</v>
      </c>
      <c r="F64" s="345" t="s">
        <v>614</v>
      </c>
      <c r="G64" s="345" t="s">
        <v>623</v>
      </c>
      <c r="H64" s="345" t="s">
        <v>624</v>
      </c>
      <c r="I64" s="345" t="s">
        <v>625</v>
      </c>
      <c r="J64" s="345" t="s">
        <v>626</v>
      </c>
      <c r="K64" s="345" t="s">
        <v>627</v>
      </c>
      <c r="L64" s="345" t="s">
        <v>628</v>
      </c>
      <c r="M64" s="345" t="s">
        <v>629</v>
      </c>
      <c r="N64" s="345" t="s">
        <v>630</v>
      </c>
      <c r="O64" s="345" t="s">
        <v>631</v>
      </c>
      <c r="P64" s="345" t="s">
        <v>632</v>
      </c>
      <c r="Q64" s="345" t="s">
        <v>633</v>
      </c>
      <c r="R64" s="345" t="s">
        <v>1116</v>
      </c>
      <c r="S64" s="345" t="s">
        <v>701</v>
      </c>
      <c r="T64" s="345" t="s">
        <v>702</v>
      </c>
      <c r="U64" s="345" t="s">
        <v>699</v>
      </c>
      <c r="V64" s="345" t="s">
        <v>700</v>
      </c>
      <c r="W64" s="345" t="s">
        <v>822</v>
      </c>
      <c r="X64" s="345" t="s">
        <v>880</v>
      </c>
      <c r="Y64" s="345" t="s">
        <v>1118</v>
      </c>
      <c r="Z64" s="345" t="s">
        <v>1124</v>
      </c>
      <c r="AA64" s="345" t="s">
        <v>1125</v>
      </c>
      <c r="AB64" s="345" t="s">
        <v>1126</v>
      </c>
      <c r="AC64" s="345" t="s">
        <v>1127</v>
      </c>
      <c r="AD64" s="345" t="s">
        <v>1128</v>
      </c>
      <c r="AE64" s="345" t="s">
        <v>737</v>
      </c>
      <c r="AF64" s="345" t="s">
        <v>741</v>
      </c>
      <c r="AG64" s="345" t="s">
        <v>745</v>
      </c>
      <c r="AH64" s="345" t="s">
        <v>746</v>
      </c>
      <c r="AI64" s="345" t="s">
        <v>748</v>
      </c>
      <c r="AJ64" s="345" t="s">
        <v>747</v>
      </c>
      <c r="AK64" s="345" t="s">
        <v>1096</v>
      </c>
      <c r="AL64" s="345" t="s">
        <v>1140</v>
      </c>
      <c r="AM64" s="345" t="s">
        <v>1141</v>
      </c>
      <c r="AN64" s="345" t="s">
        <v>1142</v>
      </c>
      <c r="AO64" s="345" t="s">
        <v>1143</v>
      </c>
      <c r="AP64" s="345" t="s">
        <v>1144</v>
      </c>
      <c r="AQ64" s="345" t="s">
        <v>1145</v>
      </c>
      <c r="AR64" s="345" t="s">
        <v>1146</v>
      </c>
      <c r="AS64" s="345" t="s">
        <v>1147</v>
      </c>
      <c r="AT64" s="345" t="s">
        <v>1176</v>
      </c>
      <c r="AU64" s="345" t="s">
        <v>1247</v>
      </c>
      <c r="AV64" s="345" t="s">
        <v>1293</v>
      </c>
      <c r="AW64" s="345" t="s">
        <v>1291</v>
      </c>
      <c r="AX64" s="345" t="s">
        <v>1294</v>
      </c>
      <c r="AY64" s="345" t="s">
        <v>1295</v>
      </c>
      <c r="AZ64" s="345" t="s">
        <v>1372</v>
      </c>
      <c r="BA64" s="345" t="s">
        <v>1373</v>
      </c>
      <c r="BB64" s="345" t="s">
        <v>1481</v>
      </c>
    </row>
    <row r="65" spans="1:54">
      <c r="A65" s="345" t="s">
        <v>612</v>
      </c>
      <c r="B65" s="279" t="str">
        <f>IF(AND(お客様情報!$E$2="Cloud",COUNTIF(お客様情報!$R$13:$R$17,"m-FILTER@Cloud2")&gt;0),5,"")</f>
        <v/>
      </c>
      <c r="C65" s="278" t="str">
        <f>IFERROR(VLOOKUP("m-FILTER@Cloud"&amp;2,お客様情報!$R$13:$U$17,4,FALSE),"")</f>
        <v/>
      </c>
      <c r="D65" s="286" t="str">
        <f>D$63</f>
        <v/>
      </c>
      <c r="E65" s="314"/>
      <c r="F65" s="286" t="str">
        <f t="shared" ref="F65:K65" si="5">F$63</f>
        <v/>
      </c>
      <c r="G65" s="286" t="str">
        <f t="shared" si="5"/>
        <v/>
      </c>
      <c r="H65" s="278" t="str">
        <f t="shared" si="5"/>
        <v/>
      </c>
      <c r="I65" s="286" t="str">
        <f t="shared" si="5"/>
        <v/>
      </c>
      <c r="J65" s="556" t="str">
        <f t="shared" si="5"/>
        <v/>
      </c>
      <c r="K65" s="556" t="str">
        <f t="shared" si="5"/>
        <v/>
      </c>
      <c r="L65" s="314"/>
      <c r="M65" s="286" t="str">
        <f>M$63</f>
        <v/>
      </c>
      <c r="N65" s="286" t="str">
        <f>N$63</f>
        <v/>
      </c>
      <c r="O65" s="314"/>
      <c r="P65" s="314"/>
      <c r="Q65" s="314"/>
      <c r="R65" s="314"/>
      <c r="S65" s="286" t="e">
        <f>S$63</f>
        <v>#N/A</v>
      </c>
      <c r="T65" s="286" t="e">
        <f>$T$63</f>
        <v>#N/A</v>
      </c>
      <c r="U65" s="556"/>
      <c r="V65" s="314"/>
      <c r="W65" s="314"/>
      <c r="X65" s="314"/>
      <c r="Y65" s="314"/>
      <c r="Z65" s="314"/>
      <c r="AA65" s="314"/>
      <c r="AB65" s="314"/>
      <c r="AC65" s="314"/>
      <c r="AD65" s="314"/>
      <c r="AE65" s="314"/>
      <c r="AF65" s="314" t="str">
        <f>$AF$63</f>
        <v/>
      </c>
      <c r="AG65" s="314"/>
      <c r="AH65" s="314"/>
      <c r="AI65" s="314"/>
      <c r="AJ65" s="314">
        <f>$AJ$63</f>
        <v>0</v>
      </c>
      <c r="AK65" s="278" t="str">
        <f>AK$63</f>
        <v/>
      </c>
      <c r="AL65" s="314"/>
      <c r="AM65" s="314"/>
      <c r="AN65" s="314"/>
      <c r="AO65" s="314"/>
      <c r="AP65" s="314"/>
      <c r="AQ65" s="314"/>
      <c r="AR65" s="314"/>
      <c r="AS65" s="314"/>
      <c r="AT65" s="278" t="str">
        <f>AT$63</f>
        <v/>
      </c>
      <c r="AU65" s="278"/>
      <c r="AV65" s="378"/>
      <c r="AW65" s="378"/>
      <c r="AX65" s="378"/>
      <c r="AY65" s="378"/>
      <c r="AZ65" s="378"/>
      <c r="BA65" s="378"/>
      <c r="BB65" s="378"/>
    </row>
    <row r="66" spans="1:54">
      <c r="A66" s="345" t="s">
        <v>586</v>
      </c>
      <c r="B66" s="345" t="s">
        <v>634</v>
      </c>
      <c r="C66" s="345" t="s">
        <v>620</v>
      </c>
      <c r="D66" s="345" t="s">
        <v>621</v>
      </c>
      <c r="E66" s="345" t="s">
        <v>622</v>
      </c>
      <c r="F66" s="345" t="s">
        <v>614</v>
      </c>
      <c r="G66" s="345" t="s">
        <v>623</v>
      </c>
      <c r="H66" s="345" t="s">
        <v>624</v>
      </c>
      <c r="I66" s="345" t="s">
        <v>625</v>
      </c>
      <c r="J66" s="345" t="s">
        <v>626</v>
      </c>
      <c r="K66" s="345" t="s">
        <v>627</v>
      </c>
      <c r="L66" s="345" t="s">
        <v>628</v>
      </c>
      <c r="M66" s="345" t="s">
        <v>629</v>
      </c>
      <c r="N66" s="345" t="s">
        <v>630</v>
      </c>
      <c r="O66" s="345" t="s">
        <v>631</v>
      </c>
      <c r="P66" s="345" t="s">
        <v>632</v>
      </c>
      <c r="Q66" s="345" t="s">
        <v>633</v>
      </c>
      <c r="R66" s="345" t="s">
        <v>1116</v>
      </c>
      <c r="S66" s="345" t="s">
        <v>701</v>
      </c>
      <c r="T66" s="345" t="s">
        <v>702</v>
      </c>
      <c r="U66" s="345" t="s">
        <v>699</v>
      </c>
      <c r="V66" s="345" t="s">
        <v>700</v>
      </c>
      <c r="W66" s="345" t="s">
        <v>822</v>
      </c>
      <c r="X66" s="345" t="s">
        <v>880</v>
      </c>
      <c r="Y66" s="345" t="s">
        <v>1118</v>
      </c>
      <c r="Z66" s="345" t="s">
        <v>1124</v>
      </c>
      <c r="AA66" s="345" t="s">
        <v>1125</v>
      </c>
      <c r="AB66" s="345" t="s">
        <v>1126</v>
      </c>
      <c r="AC66" s="345" t="s">
        <v>1127</v>
      </c>
      <c r="AD66" s="345" t="s">
        <v>1128</v>
      </c>
      <c r="AE66" s="345" t="s">
        <v>737</v>
      </c>
      <c r="AF66" s="345" t="s">
        <v>741</v>
      </c>
      <c r="AG66" s="345" t="s">
        <v>745</v>
      </c>
      <c r="AH66" s="345" t="s">
        <v>746</v>
      </c>
      <c r="AI66" s="345" t="s">
        <v>748</v>
      </c>
      <c r="AJ66" s="345" t="s">
        <v>747</v>
      </c>
      <c r="AK66" s="345" t="s">
        <v>1096</v>
      </c>
      <c r="AL66" s="345" t="s">
        <v>1140</v>
      </c>
      <c r="AM66" s="345" t="s">
        <v>1141</v>
      </c>
      <c r="AN66" s="345" t="s">
        <v>1142</v>
      </c>
      <c r="AO66" s="345" t="s">
        <v>1143</v>
      </c>
      <c r="AP66" s="345" t="s">
        <v>1144</v>
      </c>
      <c r="AQ66" s="345" t="s">
        <v>1145</v>
      </c>
      <c r="AR66" s="345" t="s">
        <v>1146</v>
      </c>
      <c r="AS66" s="345" t="s">
        <v>1147</v>
      </c>
      <c r="AT66" s="345" t="s">
        <v>1176</v>
      </c>
      <c r="AU66" s="345" t="s">
        <v>1247</v>
      </c>
      <c r="AV66" s="345" t="s">
        <v>1293</v>
      </c>
      <c r="AW66" s="345" t="s">
        <v>1291</v>
      </c>
      <c r="AX66" s="345" t="s">
        <v>1294</v>
      </c>
      <c r="AY66" s="345" t="s">
        <v>1295</v>
      </c>
      <c r="AZ66" s="345" t="s">
        <v>1372</v>
      </c>
      <c r="BA66" s="345" t="s">
        <v>1373</v>
      </c>
      <c r="BB66" s="345" t="s">
        <v>1481</v>
      </c>
    </row>
    <row r="67" spans="1:54">
      <c r="A67" s="345" t="s">
        <v>612</v>
      </c>
      <c r="B67" s="279" t="str">
        <f>IF(AND(お客様情報!$E$2="Cloud",COUNTIF(お客様情報!$R$13:$R$17,"m-FILTER@Cloud3")&gt;0),5,"")</f>
        <v/>
      </c>
      <c r="C67" s="278" t="str">
        <f>IFERROR(VLOOKUP("m-FILTER@Cloud"&amp;3,お客様情報!$R$13:$U$17,4,FALSE),"")</f>
        <v/>
      </c>
      <c r="D67" s="286" t="str">
        <f>D$63</f>
        <v/>
      </c>
      <c r="E67" s="314"/>
      <c r="F67" s="286" t="str">
        <f t="shared" ref="F67:K67" si="6">F$63</f>
        <v/>
      </c>
      <c r="G67" s="286" t="str">
        <f t="shared" si="6"/>
        <v/>
      </c>
      <c r="H67" s="278" t="str">
        <f t="shared" si="6"/>
        <v/>
      </c>
      <c r="I67" s="286" t="str">
        <f t="shared" si="6"/>
        <v/>
      </c>
      <c r="J67" s="556" t="str">
        <f t="shared" si="6"/>
        <v/>
      </c>
      <c r="K67" s="556" t="str">
        <f t="shared" si="6"/>
        <v/>
      </c>
      <c r="L67" s="314"/>
      <c r="M67" s="286" t="str">
        <f>M$63</f>
        <v/>
      </c>
      <c r="N67" s="286" t="str">
        <f>N$63</f>
        <v/>
      </c>
      <c r="O67" s="314"/>
      <c r="P67" s="314"/>
      <c r="Q67" s="314"/>
      <c r="R67" s="314"/>
      <c r="S67" s="286" t="e">
        <f>S$63</f>
        <v>#N/A</v>
      </c>
      <c r="T67" s="286" t="e">
        <f>$T$63</f>
        <v>#N/A</v>
      </c>
      <c r="U67" s="556"/>
      <c r="V67" s="314"/>
      <c r="W67" s="314"/>
      <c r="X67" s="314"/>
      <c r="Y67" s="314"/>
      <c r="Z67" s="314"/>
      <c r="AA67" s="314"/>
      <c r="AB67" s="314"/>
      <c r="AC67" s="314"/>
      <c r="AD67" s="314"/>
      <c r="AE67" s="314"/>
      <c r="AF67" s="314" t="str">
        <f>$AF$63</f>
        <v/>
      </c>
      <c r="AG67" s="314"/>
      <c r="AH67" s="314"/>
      <c r="AI67" s="314"/>
      <c r="AJ67" s="314">
        <f>$AJ$63</f>
        <v>0</v>
      </c>
      <c r="AK67" s="278" t="str">
        <f>AK$63</f>
        <v/>
      </c>
      <c r="AL67" s="314"/>
      <c r="AM67" s="314"/>
      <c r="AN67" s="314"/>
      <c r="AO67" s="314"/>
      <c r="AP67" s="314"/>
      <c r="AQ67" s="314"/>
      <c r="AR67" s="314"/>
      <c r="AS67" s="314"/>
      <c r="AT67" s="278" t="str">
        <f>AT$63</f>
        <v/>
      </c>
      <c r="AU67" s="278"/>
      <c r="AV67" s="378"/>
      <c r="AW67" s="378"/>
      <c r="AX67" s="378"/>
      <c r="AY67" s="378"/>
      <c r="AZ67" s="378"/>
      <c r="BA67" s="378"/>
      <c r="BB67" s="378"/>
    </row>
    <row r="68" spans="1:54">
      <c r="A68" s="345" t="s">
        <v>586</v>
      </c>
      <c r="B68" s="345" t="s">
        <v>634</v>
      </c>
      <c r="C68" s="345" t="s">
        <v>620</v>
      </c>
      <c r="D68" s="345" t="s">
        <v>621</v>
      </c>
      <c r="E68" s="345" t="s">
        <v>622</v>
      </c>
      <c r="F68" s="345" t="s">
        <v>614</v>
      </c>
      <c r="G68" s="345" t="s">
        <v>623</v>
      </c>
      <c r="H68" s="345" t="s">
        <v>624</v>
      </c>
      <c r="I68" s="345" t="s">
        <v>625</v>
      </c>
      <c r="J68" s="345" t="s">
        <v>626</v>
      </c>
      <c r="K68" s="345" t="s">
        <v>627</v>
      </c>
      <c r="L68" s="345" t="s">
        <v>628</v>
      </c>
      <c r="M68" s="345" t="s">
        <v>629</v>
      </c>
      <c r="N68" s="345" t="s">
        <v>630</v>
      </c>
      <c r="O68" s="345" t="s">
        <v>631</v>
      </c>
      <c r="P68" s="345" t="s">
        <v>632</v>
      </c>
      <c r="Q68" s="345" t="s">
        <v>633</v>
      </c>
      <c r="R68" s="345" t="s">
        <v>1116</v>
      </c>
      <c r="S68" s="345" t="s">
        <v>701</v>
      </c>
      <c r="T68" s="345" t="s">
        <v>702</v>
      </c>
      <c r="U68" s="345" t="s">
        <v>699</v>
      </c>
      <c r="V68" s="345" t="s">
        <v>700</v>
      </c>
      <c r="W68" s="345" t="s">
        <v>822</v>
      </c>
      <c r="X68" s="345" t="s">
        <v>880</v>
      </c>
      <c r="Y68" s="345" t="s">
        <v>1118</v>
      </c>
      <c r="Z68" s="345" t="s">
        <v>1124</v>
      </c>
      <c r="AA68" s="345" t="s">
        <v>1125</v>
      </c>
      <c r="AB68" s="345" t="s">
        <v>1126</v>
      </c>
      <c r="AC68" s="345" t="s">
        <v>1127</v>
      </c>
      <c r="AD68" s="345" t="s">
        <v>1128</v>
      </c>
      <c r="AE68" s="345" t="s">
        <v>737</v>
      </c>
      <c r="AF68" s="345" t="s">
        <v>741</v>
      </c>
      <c r="AG68" s="345" t="s">
        <v>745</v>
      </c>
      <c r="AH68" s="345" t="s">
        <v>746</v>
      </c>
      <c r="AI68" s="345" t="s">
        <v>748</v>
      </c>
      <c r="AJ68" s="345" t="s">
        <v>747</v>
      </c>
      <c r="AK68" s="345" t="s">
        <v>1096</v>
      </c>
      <c r="AL68" s="345" t="s">
        <v>1140</v>
      </c>
      <c r="AM68" s="345" t="s">
        <v>1141</v>
      </c>
      <c r="AN68" s="345" t="s">
        <v>1142</v>
      </c>
      <c r="AO68" s="345" t="s">
        <v>1143</v>
      </c>
      <c r="AP68" s="345" t="s">
        <v>1144</v>
      </c>
      <c r="AQ68" s="345" t="s">
        <v>1145</v>
      </c>
      <c r="AR68" s="345" t="s">
        <v>1146</v>
      </c>
      <c r="AS68" s="345" t="s">
        <v>1147</v>
      </c>
      <c r="AT68" s="345" t="s">
        <v>1176</v>
      </c>
      <c r="AU68" s="345" t="s">
        <v>1247</v>
      </c>
      <c r="AV68" s="345" t="s">
        <v>1293</v>
      </c>
      <c r="AW68" s="345" t="s">
        <v>1291</v>
      </c>
      <c r="AX68" s="345" t="s">
        <v>1294</v>
      </c>
      <c r="AY68" s="345" t="s">
        <v>1295</v>
      </c>
      <c r="AZ68" s="345" t="s">
        <v>1372</v>
      </c>
      <c r="BA68" s="345" t="s">
        <v>1373</v>
      </c>
      <c r="BB68" s="345" t="s">
        <v>1481</v>
      </c>
    </row>
    <row r="69" spans="1:54">
      <c r="A69" s="345" t="s">
        <v>612</v>
      </c>
      <c r="B69" s="279" t="str">
        <f>IF(AND(お客様情報!$E$2="Cloud",COUNTIF(お客様情報!$R$13:$R$17,"m-FILTER@Cloud4")&gt;0),5,"")</f>
        <v/>
      </c>
      <c r="C69" s="278" t="str">
        <f>IFERROR(VLOOKUP("m-FILTER@Cloud"&amp;4,お客様情報!$R$13:$U$17,4,FALSE),"")</f>
        <v/>
      </c>
      <c r="D69" s="286" t="str">
        <f>D$63</f>
        <v/>
      </c>
      <c r="E69" s="314"/>
      <c r="F69" s="286" t="str">
        <f t="shared" ref="F69:K69" si="7">F$63</f>
        <v/>
      </c>
      <c r="G69" s="286" t="str">
        <f t="shared" si="7"/>
        <v/>
      </c>
      <c r="H69" s="278" t="str">
        <f t="shared" si="7"/>
        <v/>
      </c>
      <c r="I69" s="286" t="str">
        <f t="shared" si="7"/>
        <v/>
      </c>
      <c r="J69" s="556" t="str">
        <f t="shared" si="7"/>
        <v/>
      </c>
      <c r="K69" s="556" t="str">
        <f t="shared" si="7"/>
        <v/>
      </c>
      <c r="L69" s="314"/>
      <c r="M69" s="286" t="str">
        <f>M$63</f>
        <v/>
      </c>
      <c r="N69" s="286" t="str">
        <f>N$63</f>
        <v/>
      </c>
      <c r="O69" s="314"/>
      <c r="P69" s="314"/>
      <c r="Q69" s="314"/>
      <c r="R69" s="314"/>
      <c r="S69" s="286" t="e">
        <f>S$63</f>
        <v>#N/A</v>
      </c>
      <c r="T69" s="286" t="e">
        <f>$T$63</f>
        <v>#N/A</v>
      </c>
      <c r="U69" s="556"/>
      <c r="V69" s="314"/>
      <c r="W69" s="314"/>
      <c r="X69" s="314"/>
      <c r="Y69" s="314"/>
      <c r="Z69" s="314"/>
      <c r="AA69" s="314"/>
      <c r="AB69" s="314"/>
      <c r="AC69" s="314"/>
      <c r="AD69" s="314"/>
      <c r="AE69" s="314"/>
      <c r="AF69" s="314" t="str">
        <f>$AF$63</f>
        <v/>
      </c>
      <c r="AG69" s="314"/>
      <c r="AH69" s="314"/>
      <c r="AI69" s="314"/>
      <c r="AJ69" s="314">
        <f>$AJ$63</f>
        <v>0</v>
      </c>
      <c r="AK69" s="278" t="str">
        <f>AK$63</f>
        <v/>
      </c>
      <c r="AL69" s="314"/>
      <c r="AM69" s="314"/>
      <c r="AN69" s="314"/>
      <c r="AO69" s="314"/>
      <c r="AP69" s="314"/>
      <c r="AQ69" s="314"/>
      <c r="AR69" s="314"/>
      <c r="AS69" s="314"/>
      <c r="AT69" s="278" t="str">
        <f>AT$63</f>
        <v/>
      </c>
      <c r="AU69" s="278"/>
      <c r="AV69" s="378"/>
      <c r="AW69" s="378"/>
      <c r="AX69" s="378"/>
      <c r="AY69" s="378"/>
      <c r="AZ69" s="378"/>
      <c r="BA69" s="378"/>
      <c r="BB69" s="378"/>
    </row>
    <row r="70" spans="1:54">
      <c r="A70" s="345" t="s">
        <v>586</v>
      </c>
      <c r="B70" s="345" t="s">
        <v>634</v>
      </c>
      <c r="C70" s="345" t="s">
        <v>620</v>
      </c>
      <c r="D70" s="345" t="s">
        <v>621</v>
      </c>
      <c r="E70" s="345" t="s">
        <v>622</v>
      </c>
      <c r="F70" s="345" t="s">
        <v>614</v>
      </c>
      <c r="G70" s="345" t="s">
        <v>623</v>
      </c>
      <c r="H70" s="345" t="s">
        <v>624</v>
      </c>
      <c r="I70" s="345" t="s">
        <v>625</v>
      </c>
      <c r="J70" s="345" t="s">
        <v>626</v>
      </c>
      <c r="K70" s="345" t="s">
        <v>627</v>
      </c>
      <c r="L70" s="345" t="s">
        <v>628</v>
      </c>
      <c r="M70" s="345" t="s">
        <v>629</v>
      </c>
      <c r="N70" s="345" t="s">
        <v>630</v>
      </c>
      <c r="O70" s="345" t="s">
        <v>631</v>
      </c>
      <c r="P70" s="345" t="s">
        <v>632</v>
      </c>
      <c r="Q70" s="345" t="s">
        <v>633</v>
      </c>
      <c r="R70" s="345" t="s">
        <v>1116</v>
      </c>
      <c r="S70" s="345" t="s">
        <v>701</v>
      </c>
      <c r="T70" s="345" t="s">
        <v>702</v>
      </c>
      <c r="U70" s="345" t="s">
        <v>699</v>
      </c>
      <c r="V70" s="345" t="s">
        <v>700</v>
      </c>
      <c r="W70" s="345" t="s">
        <v>822</v>
      </c>
      <c r="X70" s="345" t="s">
        <v>880</v>
      </c>
      <c r="Y70" s="345" t="s">
        <v>1118</v>
      </c>
      <c r="Z70" s="345" t="s">
        <v>1124</v>
      </c>
      <c r="AA70" s="345" t="s">
        <v>1125</v>
      </c>
      <c r="AB70" s="345" t="s">
        <v>1126</v>
      </c>
      <c r="AC70" s="345" t="s">
        <v>1127</v>
      </c>
      <c r="AD70" s="345" t="s">
        <v>1128</v>
      </c>
      <c r="AE70" s="345" t="s">
        <v>737</v>
      </c>
      <c r="AF70" s="345" t="s">
        <v>741</v>
      </c>
      <c r="AG70" s="345" t="s">
        <v>745</v>
      </c>
      <c r="AH70" s="345" t="s">
        <v>746</v>
      </c>
      <c r="AI70" s="345" t="s">
        <v>748</v>
      </c>
      <c r="AJ70" s="345" t="s">
        <v>747</v>
      </c>
      <c r="AK70" s="345" t="s">
        <v>1096</v>
      </c>
      <c r="AL70" s="345" t="s">
        <v>1140</v>
      </c>
      <c r="AM70" s="345" t="s">
        <v>1141</v>
      </c>
      <c r="AN70" s="345" t="s">
        <v>1142</v>
      </c>
      <c r="AO70" s="345" t="s">
        <v>1143</v>
      </c>
      <c r="AP70" s="345" t="s">
        <v>1144</v>
      </c>
      <c r="AQ70" s="345" t="s">
        <v>1145</v>
      </c>
      <c r="AR70" s="345" t="s">
        <v>1146</v>
      </c>
      <c r="AS70" s="345" t="s">
        <v>1147</v>
      </c>
      <c r="AT70" s="345" t="s">
        <v>1176</v>
      </c>
      <c r="AU70" s="345" t="s">
        <v>1247</v>
      </c>
      <c r="AV70" s="345" t="s">
        <v>1293</v>
      </c>
      <c r="AW70" s="345" t="s">
        <v>1291</v>
      </c>
      <c r="AX70" s="345" t="s">
        <v>1294</v>
      </c>
      <c r="AY70" s="345" t="s">
        <v>1295</v>
      </c>
      <c r="AZ70" s="345" t="s">
        <v>1372</v>
      </c>
      <c r="BA70" s="345" t="s">
        <v>1373</v>
      </c>
      <c r="BB70" s="345" t="s">
        <v>1481</v>
      </c>
    </row>
    <row r="71" spans="1:54">
      <c r="A71" s="345" t="s">
        <v>612</v>
      </c>
      <c r="B71" s="279" t="str">
        <f>IF(AND(お客様情報!$E$2="Cloud",COUNTIF(お客様情報!$R$13:$R$17,"m-FILTER@Cloud5")&gt;0),5,"")</f>
        <v/>
      </c>
      <c r="C71" s="278" t="str">
        <f>IFERROR(VLOOKUP("m-FILTER@Cloud"&amp;5,お客様情報!$R$13:$U$17,4,FALSE),"")</f>
        <v/>
      </c>
      <c r="D71" s="286" t="str">
        <f>D$63</f>
        <v/>
      </c>
      <c r="E71" s="314"/>
      <c r="F71" s="286" t="str">
        <f t="shared" ref="F71:K71" si="8">F$63</f>
        <v/>
      </c>
      <c r="G71" s="286" t="str">
        <f t="shared" si="8"/>
        <v/>
      </c>
      <c r="H71" s="278" t="str">
        <f t="shared" si="8"/>
        <v/>
      </c>
      <c r="I71" s="286" t="str">
        <f t="shared" si="8"/>
        <v/>
      </c>
      <c r="J71" s="556" t="str">
        <f t="shared" si="8"/>
        <v/>
      </c>
      <c r="K71" s="556" t="str">
        <f t="shared" si="8"/>
        <v/>
      </c>
      <c r="L71" s="314"/>
      <c r="M71" s="286" t="str">
        <f>M$63</f>
        <v/>
      </c>
      <c r="N71" s="286" t="str">
        <f>N$63</f>
        <v/>
      </c>
      <c r="O71" s="314"/>
      <c r="P71" s="314"/>
      <c r="Q71" s="314"/>
      <c r="R71" s="314"/>
      <c r="S71" s="286" t="e">
        <f>S$63</f>
        <v>#N/A</v>
      </c>
      <c r="T71" s="286" t="e">
        <f>$T$63</f>
        <v>#N/A</v>
      </c>
      <c r="U71" s="556"/>
      <c r="V71" s="314"/>
      <c r="W71" s="314"/>
      <c r="X71" s="314"/>
      <c r="Y71" s="314"/>
      <c r="Z71" s="314"/>
      <c r="AA71" s="314"/>
      <c r="AB71" s="314"/>
      <c r="AC71" s="314"/>
      <c r="AD71" s="314"/>
      <c r="AE71" s="314"/>
      <c r="AF71" s="314" t="str">
        <f>$AF$63</f>
        <v/>
      </c>
      <c r="AG71" s="314"/>
      <c r="AH71" s="314"/>
      <c r="AI71" s="314"/>
      <c r="AJ71" s="314">
        <f>$AJ$63</f>
        <v>0</v>
      </c>
      <c r="AK71" s="278" t="str">
        <f>AK$63</f>
        <v/>
      </c>
      <c r="AL71" s="314"/>
      <c r="AM71" s="314"/>
      <c r="AN71" s="314"/>
      <c r="AO71" s="314"/>
      <c r="AP71" s="314"/>
      <c r="AQ71" s="314"/>
      <c r="AR71" s="314"/>
      <c r="AS71" s="314"/>
      <c r="AT71" s="278" t="str">
        <f>AT$63</f>
        <v/>
      </c>
      <c r="AU71" s="278"/>
      <c r="AV71" s="378"/>
      <c r="AW71" s="378"/>
      <c r="AX71" s="378"/>
      <c r="AY71" s="378"/>
      <c r="AZ71" s="378"/>
      <c r="BA71" s="378"/>
      <c r="BB71" s="378"/>
    </row>
    <row r="72" spans="1:54">
      <c r="A72" s="346" t="s">
        <v>586</v>
      </c>
      <c r="B72" s="346" t="s">
        <v>634</v>
      </c>
      <c r="C72" s="346" t="s">
        <v>620</v>
      </c>
      <c r="D72" s="346" t="s">
        <v>621</v>
      </c>
      <c r="E72" s="346" t="s">
        <v>622</v>
      </c>
      <c r="F72" s="346" t="s">
        <v>614</v>
      </c>
      <c r="G72" s="346" t="s">
        <v>623</v>
      </c>
      <c r="H72" s="346" t="s">
        <v>1175</v>
      </c>
      <c r="I72" s="346" t="s">
        <v>625</v>
      </c>
      <c r="J72" s="346" t="s">
        <v>626</v>
      </c>
      <c r="K72" s="346" t="s">
        <v>627</v>
      </c>
      <c r="L72" s="346" t="s">
        <v>628</v>
      </c>
      <c r="M72" s="346" t="s">
        <v>629</v>
      </c>
      <c r="N72" s="346" t="s">
        <v>630</v>
      </c>
      <c r="O72" s="346" t="s">
        <v>631</v>
      </c>
      <c r="P72" s="346" t="s">
        <v>632</v>
      </c>
      <c r="Q72" s="346" t="s">
        <v>633</v>
      </c>
      <c r="R72" s="346" t="s">
        <v>1116</v>
      </c>
      <c r="S72" s="346" t="s">
        <v>701</v>
      </c>
      <c r="T72" s="346" t="s">
        <v>702</v>
      </c>
      <c r="U72" s="346" t="s">
        <v>699</v>
      </c>
      <c r="V72" s="346" t="s">
        <v>700</v>
      </c>
      <c r="W72" s="346" t="s">
        <v>822</v>
      </c>
      <c r="X72" s="346" t="s">
        <v>880</v>
      </c>
      <c r="Y72" s="346" t="s">
        <v>1118</v>
      </c>
      <c r="Z72" s="346" t="s">
        <v>1124</v>
      </c>
      <c r="AA72" s="346" t="s">
        <v>1125</v>
      </c>
      <c r="AB72" s="346" t="s">
        <v>1126</v>
      </c>
      <c r="AC72" s="346" t="s">
        <v>1127</v>
      </c>
      <c r="AD72" s="346" t="s">
        <v>1128</v>
      </c>
      <c r="AE72" s="346" t="s">
        <v>737</v>
      </c>
      <c r="AF72" s="346" t="s">
        <v>741</v>
      </c>
      <c r="AG72" s="346" t="s">
        <v>745</v>
      </c>
      <c r="AH72" s="346" t="s">
        <v>746</v>
      </c>
      <c r="AI72" s="346" t="s">
        <v>748</v>
      </c>
      <c r="AJ72" s="346" t="s">
        <v>747</v>
      </c>
      <c r="AK72" s="346" t="s">
        <v>1096</v>
      </c>
      <c r="AL72" s="346" t="s">
        <v>1140</v>
      </c>
      <c r="AM72" s="346" t="s">
        <v>1141</v>
      </c>
      <c r="AN72" s="346" t="s">
        <v>1142</v>
      </c>
      <c r="AO72" s="346" t="s">
        <v>1143</v>
      </c>
      <c r="AP72" s="346" t="s">
        <v>1144</v>
      </c>
      <c r="AQ72" s="346" t="s">
        <v>1145</v>
      </c>
      <c r="AR72" s="346" t="s">
        <v>1146</v>
      </c>
      <c r="AS72" s="346" t="s">
        <v>1147</v>
      </c>
      <c r="AT72" s="346" t="s">
        <v>1176</v>
      </c>
      <c r="AU72" s="346" t="s">
        <v>1247</v>
      </c>
      <c r="AV72" s="346" t="s">
        <v>1293</v>
      </c>
      <c r="AW72" s="346" t="s">
        <v>1291</v>
      </c>
      <c r="AX72" s="346" t="s">
        <v>1294</v>
      </c>
      <c r="AY72" s="346" t="s">
        <v>1295</v>
      </c>
      <c r="AZ72" s="346" t="s">
        <v>1372</v>
      </c>
      <c r="BA72" s="346" t="s">
        <v>1373</v>
      </c>
      <c r="BB72" s="346" t="s">
        <v>1481</v>
      </c>
    </row>
    <row r="73" spans="1:54">
      <c r="A73" s="347" t="s">
        <v>612</v>
      </c>
      <c r="B73" s="279" t="str">
        <f>IF(AND(お客様情報!$E$2="Cloud",COUNTIF(お客様情報!$R$13:$R$17,"FinalCode@Cloud1")&gt;0),8,"")</f>
        <v/>
      </c>
      <c r="C73" s="278" t="str">
        <f>IFERROR(VLOOKUP("FinalCode@Cloud"&amp;1,お客様情報!$R$13:$U$17,4,FALSE),"")</f>
        <v/>
      </c>
      <c r="D73" s="286" t="str">
        <f>IF(入力フォームDA_Cloud!BO131&lt;&gt;"",入力フォームDA_Cloud!BO131,"")</f>
        <v/>
      </c>
      <c r="E73" s="314"/>
      <c r="F73" s="278" t="str">
        <f>TEXT(IF(入力フォームDA_Cloud!AB134*入力フォームDA_Cloud!AI134=0,"",(入力フォームDA_Cloud!AB134+2000)&amp;"/"&amp;入力フォームDA_Cloud!AI134&amp;"/"&amp;入力フォームDA_Cloud!AP134),"yyyy-mm-dd")</f>
        <v/>
      </c>
      <c r="G73" s="278" t="str">
        <f>LEFT(入力フォームDA_Cloud!J134,1)</f>
        <v/>
      </c>
      <c r="H73" s="278" t="str">
        <f>IF(入力フォームDA_Cloud!M140&lt;&gt;"",入力フォームDA_Cloud!M140,"")</f>
        <v/>
      </c>
      <c r="I73" s="278" t="str">
        <f>IF(AND(入力フォームDA_Cloud!M71="無",入力フォームDA_Cloud!CC131="無"),入力フォームDA_Cloud!M74,"")</f>
        <v/>
      </c>
      <c r="J73" s="314"/>
      <c r="K73" s="314"/>
      <c r="L73" s="314"/>
      <c r="M73" s="278" t="str">
        <f>IF(AND(入力フォームDA_Cloud!AD131="新規",入力フォームDA_Cloud!CC131="有"),"",IF(入力フォームDA_Cloud!CN131&lt;&gt;"",入力フォームDA_Cloud!CN131,""))</f>
        <v/>
      </c>
      <c r="N73" s="278" t="str">
        <f>IF(入力フォームDA_Cloud!M71="有",入力フォームDA_Cloud!M77,"")</f>
        <v/>
      </c>
      <c r="O73" s="278" t="str">
        <f>IF(入力フォームDA_Cloud!AS137&lt;&gt;"",入力フォームDA_Cloud!AS137,"")</f>
        <v/>
      </c>
      <c r="P73" s="278" t="str">
        <f>IF(入力フォームDA_Cloud!X137&lt;&gt;"",入力フォームDA_Cloud!X137,"")</f>
        <v/>
      </c>
      <c r="Q73" s="314"/>
      <c r="R73" s="314"/>
      <c r="S73" s="278" t="e">
        <f>IF(お客様情報!$N$64="","",お客様情報!$N$64)</f>
        <v>#N/A</v>
      </c>
      <c r="T73" s="278" t="e">
        <f>IF(お客様情報!$N$65="","",お客様情報!$N$65)</f>
        <v>#N/A</v>
      </c>
      <c r="U73" s="314"/>
      <c r="V73" s="314"/>
      <c r="W73" s="314"/>
      <c r="X73" s="314"/>
      <c r="Y73" s="314"/>
      <c r="Z73" s="314"/>
      <c r="AA73" s="314"/>
      <c r="AB73" s="314"/>
      <c r="AC73" s="314"/>
      <c r="AD73" s="314"/>
      <c r="AE73" s="314"/>
      <c r="AF73" s="314"/>
      <c r="AG73" s="314"/>
      <c r="AH73" s="314"/>
      <c r="AI73" s="314"/>
      <c r="AJ73" s="314"/>
      <c r="AK73" s="278" t="str">
        <f>IF(AND(入力フォームDA_Cloud!AD131="新規",入力フォームDA_Cloud!CC131="有",入力フォームDA_Cloud!CN131&lt;&gt;""),入力フォームDA_Cloud!CN131,"")</f>
        <v/>
      </c>
      <c r="AL73" s="314"/>
      <c r="AM73" s="314"/>
      <c r="AN73" s="314"/>
      <c r="AO73" s="314"/>
      <c r="AP73" s="314"/>
      <c r="AQ73" s="314"/>
      <c r="AR73" s="314"/>
      <c r="AS73" s="314"/>
      <c r="AT73" s="314"/>
      <c r="AU73" s="314"/>
      <c r="AV73" s="314"/>
      <c r="AW73" s="314"/>
      <c r="AX73" s="314"/>
      <c r="AY73" s="314"/>
      <c r="AZ73" s="314"/>
      <c r="BA73" s="314"/>
      <c r="BB73" s="314"/>
    </row>
    <row r="74" spans="1:54">
      <c r="A74" s="346" t="s">
        <v>586</v>
      </c>
      <c r="B74" s="346" t="s">
        <v>634</v>
      </c>
      <c r="C74" s="346" t="s">
        <v>620</v>
      </c>
      <c r="D74" s="346" t="s">
        <v>621</v>
      </c>
      <c r="E74" s="346" t="s">
        <v>622</v>
      </c>
      <c r="F74" s="346" t="s">
        <v>614</v>
      </c>
      <c r="G74" s="346" t="s">
        <v>623</v>
      </c>
      <c r="H74" s="346" t="s">
        <v>624</v>
      </c>
      <c r="I74" s="346" t="s">
        <v>625</v>
      </c>
      <c r="J74" s="346" t="s">
        <v>626</v>
      </c>
      <c r="K74" s="346" t="s">
        <v>627</v>
      </c>
      <c r="L74" s="346" t="s">
        <v>628</v>
      </c>
      <c r="M74" s="346" t="s">
        <v>629</v>
      </c>
      <c r="N74" s="346" t="s">
        <v>630</v>
      </c>
      <c r="O74" s="346" t="s">
        <v>631</v>
      </c>
      <c r="P74" s="346" t="s">
        <v>632</v>
      </c>
      <c r="Q74" s="346" t="s">
        <v>633</v>
      </c>
      <c r="R74" s="346" t="s">
        <v>1116</v>
      </c>
      <c r="S74" s="346" t="s">
        <v>701</v>
      </c>
      <c r="T74" s="346" t="s">
        <v>702</v>
      </c>
      <c r="U74" s="346" t="s">
        <v>699</v>
      </c>
      <c r="V74" s="346" t="s">
        <v>700</v>
      </c>
      <c r="W74" s="346" t="s">
        <v>822</v>
      </c>
      <c r="X74" s="346" t="s">
        <v>880</v>
      </c>
      <c r="Y74" s="346" t="s">
        <v>1118</v>
      </c>
      <c r="Z74" s="346" t="s">
        <v>1124</v>
      </c>
      <c r="AA74" s="346" t="s">
        <v>1125</v>
      </c>
      <c r="AB74" s="346" t="s">
        <v>1126</v>
      </c>
      <c r="AC74" s="346" t="s">
        <v>1127</v>
      </c>
      <c r="AD74" s="346" t="s">
        <v>1128</v>
      </c>
      <c r="AE74" s="346" t="s">
        <v>737</v>
      </c>
      <c r="AF74" s="346" t="s">
        <v>741</v>
      </c>
      <c r="AG74" s="346" t="s">
        <v>745</v>
      </c>
      <c r="AH74" s="346" t="s">
        <v>746</v>
      </c>
      <c r="AI74" s="346" t="s">
        <v>748</v>
      </c>
      <c r="AJ74" s="346" t="s">
        <v>747</v>
      </c>
      <c r="AK74" s="346" t="s">
        <v>1096</v>
      </c>
      <c r="AL74" s="346" t="s">
        <v>1140</v>
      </c>
      <c r="AM74" s="346" t="s">
        <v>1141</v>
      </c>
      <c r="AN74" s="346" t="s">
        <v>1142</v>
      </c>
      <c r="AO74" s="346" t="s">
        <v>1143</v>
      </c>
      <c r="AP74" s="346" t="s">
        <v>1144</v>
      </c>
      <c r="AQ74" s="346" t="s">
        <v>1145</v>
      </c>
      <c r="AR74" s="346" t="s">
        <v>1146</v>
      </c>
      <c r="AS74" s="346" t="s">
        <v>1147</v>
      </c>
      <c r="AT74" s="346" t="s">
        <v>1176</v>
      </c>
      <c r="AU74" s="346" t="s">
        <v>1247</v>
      </c>
      <c r="AV74" s="346" t="s">
        <v>1293</v>
      </c>
      <c r="AW74" s="346" t="s">
        <v>1291</v>
      </c>
      <c r="AX74" s="346" t="s">
        <v>1294</v>
      </c>
      <c r="AY74" s="346" t="s">
        <v>1295</v>
      </c>
      <c r="AZ74" s="346" t="s">
        <v>1372</v>
      </c>
      <c r="BA74" s="346" t="s">
        <v>1373</v>
      </c>
      <c r="BB74" s="346" t="s">
        <v>1481</v>
      </c>
    </row>
    <row r="75" spans="1:54">
      <c r="A75" s="347" t="s">
        <v>612</v>
      </c>
      <c r="B75" s="279" t="str">
        <f>IF(AND(お客様情報!$E$2="Cloud",COUNTIF(お客様情報!$R$13:$R$17,"FinalCode@Cloud2")&gt;0),8,"")</f>
        <v/>
      </c>
      <c r="C75" s="278" t="str">
        <f>IFERROR(VLOOKUP("FinalCode@Cloud"&amp;2,お客様情報!$R$13:$U$17,4,FALSE),"")</f>
        <v/>
      </c>
      <c r="D75" s="286" t="str">
        <f>D$73</f>
        <v/>
      </c>
      <c r="E75" s="314"/>
      <c r="F75" s="286" t="str">
        <f>F$73</f>
        <v/>
      </c>
      <c r="G75" s="286" t="str">
        <f>G$73</f>
        <v/>
      </c>
      <c r="H75" s="286" t="str">
        <f>H$73</f>
        <v/>
      </c>
      <c r="I75" s="286" t="str">
        <f>I$73</f>
        <v/>
      </c>
      <c r="J75" s="314"/>
      <c r="K75" s="314"/>
      <c r="L75" s="314"/>
      <c r="M75" s="286" t="str">
        <f>M$73</f>
        <v/>
      </c>
      <c r="N75" s="286" t="str">
        <f>N$73</f>
        <v/>
      </c>
      <c r="O75" s="286" t="str">
        <f>O$73</f>
        <v/>
      </c>
      <c r="P75" s="286" t="str">
        <f>P$73</f>
        <v/>
      </c>
      <c r="Q75" s="314"/>
      <c r="R75" s="314"/>
      <c r="S75" s="286" t="e">
        <f>S$73</f>
        <v>#N/A</v>
      </c>
      <c r="T75" s="286" t="e">
        <f>T$73</f>
        <v>#N/A</v>
      </c>
      <c r="U75" s="314"/>
      <c r="V75" s="314"/>
      <c r="W75" s="314"/>
      <c r="X75" s="314"/>
      <c r="Y75" s="314"/>
      <c r="Z75" s="314"/>
      <c r="AA75" s="314"/>
      <c r="AB75" s="314"/>
      <c r="AC75" s="314"/>
      <c r="AD75" s="314"/>
      <c r="AE75" s="314"/>
      <c r="AF75" s="314"/>
      <c r="AG75" s="314"/>
      <c r="AH75" s="314"/>
      <c r="AI75" s="314"/>
      <c r="AJ75" s="314"/>
      <c r="AK75" s="278" t="str">
        <f>AK$73</f>
        <v/>
      </c>
      <c r="AL75" s="314"/>
      <c r="AM75" s="314"/>
      <c r="AN75" s="314"/>
      <c r="AO75" s="314"/>
      <c r="AP75" s="314"/>
      <c r="AQ75" s="314"/>
      <c r="AR75" s="314"/>
      <c r="AS75" s="314"/>
      <c r="AT75" s="314"/>
      <c r="AU75" s="314"/>
      <c r="AV75" s="314"/>
      <c r="AW75" s="314"/>
      <c r="AX75" s="314"/>
      <c r="AY75" s="314"/>
      <c r="AZ75" s="314"/>
      <c r="BA75" s="314"/>
      <c r="BB75" s="314"/>
    </row>
    <row r="76" spans="1:54">
      <c r="A76" s="346" t="s">
        <v>586</v>
      </c>
      <c r="B76" s="346" t="s">
        <v>634</v>
      </c>
      <c r="C76" s="346" t="s">
        <v>620</v>
      </c>
      <c r="D76" s="346" t="s">
        <v>621</v>
      </c>
      <c r="E76" s="346" t="s">
        <v>622</v>
      </c>
      <c r="F76" s="346" t="s">
        <v>614</v>
      </c>
      <c r="G76" s="346" t="s">
        <v>623</v>
      </c>
      <c r="H76" s="346" t="s">
        <v>624</v>
      </c>
      <c r="I76" s="346" t="s">
        <v>625</v>
      </c>
      <c r="J76" s="346" t="s">
        <v>626</v>
      </c>
      <c r="K76" s="346" t="s">
        <v>627</v>
      </c>
      <c r="L76" s="346" t="s">
        <v>628</v>
      </c>
      <c r="M76" s="346" t="s">
        <v>629</v>
      </c>
      <c r="N76" s="346" t="s">
        <v>630</v>
      </c>
      <c r="O76" s="346" t="s">
        <v>631</v>
      </c>
      <c r="P76" s="346" t="s">
        <v>632</v>
      </c>
      <c r="Q76" s="346" t="s">
        <v>633</v>
      </c>
      <c r="R76" s="346" t="s">
        <v>1116</v>
      </c>
      <c r="S76" s="346" t="s">
        <v>701</v>
      </c>
      <c r="T76" s="346" t="s">
        <v>702</v>
      </c>
      <c r="U76" s="346" t="s">
        <v>699</v>
      </c>
      <c r="V76" s="346" t="s">
        <v>700</v>
      </c>
      <c r="W76" s="346" t="s">
        <v>822</v>
      </c>
      <c r="X76" s="346" t="s">
        <v>880</v>
      </c>
      <c r="Y76" s="346" t="s">
        <v>1118</v>
      </c>
      <c r="Z76" s="346" t="s">
        <v>1124</v>
      </c>
      <c r="AA76" s="346" t="s">
        <v>1125</v>
      </c>
      <c r="AB76" s="346" t="s">
        <v>1126</v>
      </c>
      <c r="AC76" s="346" t="s">
        <v>1127</v>
      </c>
      <c r="AD76" s="346" t="s">
        <v>1128</v>
      </c>
      <c r="AE76" s="346" t="s">
        <v>737</v>
      </c>
      <c r="AF76" s="346" t="s">
        <v>741</v>
      </c>
      <c r="AG76" s="346" t="s">
        <v>745</v>
      </c>
      <c r="AH76" s="346" t="s">
        <v>746</v>
      </c>
      <c r="AI76" s="346" t="s">
        <v>748</v>
      </c>
      <c r="AJ76" s="346" t="s">
        <v>747</v>
      </c>
      <c r="AK76" s="346" t="s">
        <v>1096</v>
      </c>
      <c r="AL76" s="346" t="s">
        <v>1140</v>
      </c>
      <c r="AM76" s="346" t="s">
        <v>1141</v>
      </c>
      <c r="AN76" s="346" t="s">
        <v>1142</v>
      </c>
      <c r="AO76" s="346" t="s">
        <v>1143</v>
      </c>
      <c r="AP76" s="346" t="s">
        <v>1144</v>
      </c>
      <c r="AQ76" s="346" t="s">
        <v>1145</v>
      </c>
      <c r="AR76" s="346" t="s">
        <v>1146</v>
      </c>
      <c r="AS76" s="346" t="s">
        <v>1147</v>
      </c>
      <c r="AT76" s="346" t="s">
        <v>1176</v>
      </c>
      <c r="AU76" s="346" t="s">
        <v>1247</v>
      </c>
      <c r="AV76" s="346" t="s">
        <v>1293</v>
      </c>
      <c r="AW76" s="346" t="s">
        <v>1291</v>
      </c>
      <c r="AX76" s="346" t="s">
        <v>1294</v>
      </c>
      <c r="AY76" s="346" t="s">
        <v>1295</v>
      </c>
      <c r="AZ76" s="346" t="s">
        <v>1372</v>
      </c>
      <c r="BA76" s="346" t="s">
        <v>1373</v>
      </c>
      <c r="BB76" s="346" t="s">
        <v>1481</v>
      </c>
    </row>
    <row r="77" spans="1:54">
      <c r="A77" s="347" t="s">
        <v>612</v>
      </c>
      <c r="B77" s="279" t="str">
        <f>IF(AND(お客様情報!$E$2="Cloud",COUNTIF(お客様情報!$R$13:$R$17,"FinalCode@Cloud3")&gt;0),8,"")</f>
        <v/>
      </c>
      <c r="C77" s="278" t="str">
        <f>IFERROR(VLOOKUP("FinalCode@Cloud"&amp;3,お客様情報!$R$13:$U$17,4,FALSE),"")</f>
        <v/>
      </c>
      <c r="D77" s="286" t="str">
        <f>D$73</f>
        <v/>
      </c>
      <c r="E77" s="314"/>
      <c r="F77" s="286" t="str">
        <f>F$73</f>
        <v/>
      </c>
      <c r="G77" s="286" t="str">
        <f>G$73</f>
        <v/>
      </c>
      <c r="H77" s="286" t="str">
        <f>H$73</f>
        <v/>
      </c>
      <c r="I77" s="286" t="str">
        <f>I$73</f>
        <v/>
      </c>
      <c r="J77" s="314"/>
      <c r="K77" s="314"/>
      <c r="L77" s="314"/>
      <c r="M77" s="286" t="str">
        <f>M$73</f>
        <v/>
      </c>
      <c r="N77" s="286" t="str">
        <f>N$73</f>
        <v/>
      </c>
      <c r="O77" s="286" t="str">
        <f>O$73</f>
        <v/>
      </c>
      <c r="P77" s="286" t="str">
        <f>P$73</f>
        <v/>
      </c>
      <c r="Q77" s="314"/>
      <c r="R77" s="314"/>
      <c r="S77" s="286" t="e">
        <f>S$73</f>
        <v>#N/A</v>
      </c>
      <c r="T77" s="286" t="e">
        <f>T$73</f>
        <v>#N/A</v>
      </c>
      <c r="U77" s="314"/>
      <c r="V77" s="314"/>
      <c r="W77" s="314"/>
      <c r="X77" s="314"/>
      <c r="Y77" s="314"/>
      <c r="Z77" s="314"/>
      <c r="AA77" s="314"/>
      <c r="AB77" s="314"/>
      <c r="AC77" s="314"/>
      <c r="AD77" s="314"/>
      <c r="AE77" s="314"/>
      <c r="AF77" s="314"/>
      <c r="AG77" s="314"/>
      <c r="AH77" s="314"/>
      <c r="AI77" s="314"/>
      <c r="AJ77" s="314"/>
      <c r="AK77" s="278" t="str">
        <f>AK$73</f>
        <v/>
      </c>
      <c r="AL77" s="314"/>
      <c r="AM77" s="314"/>
      <c r="AN77" s="314"/>
      <c r="AO77" s="314"/>
      <c r="AP77" s="314"/>
      <c r="AQ77" s="314"/>
      <c r="AR77" s="314"/>
      <c r="AS77" s="314"/>
      <c r="AT77" s="314"/>
      <c r="AU77" s="314"/>
      <c r="AV77" s="314"/>
      <c r="AW77" s="314"/>
      <c r="AX77" s="314"/>
      <c r="AY77" s="314"/>
      <c r="AZ77" s="314"/>
      <c r="BA77" s="314"/>
      <c r="BB77" s="314"/>
    </row>
    <row r="78" spans="1:54">
      <c r="A78" s="346" t="s">
        <v>586</v>
      </c>
      <c r="B78" s="346" t="s">
        <v>634</v>
      </c>
      <c r="C78" s="346" t="s">
        <v>620</v>
      </c>
      <c r="D78" s="346" t="s">
        <v>621</v>
      </c>
      <c r="E78" s="346" t="s">
        <v>622</v>
      </c>
      <c r="F78" s="346" t="s">
        <v>614</v>
      </c>
      <c r="G78" s="346" t="s">
        <v>623</v>
      </c>
      <c r="H78" s="346" t="s">
        <v>624</v>
      </c>
      <c r="I78" s="346" t="s">
        <v>625</v>
      </c>
      <c r="J78" s="346" t="s">
        <v>626</v>
      </c>
      <c r="K78" s="346" t="s">
        <v>627</v>
      </c>
      <c r="L78" s="346" t="s">
        <v>628</v>
      </c>
      <c r="M78" s="346" t="s">
        <v>629</v>
      </c>
      <c r="N78" s="346" t="s">
        <v>630</v>
      </c>
      <c r="O78" s="346" t="s">
        <v>631</v>
      </c>
      <c r="P78" s="346" t="s">
        <v>632</v>
      </c>
      <c r="Q78" s="346" t="s">
        <v>633</v>
      </c>
      <c r="R78" s="346" t="s">
        <v>1116</v>
      </c>
      <c r="S78" s="346" t="s">
        <v>701</v>
      </c>
      <c r="T78" s="346" t="s">
        <v>702</v>
      </c>
      <c r="U78" s="346" t="s">
        <v>699</v>
      </c>
      <c r="V78" s="346" t="s">
        <v>700</v>
      </c>
      <c r="W78" s="346" t="s">
        <v>822</v>
      </c>
      <c r="X78" s="346" t="s">
        <v>880</v>
      </c>
      <c r="Y78" s="346" t="s">
        <v>1118</v>
      </c>
      <c r="Z78" s="346" t="s">
        <v>1124</v>
      </c>
      <c r="AA78" s="346" t="s">
        <v>1125</v>
      </c>
      <c r="AB78" s="346" t="s">
        <v>1126</v>
      </c>
      <c r="AC78" s="346" t="s">
        <v>1127</v>
      </c>
      <c r="AD78" s="346" t="s">
        <v>1128</v>
      </c>
      <c r="AE78" s="346" t="s">
        <v>737</v>
      </c>
      <c r="AF78" s="346" t="s">
        <v>741</v>
      </c>
      <c r="AG78" s="346" t="s">
        <v>745</v>
      </c>
      <c r="AH78" s="346" t="s">
        <v>746</v>
      </c>
      <c r="AI78" s="346" t="s">
        <v>748</v>
      </c>
      <c r="AJ78" s="346" t="s">
        <v>747</v>
      </c>
      <c r="AK78" s="346" t="s">
        <v>1096</v>
      </c>
      <c r="AL78" s="346" t="s">
        <v>1140</v>
      </c>
      <c r="AM78" s="346" t="s">
        <v>1141</v>
      </c>
      <c r="AN78" s="346" t="s">
        <v>1142</v>
      </c>
      <c r="AO78" s="346" t="s">
        <v>1143</v>
      </c>
      <c r="AP78" s="346" t="s">
        <v>1144</v>
      </c>
      <c r="AQ78" s="346" t="s">
        <v>1145</v>
      </c>
      <c r="AR78" s="346" t="s">
        <v>1146</v>
      </c>
      <c r="AS78" s="346" t="s">
        <v>1147</v>
      </c>
      <c r="AT78" s="346" t="s">
        <v>1176</v>
      </c>
      <c r="AU78" s="346" t="s">
        <v>1247</v>
      </c>
      <c r="AV78" s="346" t="s">
        <v>1293</v>
      </c>
      <c r="AW78" s="346" t="s">
        <v>1291</v>
      </c>
      <c r="AX78" s="346" t="s">
        <v>1294</v>
      </c>
      <c r="AY78" s="346" t="s">
        <v>1295</v>
      </c>
      <c r="AZ78" s="346" t="s">
        <v>1372</v>
      </c>
      <c r="BA78" s="346" t="s">
        <v>1373</v>
      </c>
      <c r="BB78" s="346" t="s">
        <v>1481</v>
      </c>
    </row>
    <row r="79" spans="1:54">
      <c r="A79" s="347" t="s">
        <v>612</v>
      </c>
      <c r="B79" s="279" t="str">
        <f>IF(AND(お客様情報!$E$2="Cloud",COUNTIF(お客様情報!$R$13:$R$17,"FinalCode@Cloud4")&gt;0),8,"")</f>
        <v/>
      </c>
      <c r="C79" s="278" t="str">
        <f>IFERROR(VLOOKUP("FinalCode@Cloud"&amp;4,お客様情報!$R$13:$U$17,4,FALSE),"")</f>
        <v/>
      </c>
      <c r="D79" s="286" t="str">
        <f>D$73</f>
        <v/>
      </c>
      <c r="E79" s="314"/>
      <c r="F79" s="286" t="str">
        <f>F$73</f>
        <v/>
      </c>
      <c r="G79" s="286" t="str">
        <f>G$73</f>
        <v/>
      </c>
      <c r="H79" s="286" t="str">
        <f>H$73</f>
        <v/>
      </c>
      <c r="I79" s="286" t="str">
        <f>I$73</f>
        <v/>
      </c>
      <c r="J79" s="314"/>
      <c r="K79" s="314"/>
      <c r="L79" s="314"/>
      <c r="M79" s="286" t="str">
        <f>M$73</f>
        <v/>
      </c>
      <c r="N79" s="286" t="str">
        <f>N$73</f>
        <v/>
      </c>
      <c r="O79" s="286" t="str">
        <f>O$73</f>
        <v/>
      </c>
      <c r="P79" s="286" t="str">
        <f>P$73</f>
        <v/>
      </c>
      <c r="Q79" s="314"/>
      <c r="R79" s="314"/>
      <c r="S79" s="286" t="e">
        <f>S$73</f>
        <v>#N/A</v>
      </c>
      <c r="T79" s="286" t="e">
        <f>T$73</f>
        <v>#N/A</v>
      </c>
      <c r="U79" s="314"/>
      <c r="V79" s="314"/>
      <c r="W79" s="314"/>
      <c r="X79" s="314"/>
      <c r="Y79" s="314"/>
      <c r="Z79" s="314"/>
      <c r="AA79" s="314"/>
      <c r="AB79" s="314"/>
      <c r="AC79" s="314"/>
      <c r="AD79" s="314"/>
      <c r="AE79" s="314"/>
      <c r="AF79" s="314"/>
      <c r="AG79" s="314"/>
      <c r="AH79" s="314"/>
      <c r="AI79" s="314"/>
      <c r="AJ79" s="314"/>
      <c r="AK79" s="278" t="str">
        <f>AK$73</f>
        <v/>
      </c>
      <c r="AL79" s="314"/>
      <c r="AM79" s="314"/>
      <c r="AN79" s="314"/>
      <c r="AO79" s="314"/>
      <c r="AP79" s="314"/>
      <c r="AQ79" s="314"/>
      <c r="AR79" s="314"/>
      <c r="AS79" s="314"/>
      <c r="AT79" s="314"/>
      <c r="AU79" s="314"/>
      <c r="AV79" s="314"/>
      <c r="AW79" s="314"/>
      <c r="AX79" s="314"/>
      <c r="AY79" s="314"/>
      <c r="AZ79" s="314"/>
      <c r="BA79" s="314"/>
      <c r="BB79" s="314"/>
    </row>
    <row r="80" spans="1:54">
      <c r="A80" s="346" t="s">
        <v>586</v>
      </c>
      <c r="B80" s="346" t="s">
        <v>634</v>
      </c>
      <c r="C80" s="346" t="s">
        <v>620</v>
      </c>
      <c r="D80" s="346" t="s">
        <v>621</v>
      </c>
      <c r="E80" s="346" t="s">
        <v>622</v>
      </c>
      <c r="F80" s="346" t="s">
        <v>614</v>
      </c>
      <c r="G80" s="346" t="s">
        <v>623</v>
      </c>
      <c r="H80" s="346" t="s">
        <v>624</v>
      </c>
      <c r="I80" s="346" t="s">
        <v>625</v>
      </c>
      <c r="J80" s="346" t="s">
        <v>626</v>
      </c>
      <c r="K80" s="346" t="s">
        <v>627</v>
      </c>
      <c r="L80" s="346" t="s">
        <v>628</v>
      </c>
      <c r="M80" s="346" t="s">
        <v>629</v>
      </c>
      <c r="N80" s="346" t="s">
        <v>630</v>
      </c>
      <c r="O80" s="346" t="s">
        <v>631</v>
      </c>
      <c r="P80" s="346" t="s">
        <v>632</v>
      </c>
      <c r="Q80" s="346" t="s">
        <v>633</v>
      </c>
      <c r="R80" s="346" t="s">
        <v>1116</v>
      </c>
      <c r="S80" s="346" t="s">
        <v>701</v>
      </c>
      <c r="T80" s="346" t="s">
        <v>702</v>
      </c>
      <c r="U80" s="346" t="s">
        <v>699</v>
      </c>
      <c r="V80" s="346" t="s">
        <v>700</v>
      </c>
      <c r="W80" s="346" t="s">
        <v>822</v>
      </c>
      <c r="X80" s="346" t="s">
        <v>880</v>
      </c>
      <c r="Y80" s="346" t="s">
        <v>1118</v>
      </c>
      <c r="Z80" s="346" t="s">
        <v>1124</v>
      </c>
      <c r="AA80" s="346" t="s">
        <v>1125</v>
      </c>
      <c r="AB80" s="346" t="s">
        <v>1126</v>
      </c>
      <c r="AC80" s="346" t="s">
        <v>1127</v>
      </c>
      <c r="AD80" s="346" t="s">
        <v>1128</v>
      </c>
      <c r="AE80" s="346" t="s">
        <v>737</v>
      </c>
      <c r="AF80" s="346" t="s">
        <v>741</v>
      </c>
      <c r="AG80" s="346" t="s">
        <v>745</v>
      </c>
      <c r="AH80" s="346" t="s">
        <v>746</v>
      </c>
      <c r="AI80" s="346" t="s">
        <v>748</v>
      </c>
      <c r="AJ80" s="346" t="s">
        <v>747</v>
      </c>
      <c r="AK80" s="346" t="s">
        <v>1096</v>
      </c>
      <c r="AL80" s="346" t="s">
        <v>1140</v>
      </c>
      <c r="AM80" s="346" t="s">
        <v>1141</v>
      </c>
      <c r="AN80" s="346" t="s">
        <v>1142</v>
      </c>
      <c r="AO80" s="346" t="s">
        <v>1143</v>
      </c>
      <c r="AP80" s="346" t="s">
        <v>1144</v>
      </c>
      <c r="AQ80" s="346" t="s">
        <v>1145</v>
      </c>
      <c r="AR80" s="346" t="s">
        <v>1146</v>
      </c>
      <c r="AS80" s="346" t="s">
        <v>1147</v>
      </c>
      <c r="AT80" s="346" t="s">
        <v>1176</v>
      </c>
      <c r="AU80" s="346" t="s">
        <v>1247</v>
      </c>
      <c r="AV80" s="346" t="s">
        <v>1293</v>
      </c>
      <c r="AW80" s="346" t="s">
        <v>1291</v>
      </c>
      <c r="AX80" s="346" t="s">
        <v>1294</v>
      </c>
      <c r="AY80" s="346" t="s">
        <v>1295</v>
      </c>
      <c r="AZ80" s="346" t="s">
        <v>1372</v>
      </c>
      <c r="BA80" s="346" t="s">
        <v>1373</v>
      </c>
      <c r="BB80" s="346" t="s">
        <v>1481</v>
      </c>
    </row>
    <row r="81" spans="1:54">
      <c r="A81" s="347" t="s">
        <v>612</v>
      </c>
      <c r="B81" s="279" t="str">
        <f>IF(AND(お客様情報!$E$2="Cloud",COUNTIF(お客様情報!$R$13:$R$17,"FinalCode@Cloud5")&gt;0),8,"")</f>
        <v/>
      </c>
      <c r="C81" s="278" t="str">
        <f>IFERROR(VLOOKUP("FinalCode@Cloud"&amp;5,お客様情報!$R$13:$U$17,4,FALSE),"")</f>
        <v/>
      </c>
      <c r="D81" s="286" t="str">
        <f>D$73</f>
        <v/>
      </c>
      <c r="E81" s="314"/>
      <c r="F81" s="286" t="str">
        <f>F$73</f>
        <v/>
      </c>
      <c r="G81" s="286" t="str">
        <f>G$73</f>
        <v/>
      </c>
      <c r="H81" s="286" t="str">
        <f>H$73</f>
        <v/>
      </c>
      <c r="I81" s="286" t="str">
        <f>I$73</f>
        <v/>
      </c>
      <c r="J81" s="314"/>
      <c r="K81" s="314"/>
      <c r="L81" s="314"/>
      <c r="M81" s="286" t="str">
        <f>M$73</f>
        <v/>
      </c>
      <c r="N81" s="286" t="str">
        <f>N$73</f>
        <v/>
      </c>
      <c r="O81" s="286" t="str">
        <f>O$73</f>
        <v/>
      </c>
      <c r="P81" s="286" t="str">
        <f>P$73</f>
        <v/>
      </c>
      <c r="Q81" s="314"/>
      <c r="R81" s="314"/>
      <c r="S81" s="286" t="e">
        <f>S$73</f>
        <v>#N/A</v>
      </c>
      <c r="T81" s="286" t="e">
        <f>T$73</f>
        <v>#N/A</v>
      </c>
      <c r="U81" s="314"/>
      <c r="V81" s="314"/>
      <c r="W81" s="314"/>
      <c r="X81" s="314"/>
      <c r="Y81" s="314"/>
      <c r="Z81" s="314"/>
      <c r="AA81" s="314"/>
      <c r="AB81" s="314"/>
      <c r="AC81" s="314"/>
      <c r="AD81" s="314"/>
      <c r="AE81" s="314"/>
      <c r="AF81" s="314"/>
      <c r="AG81" s="314"/>
      <c r="AH81" s="314"/>
      <c r="AI81" s="314"/>
      <c r="AJ81" s="314"/>
      <c r="AK81" s="278" t="str">
        <f>AK$73</f>
        <v/>
      </c>
      <c r="AL81" s="314"/>
      <c r="AM81" s="314"/>
      <c r="AN81" s="314"/>
      <c r="AO81" s="314"/>
      <c r="AP81" s="314"/>
      <c r="AQ81" s="314"/>
      <c r="AR81" s="314"/>
      <c r="AS81" s="314"/>
      <c r="AT81" s="314"/>
      <c r="AU81" s="314"/>
      <c r="AV81" s="314"/>
      <c r="AW81" s="314"/>
      <c r="AX81" s="314"/>
      <c r="AY81" s="314"/>
      <c r="AZ81" s="314"/>
      <c r="BA81" s="314"/>
      <c r="BB81" s="314"/>
    </row>
    <row r="82" spans="1:54">
      <c r="A82" s="348" t="s">
        <v>586</v>
      </c>
      <c r="B82" s="348" t="s">
        <v>634</v>
      </c>
      <c r="C82" s="348" t="s">
        <v>620</v>
      </c>
      <c r="D82" s="348" t="s">
        <v>621</v>
      </c>
      <c r="E82" s="348" t="s">
        <v>622</v>
      </c>
      <c r="F82" s="348" t="s">
        <v>614</v>
      </c>
      <c r="G82" s="348" t="s">
        <v>623</v>
      </c>
      <c r="H82" s="348" t="s">
        <v>624</v>
      </c>
      <c r="I82" s="348" t="s">
        <v>625</v>
      </c>
      <c r="J82" s="348" t="s">
        <v>626</v>
      </c>
      <c r="K82" s="348" t="s">
        <v>627</v>
      </c>
      <c r="L82" s="348" t="s">
        <v>628</v>
      </c>
      <c r="M82" s="348" t="s">
        <v>629</v>
      </c>
      <c r="N82" s="348" t="s">
        <v>630</v>
      </c>
      <c r="O82" s="348" t="s">
        <v>631</v>
      </c>
      <c r="P82" s="348" t="s">
        <v>632</v>
      </c>
      <c r="Q82" s="348" t="s">
        <v>633</v>
      </c>
      <c r="R82" s="348" t="s">
        <v>1116</v>
      </c>
      <c r="S82" s="348" t="s">
        <v>701</v>
      </c>
      <c r="T82" s="348" t="s">
        <v>702</v>
      </c>
      <c r="U82" s="348" t="s">
        <v>699</v>
      </c>
      <c r="V82" s="348" t="s">
        <v>700</v>
      </c>
      <c r="W82" s="348" t="s">
        <v>822</v>
      </c>
      <c r="X82" s="348" t="s">
        <v>880</v>
      </c>
      <c r="Y82" s="348" t="s">
        <v>1118</v>
      </c>
      <c r="Z82" s="348" t="s">
        <v>1124</v>
      </c>
      <c r="AA82" s="348" t="s">
        <v>1125</v>
      </c>
      <c r="AB82" s="348" t="s">
        <v>1126</v>
      </c>
      <c r="AC82" s="348" t="s">
        <v>1127</v>
      </c>
      <c r="AD82" s="348" t="s">
        <v>1128</v>
      </c>
      <c r="AE82" s="348" t="s">
        <v>737</v>
      </c>
      <c r="AF82" s="348" t="s">
        <v>741</v>
      </c>
      <c r="AG82" s="348" t="s">
        <v>745</v>
      </c>
      <c r="AH82" s="348" t="s">
        <v>746</v>
      </c>
      <c r="AI82" s="348" t="s">
        <v>748</v>
      </c>
      <c r="AJ82" s="348" t="s">
        <v>747</v>
      </c>
      <c r="AK82" s="348" t="s">
        <v>1096</v>
      </c>
      <c r="AL82" s="348" t="s">
        <v>1140</v>
      </c>
      <c r="AM82" s="348" t="s">
        <v>1141</v>
      </c>
      <c r="AN82" s="348" t="s">
        <v>1142</v>
      </c>
      <c r="AO82" s="348" t="s">
        <v>1143</v>
      </c>
      <c r="AP82" s="348" t="s">
        <v>1144</v>
      </c>
      <c r="AQ82" s="348" t="s">
        <v>1145</v>
      </c>
      <c r="AR82" s="348" t="s">
        <v>1146</v>
      </c>
      <c r="AS82" s="348" t="s">
        <v>1147</v>
      </c>
      <c r="AT82" s="348" t="s">
        <v>1176</v>
      </c>
      <c r="AU82" s="348" t="s">
        <v>1247</v>
      </c>
      <c r="AV82" s="348" t="s">
        <v>1293</v>
      </c>
      <c r="AW82" s="348" t="s">
        <v>1291</v>
      </c>
      <c r="AX82" s="348" t="s">
        <v>1294</v>
      </c>
      <c r="AY82" s="348" t="s">
        <v>1295</v>
      </c>
      <c r="AZ82" s="348" t="s">
        <v>1372</v>
      </c>
      <c r="BA82" s="348" t="s">
        <v>1373</v>
      </c>
      <c r="BB82" s="348" t="s">
        <v>1481</v>
      </c>
    </row>
    <row r="83" spans="1:54">
      <c r="A83" s="348" t="s">
        <v>612</v>
      </c>
      <c r="B83" s="597" t="str">
        <f>IF(AND(お客様情報!$E$2="Desk",COUNTIF(お客様情報!R20:R24,"Desk1")&gt;0),10,"")</f>
        <v/>
      </c>
      <c r="C83" s="567" t="str">
        <f>IFERROR(VLOOKUP("Desk"&amp;1,お客様情報!R20:U24,4,FALSE),"")</f>
        <v/>
      </c>
      <c r="D83" s="598" t="str">
        <f>IF(入力フォーム_Desk!CN83&lt;&gt;"",入力フォーム_Desk!CN83,"")</f>
        <v/>
      </c>
      <c r="E83" s="314"/>
      <c r="F83" s="567" t="str">
        <f>TEXT(IF(入力フォーム_Desk!BV86*入力フォーム_Desk!CC86=0,"",(入力フォーム_Desk!BV86+2000)&amp;"/"&amp;入力フォーム_Desk!CC86&amp;"/"&amp;入力フォーム_Desk!CJ86),"yyyy-mm-dd")</f>
        <v/>
      </c>
      <c r="G83" s="567" t="str">
        <f>LEFT(入力フォーム_Desk!BG86,1)</f>
        <v/>
      </c>
      <c r="H83" s="314"/>
      <c r="I83" s="567" t="str">
        <f>IF(AND(入力フォーム_Desk!M71="無",入力フォーム_Desk!J86="無"),入力フォーム_Desk!M74,"")</f>
        <v/>
      </c>
      <c r="J83" s="314"/>
      <c r="K83" s="314"/>
      <c r="L83" s="314"/>
      <c r="M83" s="567" t="str">
        <f>IF(AND(入力フォーム_Desk!BP83="新規",入力フォーム_Desk!J86="有"),"",IF(入力フォーム_Desk!Z86&lt;&gt;"",入力フォーム_Desk!Z86,""))</f>
        <v/>
      </c>
      <c r="N83" s="567" t="str">
        <f>IF(入力フォーム_Desk!M71="有",入力フォーム_Desk!M77,"")</f>
        <v/>
      </c>
      <c r="O83" s="314"/>
      <c r="P83" s="314"/>
      <c r="Q83" s="314"/>
      <c r="R83" s="314"/>
      <c r="S83" s="278" t="e">
        <f>IF(お客様情報!$N$64="","",お客様情報!$N$64)</f>
        <v>#N/A</v>
      </c>
      <c r="T83" s="278" t="e">
        <f>IF(お客様情報!$N$65="","",お客様情報!$N$65)</f>
        <v>#N/A</v>
      </c>
      <c r="U83" s="314"/>
      <c r="V83" s="314"/>
      <c r="W83" s="314"/>
      <c r="X83" s="314"/>
      <c r="Y83" s="314"/>
      <c r="Z83" s="314"/>
      <c r="AA83" s="314"/>
      <c r="AB83" s="314"/>
      <c r="AC83" s="314"/>
      <c r="AD83" s="314"/>
      <c r="AE83" s="314"/>
      <c r="AF83" s="314"/>
      <c r="AG83" s="314"/>
      <c r="AH83" s="314"/>
      <c r="AI83" s="314"/>
      <c r="AJ83" s="314"/>
      <c r="AK83" s="567" t="str">
        <f>IF(AND(入力フォーム_Desk!BP83="新規",入力フォーム_Desk!J86="有"),入力フォーム_Desk!Z86,"")</f>
        <v/>
      </c>
      <c r="AL83" s="314"/>
      <c r="AM83" s="314"/>
      <c r="AN83" s="314"/>
      <c r="AO83" s="314"/>
      <c r="AP83" s="314"/>
      <c r="AQ83" s="314"/>
      <c r="AR83" s="314"/>
      <c r="AS83" s="314"/>
      <c r="AT83" s="314"/>
      <c r="AU83" s="314"/>
      <c r="AV83" s="314"/>
      <c r="AW83" s="314"/>
      <c r="AX83" s="314"/>
      <c r="AY83" s="567" t="str">
        <f>IF(入力フォーム_Desk!AN89="有",入力フォーム_Desk!BD89*100,"")</f>
        <v/>
      </c>
      <c r="AZ83" s="378"/>
      <c r="BA83" s="378"/>
      <c r="BB83" s="378"/>
    </row>
    <row r="84" spans="1:54">
      <c r="A84" s="348" t="s">
        <v>586</v>
      </c>
      <c r="B84" s="348" t="s">
        <v>634</v>
      </c>
      <c r="C84" s="348" t="s">
        <v>620</v>
      </c>
      <c r="D84" s="348" t="s">
        <v>621</v>
      </c>
      <c r="E84" s="348" t="s">
        <v>622</v>
      </c>
      <c r="F84" s="348" t="s">
        <v>614</v>
      </c>
      <c r="G84" s="348" t="s">
        <v>623</v>
      </c>
      <c r="H84" s="348" t="s">
        <v>624</v>
      </c>
      <c r="I84" s="348" t="s">
        <v>625</v>
      </c>
      <c r="J84" s="348" t="s">
        <v>626</v>
      </c>
      <c r="K84" s="348" t="s">
        <v>627</v>
      </c>
      <c r="L84" s="348" t="s">
        <v>628</v>
      </c>
      <c r="M84" s="348" t="s">
        <v>629</v>
      </c>
      <c r="N84" s="348" t="s">
        <v>630</v>
      </c>
      <c r="O84" s="348" t="s">
        <v>631</v>
      </c>
      <c r="P84" s="348" t="s">
        <v>632</v>
      </c>
      <c r="Q84" s="348" t="s">
        <v>633</v>
      </c>
      <c r="R84" s="348" t="s">
        <v>1116</v>
      </c>
      <c r="S84" s="348" t="s">
        <v>701</v>
      </c>
      <c r="T84" s="348" t="s">
        <v>702</v>
      </c>
      <c r="U84" s="348" t="s">
        <v>699</v>
      </c>
      <c r="V84" s="348" t="s">
        <v>700</v>
      </c>
      <c r="W84" s="348" t="s">
        <v>822</v>
      </c>
      <c r="X84" s="348" t="s">
        <v>880</v>
      </c>
      <c r="Y84" s="348" t="s">
        <v>1118</v>
      </c>
      <c r="Z84" s="348" t="s">
        <v>1124</v>
      </c>
      <c r="AA84" s="348" t="s">
        <v>1125</v>
      </c>
      <c r="AB84" s="348" t="s">
        <v>1126</v>
      </c>
      <c r="AC84" s="348" t="s">
        <v>1127</v>
      </c>
      <c r="AD84" s="348" t="s">
        <v>1128</v>
      </c>
      <c r="AE84" s="348" t="s">
        <v>737</v>
      </c>
      <c r="AF84" s="348" t="s">
        <v>741</v>
      </c>
      <c r="AG84" s="348" t="s">
        <v>745</v>
      </c>
      <c r="AH84" s="348" t="s">
        <v>746</v>
      </c>
      <c r="AI84" s="348" t="s">
        <v>748</v>
      </c>
      <c r="AJ84" s="348" t="s">
        <v>747</v>
      </c>
      <c r="AK84" s="348" t="s">
        <v>1096</v>
      </c>
      <c r="AL84" s="348" t="s">
        <v>1140</v>
      </c>
      <c r="AM84" s="348" t="s">
        <v>1141</v>
      </c>
      <c r="AN84" s="348" t="s">
        <v>1142</v>
      </c>
      <c r="AO84" s="348" t="s">
        <v>1143</v>
      </c>
      <c r="AP84" s="348" t="s">
        <v>1144</v>
      </c>
      <c r="AQ84" s="348" t="s">
        <v>1145</v>
      </c>
      <c r="AR84" s="348" t="s">
        <v>1146</v>
      </c>
      <c r="AS84" s="348" t="s">
        <v>1147</v>
      </c>
      <c r="AT84" s="348" t="s">
        <v>1176</v>
      </c>
      <c r="AU84" s="348" t="s">
        <v>1247</v>
      </c>
      <c r="AV84" s="348" t="s">
        <v>1293</v>
      </c>
      <c r="AW84" s="348" t="s">
        <v>1291</v>
      </c>
      <c r="AX84" s="348" t="s">
        <v>1294</v>
      </c>
      <c r="AY84" s="348" t="s">
        <v>1295</v>
      </c>
      <c r="AZ84" s="348" t="s">
        <v>1372</v>
      </c>
      <c r="BA84" s="348" t="s">
        <v>1373</v>
      </c>
      <c r="BB84" s="348" t="s">
        <v>1481</v>
      </c>
    </row>
    <row r="85" spans="1:54">
      <c r="A85" s="348" t="s">
        <v>612</v>
      </c>
      <c r="B85" s="597" t="str">
        <f>IF(AND(お客様情報!$E$2="Desk",COUNTIF(お客様情報!R20:R24,"Desk2")&gt;0),10,"")</f>
        <v/>
      </c>
      <c r="C85" s="567" t="str">
        <f>IFERROR(VLOOKUP("Desk"&amp;2,お客様情報!R20:U24,4,FALSE),"")</f>
        <v/>
      </c>
      <c r="D85" s="286" t="str">
        <f>D$83</f>
        <v/>
      </c>
      <c r="E85" s="314"/>
      <c r="F85" s="286" t="str">
        <f>F$83</f>
        <v/>
      </c>
      <c r="G85" s="278" t="str">
        <f>G$83</f>
        <v/>
      </c>
      <c r="H85" s="314"/>
      <c r="I85" s="286" t="str">
        <f>I$83</f>
        <v/>
      </c>
      <c r="J85" s="314"/>
      <c r="K85" s="314"/>
      <c r="L85" s="314"/>
      <c r="M85" s="286" t="str">
        <f>M$83</f>
        <v/>
      </c>
      <c r="N85" s="286" t="str">
        <f>N$83</f>
        <v/>
      </c>
      <c r="O85" s="314"/>
      <c r="P85" s="314"/>
      <c r="Q85" s="314"/>
      <c r="R85" s="314"/>
      <c r="S85" s="286" t="e">
        <f>S$83</f>
        <v>#N/A</v>
      </c>
      <c r="T85" s="286" t="e">
        <f>T$83</f>
        <v>#N/A</v>
      </c>
      <c r="U85" s="314"/>
      <c r="V85" s="314"/>
      <c r="W85" s="314"/>
      <c r="X85" s="314"/>
      <c r="Y85" s="314"/>
      <c r="Z85" s="314"/>
      <c r="AA85" s="314"/>
      <c r="AB85" s="314"/>
      <c r="AC85" s="314"/>
      <c r="AD85" s="314"/>
      <c r="AE85" s="314"/>
      <c r="AF85" s="314"/>
      <c r="AG85" s="314"/>
      <c r="AH85" s="314"/>
      <c r="AI85" s="314"/>
      <c r="AJ85" s="314"/>
      <c r="AK85" s="278" t="str">
        <f>AK$83</f>
        <v/>
      </c>
      <c r="AL85" s="314"/>
      <c r="AM85" s="314"/>
      <c r="AN85" s="314"/>
      <c r="AO85" s="314"/>
      <c r="AP85" s="314"/>
      <c r="AQ85" s="314"/>
      <c r="AR85" s="314"/>
      <c r="AS85" s="314"/>
      <c r="AT85" s="314"/>
      <c r="AU85" s="314"/>
      <c r="AV85" s="314"/>
      <c r="AW85" s="314"/>
      <c r="AX85" s="314"/>
      <c r="AY85" s="278" t="str">
        <f>$AY$83</f>
        <v/>
      </c>
      <c r="AZ85" s="378"/>
      <c r="BA85" s="378"/>
      <c r="BB85" s="378"/>
    </row>
    <row r="86" spans="1:54">
      <c r="A86" s="348" t="s">
        <v>586</v>
      </c>
      <c r="B86" s="348" t="s">
        <v>634</v>
      </c>
      <c r="C86" s="348" t="s">
        <v>620</v>
      </c>
      <c r="D86" s="348" t="s">
        <v>621</v>
      </c>
      <c r="E86" s="348" t="s">
        <v>622</v>
      </c>
      <c r="F86" s="348" t="s">
        <v>614</v>
      </c>
      <c r="G86" s="348" t="s">
        <v>623</v>
      </c>
      <c r="H86" s="348" t="s">
        <v>624</v>
      </c>
      <c r="I86" s="348" t="s">
        <v>625</v>
      </c>
      <c r="J86" s="348" t="s">
        <v>626</v>
      </c>
      <c r="K86" s="348" t="s">
        <v>627</v>
      </c>
      <c r="L86" s="348" t="s">
        <v>628</v>
      </c>
      <c r="M86" s="348" t="s">
        <v>629</v>
      </c>
      <c r="N86" s="348" t="s">
        <v>630</v>
      </c>
      <c r="O86" s="348" t="s">
        <v>631</v>
      </c>
      <c r="P86" s="348" t="s">
        <v>632</v>
      </c>
      <c r="Q86" s="348" t="s">
        <v>633</v>
      </c>
      <c r="R86" s="348" t="s">
        <v>1116</v>
      </c>
      <c r="S86" s="348" t="s">
        <v>701</v>
      </c>
      <c r="T86" s="348" t="s">
        <v>702</v>
      </c>
      <c r="U86" s="348" t="s">
        <v>699</v>
      </c>
      <c r="V86" s="348" t="s">
        <v>700</v>
      </c>
      <c r="W86" s="348" t="s">
        <v>822</v>
      </c>
      <c r="X86" s="348" t="s">
        <v>880</v>
      </c>
      <c r="Y86" s="348" t="s">
        <v>1118</v>
      </c>
      <c r="Z86" s="348" t="s">
        <v>1124</v>
      </c>
      <c r="AA86" s="348" t="s">
        <v>1125</v>
      </c>
      <c r="AB86" s="348" t="s">
        <v>1126</v>
      </c>
      <c r="AC86" s="348" t="s">
        <v>1127</v>
      </c>
      <c r="AD86" s="348" t="s">
        <v>1128</v>
      </c>
      <c r="AE86" s="348" t="s">
        <v>737</v>
      </c>
      <c r="AF86" s="348" t="s">
        <v>741</v>
      </c>
      <c r="AG86" s="348" t="s">
        <v>745</v>
      </c>
      <c r="AH86" s="348" t="s">
        <v>746</v>
      </c>
      <c r="AI86" s="348" t="s">
        <v>748</v>
      </c>
      <c r="AJ86" s="348" t="s">
        <v>747</v>
      </c>
      <c r="AK86" s="348" t="s">
        <v>1096</v>
      </c>
      <c r="AL86" s="348" t="s">
        <v>1140</v>
      </c>
      <c r="AM86" s="348" t="s">
        <v>1141</v>
      </c>
      <c r="AN86" s="348" t="s">
        <v>1142</v>
      </c>
      <c r="AO86" s="348" t="s">
        <v>1143</v>
      </c>
      <c r="AP86" s="348" t="s">
        <v>1144</v>
      </c>
      <c r="AQ86" s="348" t="s">
        <v>1145</v>
      </c>
      <c r="AR86" s="348" t="s">
        <v>1146</v>
      </c>
      <c r="AS86" s="348" t="s">
        <v>1147</v>
      </c>
      <c r="AT86" s="348" t="s">
        <v>1176</v>
      </c>
      <c r="AU86" s="348" t="s">
        <v>1247</v>
      </c>
      <c r="AV86" s="348" t="s">
        <v>1293</v>
      </c>
      <c r="AW86" s="348" t="s">
        <v>1291</v>
      </c>
      <c r="AX86" s="348" t="s">
        <v>1294</v>
      </c>
      <c r="AY86" s="348" t="s">
        <v>1295</v>
      </c>
      <c r="AZ86" s="348" t="s">
        <v>1372</v>
      </c>
      <c r="BA86" s="348" t="s">
        <v>1373</v>
      </c>
      <c r="BB86" s="348" t="s">
        <v>1481</v>
      </c>
    </row>
    <row r="87" spans="1:54">
      <c r="A87" s="348" t="s">
        <v>612</v>
      </c>
      <c r="B87" s="597" t="str">
        <f>IF(AND(お客様情報!$E$2="Desk",COUNTIF(お客様情報!R20:R24,"Desk3")&gt;0),10,"")</f>
        <v/>
      </c>
      <c r="C87" s="567" t="str">
        <f>IFERROR(VLOOKUP("Desk"&amp;3,お客様情報!R20:U24,4,FALSE),"")</f>
        <v/>
      </c>
      <c r="D87" s="286" t="str">
        <f>D$83</f>
        <v/>
      </c>
      <c r="E87" s="314"/>
      <c r="F87" s="286" t="str">
        <f>F$83</f>
        <v/>
      </c>
      <c r="G87" s="278" t="str">
        <f>G$83</f>
        <v/>
      </c>
      <c r="H87" s="314"/>
      <c r="I87" s="286" t="str">
        <f>I$83</f>
        <v/>
      </c>
      <c r="J87" s="314"/>
      <c r="K87" s="314"/>
      <c r="L87" s="314"/>
      <c r="M87" s="286" t="str">
        <f>M$83</f>
        <v/>
      </c>
      <c r="N87" s="286" t="str">
        <f>N$83</f>
        <v/>
      </c>
      <c r="O87" s="314"/>
      <c r="P87" s="314"/>
      <c r="Q87" s="314"/>
      <c r="R87" s="314"/>
      <c r="S87" s="286" t="e">
        <f>S$83</f>
        <v>#N/A</v>
      </c>
      <c r="T87" s="286" t="e">
        <f>T$83</f>
        <v>#N/A</v>
      </c>
      <c r="U87" s="314"/>
      <c r="V87" s="314"/>
      <c r="W87" s="314"/>
      <c r="X87" s="314"/>
      <c r="Y87" s="314"/>
      <c r="Z87" s="314"/>
      <c r="AA87" s="314"/>
      <c r="AB87" s="314"/>
      <c r="AC87" s="314"/>
      <c r="AD87" s="314"/>
      <c r="AE87" s="314"/>
      <c r="AF87" s="314"/>
      <c r="AG87" s="314"/>
      <c r="AH87" s="314"/>
      <c r="AI87" s="314"/>
      <c r="AJ87" s="314"/>
      <c r="AK87" s="278" t="str">
        <f>AK$83</f>
        <v/>
      </c>
      <c r="AL87" s="314"/>
      <c r="AM87" s="314"/>
      <c r="AN87" s="314"/>
      <c r="AO87" s="314"/>
      <c r="AP87" s="314"/>
      <c r="AQ87" s="314"/>
      <c r="AR87" s="314"/>
      <c r="AS87" s="314"/>
      <c r="AT87" s="314"/>
      <c r="AU87" s="314"/>
      <c r="AV87" s="314"/>
      <c r="AW87" s="314"/>
      <c r="AX87" s="314"/>
      <c r="AY87" s="278" t="str">
        <f>$AY$83</f>
        <v/>
      </c>
      <c r="AZ87" s="378"/>
      <c r="BA87" s="378"/>
      <c r="BB87" s="378"/>
    </row>
    <row r="88" spans="1:54">
      <c r="A88" s="348" t="s">
        <v>586</v>
      </c>
      <c r="B88" s="348" t="s">
        <v>634</v>
      </c>
      <c r="C88" s="348" t="s">
        <v>620</v>
      </c>
      <c r="D88" s="348" t="s">
        <v>621</v>
      </c>
      <c r="E88" s="348" t="s">
        <v>622</v>
      </c>
      <c r="F88" s="348" t="s">
        <v>614</v>
      </c>
      <c r="G88" s="348" t="s">
        <v>623</v>
      </c>
      <c r="H88" s="348" t="s">
        <v>624</v>
      </c>
      <c r="I88" s="348" t="s">
        <v>625</v>
      </c>
      <c r="J88" s="348" t="s">
        <v>626</v>
      </c>
      <c r="K88" s="348" t="s">
        <v>627</v>
      </c>
      <c r="L88" s="348" t="s">
        <v>628</v>
      </c>
      <c r="M88" s="348" t="s">
        <v>629</v>
      </c>
      <c r="N88" s="348" t="s">
        <v>630</v>
      </c>
      <c r="O88" s="348" t="s">
        <v>631</v>
      </c>
      <c r="P88" s="348" t="s">
        <v>632</v>
      </c>
      <c r="Q88" s="348" t="s">
        <v>633</v>
      </c>
      <c r="R88" s="348" t="s">
        <v>1116</v>
      </c>
      <c r="S88" s="348" t="s">
        <v>701</v>
      </c>
      <c r="T88" s="348" t="s">
        <v>702</v>
      </c>
      <c r="U88" s="348" t="s">
        <v>699</v>
      </c>
      <c r="V88" s="348" t="s">
        <v>700</v>
      </c>
      <c r="W88" s="348" t="s">
        <v>822</v>
      </c>
      <c r="X88" s="348" t="s">
        <v>880</v>
      </c>
      <c r="Y88" s="348" t="s">
        <v>1118</v>
      </c>
      <c r="Z88" s="348" t="s">
        <v>1124</v>
      </c>
      <c r="AA88" s="348" t="s">
        <v>1125</v>
      </c>
      <c r="AB88" s="348" t="s">
        <v>1126</v>
      </c>
      <c r="AC88" s="348" t="s">
        <v>1127</v>
      </c>
      <c r="AD88" s="348" t="s">
        <v>1128</v>
      </c>
      <c r="AE88" s="348" t="s">
        <v>737</v>
      </c>
      <c r="AF88" s="348" t="s">
        <v>741</v>
      </c>
      <c r="AG88" s="348" t="s">
        <v>745</v>
      </c>
      <c r="AH88" s="348" t="s">
        <v>746</v>
      </c>
      <c r="AI88" s="348" t="s">
        <v>748</v>
      </c>
      <c r="AJ88" s="348" t="s">
        <v>747</v>
      </c>
      <c r="AK88" s="348" t="s">
        <v>1096</v>
      </c>
      <c r="AL88" s="348" t="s">
        <v>1140</v>
      </c>
      <c r="AM88" s="348" t="s">
        <v>1141</v>
      </c>
      <c r="AN88" s="348" t="s">
        <v>1142</v>
      </c>
      <c r="AO88" s="348" t="s">
        <v>1143</v>
      </c>
      <c r="AP88" s="348" t="s">
        <v>1144</v>
      </c>
      <c r="AQ88" s="348" t="s">
        <v>1145</v>
      </c>
      <c r="AR88" s="348" t="s">
        <v>1146</v>
      </c>
      <c r="AS88" s="348" t="s">
        <v>1147</v>
      </c>
      <c r="AT88" s="348" t="s">
        <v>1176</v>
      </c>
      <c r="AU88" s="348" t="s">
        <v>1247</v>
      </c>
      <c r="AV88" s="348" t="s">
        <v>1293</v>
      </c>
      <c r="AW88" s="348" t="s">
        <v>1291</v>
      </c>
      <c r="AX88" s="348" t="s">
        <v>1294</v>
      </c>
      <c r="AY88" s="348" t="s">
        <v>1295</v>
      </c>
      <c r="AZ88" s="348" t="s">
        <v>1372</v>
      </c>
      <c r="BA88" s="348" t="s">
        <v>1373</v>
      </c>
      <c r="BB88" s="348" t="s">
        <v>1481</v>
      </c>
    </row>
    <row r="89" spans="1:54">
      <c r="A89" s="348" t="s">
        <v>612</v>
      </c>
      <c r="B89" s="597" t="str">
        <f>IF(AND(お客様情報!$E$2="Desk",COUNTIF(お客様情報!R20:R24,"Desk4")&gt;0),10,"")</f>
        <v/>
      </c>
      <c r="C89" s="567" t="str">
        <f>IFERROR(VLOOKUP("Desk"&amp;4,お客様情報!R20:U24,4,FALSE),"")</f>
        <v/>
      </c>
      <c r="D89" s="286" t="str">
        <f>D$83</f>
        <v/>
      </c>
      <c r="E89" s="314"/>
      <c r="F89" s="286" t="str">
        <f>F$83</f>
        <v/>
      </c>
      <c r="G89" s="278" t="str">
        <f>G$83</f>
        <v/>
      </c>
      <c r="H89" s="314"/>
      <c r="I89" s="286" t="str">
        <f>I$83</f>
        <v/>
      </c>
      <c r="J89" s="314"/>
      <c r="K89" s="314"/>
      <c r="L89" s="314"/>
      <c r="M89" s="286" t="str">
        <f>M$83</f>
        <v/>
      </c>
      <c r="N89" s="286" t="str">
        <f>N$83</f>
        <v/>
      </c>
      <c r="O89" s="314"/>
      <c r="P89" s="314"/>
      <c r="Q89" s="314"/>
      <c r="R89" s="314"/>
      <c r="S89" s="286" t="e">
        <f>S$83</f>
        <v>#N/A</v>
      </c>
      <c r="T89" s="286" t="e">
        <f>T$83</f>
        <v>#N/A</v>
      </c>
      <c r="U89" s="314"/>
      <c r="V89" s="314"/>
      <c r="W89" s="314"/>
      <c r="X89" s="314"/>
      <c r="Y89" s="314"/>
      <c r="Z89" s="314"/>
      <c r="AA89" s="314"/>
      <c r="AB89" s="314"/>
      <c r="AC89" s="314"/>
      <c r="AD89" s="314"/>
      <c r="AE89" s="314"/>
      <c r="AF89" s="314"/>
      <c r="AG89" s="314"/>
      <c r="AH89" s="314"/>
      <c r="AI89" s="314"/>
      <c r="AJ89" s="314"/>
      <c r="AK89" s="278" t="str">
        <f>AK$83</f>
        <v/>
      </c>
      <c r="AL89" s="314"/>
      <c r="AM89" s="314"/>
      <c r="AN89" s="314"/>
      <c r="AO89" s="314"/>
      <c r="AP89" s="314"/>
      <c r="AQ89" s="314"/>
      <c r="AR89" s="314"/>
      <c r="AS89" s="314"/>
      <c r="AT89" s="314"/>
      <c r="AU89" s="314"/>
      <c r="AV89" s="314"/>
      <c r="AW89" s="314"/>
      <c r="AX89" s="314"/>
      <c r="AY89" s="278" t="str">
        <f>$AY$83</f>
        <v/>
      </c>
      <c r="AZ89" s="378"/>
      <c r="BA89" s="378"/>
      <c r="BB89" s="378"/>
    </row>
    <row r="90" spans="1:54">
      <c r="A90" s="348" t="s">
        <v>586</v>
      </c>
      <c r="B90" s="348" t="s">
        <v>634</v>
      </c>
      <c r="C90" s="348" t="s">
        <v>620</v>
      </c>
      <c r="D90" s="348" t="s">
        <v>621</v>
      </c>
      <c r="E90" s="348" t="s">
        <v>622</v>
      </c>
      <c r="F90" s="348" t="s">
        <v>614</v>
      </c>
      <c r="G90" s="348" t="s">
        <v>623</v>
      </c>
      <c r="H90" s="348" t="s">
        <v>624</v>
      </c>
      <c r="I90" s="348" t="s">
        <v>625</v>
      </c>
      <c r="J90" s="348" t="s">
        <v>626</v>
      </c>
      <c r="K90" s="348" t="s">
        <v>627</v>
      </c>
      <c r="L90" s="348" t="s">
        <v>628</v>
      </c>
      <c r="M90" s="348" t="s">
        <v>629</v>
      </c>
      <c r="N90" s="348" t="s">
        <v>630</v>
      </c>
      <c r="O90" s="348" t="s">
        <v>631</v>
      </c>
      <c r="P90" s="348" t="s">
        <v>632</v>
      </c>
      <c r="Q90" s="348" t="s">
        <v>633</v>
      </c>
      <c r="R90" s="348" t="s">
        <v>1116</v>
      </c>
      <c r="S90" s="348" t="s">
        <v>701</v>
      </c>
      <c r="T90" s="348" t="s">
        <v>702</v>
      </c>
      <c r="U90" s="348" t="s">
        <v>699</v>
      </c>
      <c r="V90" s="348" t="s">
        <v>700</v>
      </c>
      <c r="W90" s="348" t="s">
        <v>822</v>
      </c>
      <c r="X90" s="348" t="s">
        <v>880</v>
      </c>
      <c r="Y90" s="348" t="s">
        <v>1118</v>
      </c>
      <c r="Z90" s="348" t="s">
        <v>1124</v>
      </c>
      <c r="AA90" s="348" t="s">
        <v>1125</v>
      </c>
      <c r="AB90" s="348" t="s">
        <v>1126</v>
      </c>
      <c r="AC90" s="348" t="s">
        <v>1127</v>
      </c>
      <c r="AD90" s="348" t="s">
        <v>1128</v>
      </c>
      <c r="AE90" s="348" t="s">
        <v>737</v>
      </c>
      <c r="AF90" s="348" t="s">
        <v>741</v>
      </c>
      <c r="AG90" s="348" t="s">
        <v>745</v>
      </c>
      <c r="AH90" s="348" t="s">
        <v>746</v>
      </c>
      <c r="AI90" s="348" t="s">
        <v>748</v>
      </c>
      <c r="AJ90" s="348" t="s">
        <v>747</v>
      </c>
      <c r="AK90" s="348" t="s">
        <v>1096</v>
      </c>
      <c r="AL90" s="348" t="s">
        <v>1140</v>
      </c>
      <c r="AM90" s="348" t="s">
        <v>1141</v>
      </c>
      <c r="AN90" s="348" t="s">
        <v>1142</v>
      </c>
      <c r="AO90" s="348" t="s">
        <v>1143</v>
      </c>
      <c r="AP90" s="348" t="s">
        <v>1144</v>
      </c>
      <c r="AQ90" s="348" t="s">
        <v>1145</v>
      </c>
      <c r="AR90" s="348" t="s">
        <v>1146</v>
      </c>
      <c r="AS90" s="348" t="s">
        <v>1147</v>
      </c>
      <c r="AT90" s="348" t="s">
        <v>1176</v>
      </c>
      <c r="AU90" s="348" t="s">
        <v>1247</v>
      </c>
      <c r="AV90" s="348" t="s">
        <v>1293</v>
      </c>
      <c r="AW90" s="348" t="s">
        <v>1291</v>
      </c>
      <c r="AX90" s="348" t="s">
        <v>1294</v>
      </c>
      <c r="AY90" s="348" t="s">
        <v>1295</v>
      </c>
      <c r="AZ90" s="348" t="s">
        <v>1372</v>
      </c>
      <c r="BA90" s="348" t="s">
        <v>1373</v>
      </c>
      <c r="BB90" s="348" t="s">
        <v>1481</v>
      </c>
    </row>
    <row r="91" spans="1:54">
      <c r="A91" s="348" t="s">
        <v>612</v>
      </c>
      <c r="B91" s="597" t="str">
        <f>IF(AND(お客様情報!$E$2="Desk",COUNTIF(お客様情報!R20:R24,"Desk5")&gt;0),10,"")</f>
        <v/>
      </c>
      <c r="C91" s="567" t="str">
        <f>IFERROR(VLOOKUP("Desk"&amp;4,お客様情報!R20:U24,4,FALSE),"")</f>
        <v/>
      </c>
      <c r="D91" s="286" t="str">
        <f>D$83</f>
        <v/>
      </c>
      <c r="E91" s="314"/>
      <c r="F91" s="286" t="str">
        <f>F$83</f>
        <v/>
      </c>
      <c r="G91" s="278" t="str">
        <f>G$83</f>
        <v/>
      </c>
      <c r="H91" s="314"/>
      <c r="I91" s="286" t="str">
        <f>I$83</f>
        <v/>
      </c>
      <c r="J91" s="314"/>
      <c r="K91" s="314"/>
      <c r="L91" s="314"/>
      <c r="M91" s="286" t="str">
        <f>M$83</f>
        <v/>
      </c>
      <c r="N91" s="286" t="str">
        <f>N$83</f>
        <v/>
      </c>
      <c r="O91" s="314"/>
      <c r="P91" s="314"/>
      <c r="Q91" s="314"/>
      <c r="R91" s="314"/>
      <c r="S91" s="286" t="e">
        <f>S$83</f>
        <v>#N/A</v>
      </c>
      <c r="T91" s="286" t="e">
        <f>T$83</f>
        <v>#N/A</v>
      </c>
      <c r="U91" s="314"/>
      <c r="V91" s="314"/>
      <c r="W91" s="314"/>
      <c r="X91" s="314"/>
      <c r="Y91" s="314"/>
      <c r="Z91" s="314"/>
      <c r="AA91" s="314"/>
      <c r="AB91" s="314"/>
      <c r="AC91" s="314"/>
      <c r="AD91" s="314"/>
      <c r="AE91" s="314"/>
      <c r="AF91" s="314"/>
      <c r="AG91" s="314"/>
      <c r="AH91" s="314"/>
      <c r="AI91" s="314"/>
      <c r="AJ91" s="314"/>
      <c r="AK91" s="278" t="str">
        <f>AK$83</f>
        <v/>
      </c>
      <c r="AL91" s="314"/>
      <c r="AM91" s="314"/>
      <c r="AN91" s="314"/>
      <c r="AO91" s="314"/>
      <c r="AP91" s="314"/>
      <c r="AQ91" s="314"/>
      <c r="AR91" s="314"/>
      <c r="AS91" s="314"/>
      <c r="AT91" s="314"/>
      <c r="AU91" s="314"/>
      <c r="AV91" s="314"/>
      <c r="AW91" s="314"/>
      <c r="AX91" s="314"/>
      <c r="AY91" s="278" t="str">
        <f>$AY$83</f>
        <v/>
      </c>
      <c r="AZ91" s="378"/>
      <c r="BA91" s="378"/>
      <c r="BB91" s="378"/>
    </row>
    <row r="92" spans="1:54">
      <c r="A92" s="596" t="s">
        <v>586</v>
      </c>
      <c r="B92" s="596" t="s">
        <v>634</v>
      </c>
      <c r="C92" s="596" t="s">
        <v>620</v>
      </c>
      <c r="D92" s="596" t="s">
        <v>621</v>
      </c>
      <c r="E92" s="596" t="s">
        <v>622</v>
      </c>
      <c r="F92" s="596" t="s">
        <v>614</v>
      </c>
      <c r="G92" s="596" t="s">
        <v>623</v>
      </c>
      <c r="H92" s="596" t="s">
        <v>624</v>
      </c>
      <c r="I92" s="596" t="s">
        <v>1206</v>
      </c>
      <c r="J92" s="596" t="s">
        <v>626</v>
      </c>
      <c r="K92" s="596" t="s">
        <v>627</v>
      </c>
      <c r="L92" s="596" t="s">
        <v>628</v>
      </c>
      <c r="M92" s="596" t="s">
        <v>629</v>
      </c>
      <c r="N92" s="596" t="s">
        <v>630</v>
      </c>
      <c r="O92" s="596" t="s">
        <v>631</v>
      </c>
      <c r="P92" s="596" t="s">
        <v>632</v>
      </c>
      <c r="Q92" s="596" t="s">
        <v>633</v>
      </c>
      <c r="R92" s="596" t="s">
        <v>1116</v>
      </c>
      <c r="S92" s="596" t="s">
        <v>701</v>
      </c>
      <c r="T92" s="596" t="s">
        <v>702</v>
      </c>
      <c r="U92" s="596" t="s">
        <v>699</v>
      </c>
      <c r="V92" s="596" t="s">
        <v>700</v>
      </c>
      <c r="W92" s="596" t="s">
        <v>822</v>
      </c>
      <c r="X92" s="596" t="s">
        <v>880</v>
      </c>
      <c r="Y92" s="596" t="s">
        <v>1118</v>
      </c>
      <c r="Z92" s="596" t="s">
        <v>1124</v>
      </c>
      <c r="AA92" s="596" t="s">
        <v>1125</v>
      </c>
      <c r="AB92" s="596" t="s">
        <v>1126</v>
      </c>
      <c r="AC92" s="596" t="s">
        <v>1127</v>
      </c>
      <c r="AD92" s="596" t="s">
        <v>1128</v>
      </c>
      <c r="AE92" s="596" t="s">
        <v>737</v>
      </c>
      <c r="AF92" s="596" t="s">
        <v>741</v>
      </c>
      <c r="AG92" s="596" t="s">
        <v>745</v>
      </c>
      <c r="AH92" s="596" t="s">
        <v>746</v>
      </c>
      <c r="AI92" s="596" t="s">
        <v>748</v>
      </c>
      <c r="AJ92" s="596" t="s">
        <v>747</v>
      </c>
      <c r="AK92" s="596" t="s">
        <v>1096</v>
      </c>
      <c r="AL92" s="596" t="s">
        <v>1140</v>
      </c>
      <c r="AM92" s="596" t="s">
        <v>1141</v>
      </c>
      <c r="AN92" s="596" t="s">
        <v>1142</v>
      </c>
      <c r="AO92" s="596" t="s">
        <v>1143</v>
      </c>
      <c r="AP92" s="596" t="s">
        <v>1144</v>
      </c>
      <c r="AQ92" s="596" t="s">
        <v>1145</v>
      </c>
      <c r="AR92" s="596" t="s">
        <v>1146</v>
      </c>
      <c r="AS92" s="596" t="s">
        <v>1147</v>
      </c>
      <c r="AT92" s="596" t="s">
        <v>1176</v>
      </c>
      <c r="AU92" s="596" t="s">
        <v>1247</v>
      </c>
      <c r="AV92" s="599" t="s">
        <v>1290</v>
      </c>
      <c r="AW92" s="599" t="s">
        <v>1291</v>
      </c>
      <c r="AX92" s="599" t="s">
        <v>1294</v>
      </c>
      <c r="AY92" s="599" t="s">
        <v>1295</v>
      </c>
      <c r="AZ92" s="599" t="s">
        <v>1372</v>
      </c>
      <c r="BA92" s="599" t="s">
        <v>1373</v>
      </c>
      <c r="BB92" s="599" t="s">
        <v>1481</v>
      </c>
    </row>
    <row r="93" spans="1:54">
      <c r="A93" s="596" t="s">
        <v>612</v>
      </c>
      <c r="B93" s="597" t="str">
        <f>IF(AND(お客様情報!$E$2="desk",COUNTIF(お客様情報!$R$20:$R$24,"Desk Event1")&gt;0),13,"")</f>
        <v/>
      </c>
      <c r="C93" s="567" t="str">
        <f>IFERROR(VLOOKUP("Desk Event"&amp;1,お客様情報!$R$20:$U$24,4,FALSE),"")</f>
        <v/>
      </c>
      <c r="D93" s="598" t="str">
        <f>IF(入力フォーム_Desk!J95="通常版",入力フォーム_Desk!BG95,IF(入力フォーム_Desk!J95="株主総会版",2000,""))</f>
        <v/>
      </c>
      <c r="E93" s="314"/>
      <c r="F93" s="567" t="str">
        <f>TEXT(IF(入力フォーム_Desk!AE98*入力フォーム_Desk!AL98=0,"",(入力フォーム_Desk!AE98+2000)&amp;"/"&amp;入力フォーム_Desk!AL98&amp;"/"&amp;入力フォーム_Desk!AS98),"yyyy-mm-dd")</f>
        <v/>
      </c>
      <c r="G93" s="567" t="str">
        <f>IF(入力フォーム_Desk!J95="通常版",LEFT(入力フォーム_Desk!J98,1),IF(入力フォーム_Desk!J95="株主総会版",'中間データ共通・Desk・f-FILTER・Z-FILTER'!Y10,""))</f>
        <v/>
      </c>
      <c r="H93" s="314"/>
      <c r="I93" s="602" t="str">
        <f>IF(入力フォーム_Desk!BK98="",IF(入力フォーム_Desk!M71="無",入力フォーム_Desk!M74,""),入力フォーム_Desk!BK98)</f>
        <v/>
      </c>
      <c r="J93" s="314"/>
      <c r="K93" s="314"/>
      <c r="L93" s="314"/>
      <c r="M93" s="609" t="str">
        <f>IF(入力フォーム_Desk!CN95&lt;&gt;"",入力フォーム_Desk!CN95,"")</f>
        <v/>
      </c>
      <c r="N93" s="602" t="str">
        <f>IF(入力フォーム_Desk!M71="有",入力フォーム_Desk!M77,"")</f>
        <v/>
      </c>
      <c r="O93" s="314"/>
      <c r="P93" s="314"/>
      <c r="Q93" s="314"/>
      <c r="R93" s="314"/>
      <c r="S93" s="278" t="e">
        <f>IF(お客様情報!$N$64="","",お客様情報!$N$64)</f>
        <v>#N/A</v>
      </c>
      <c r="T93" s="278" t="e">
        <f>IF(お客様情報!$N$65="","",お客様情報!$N$65)</f>
        <v>#N/A</v>
      </c>
      <c r="U93" s="314"/>
      <c r="V93" s="314"/>
      <c r="W93" s="314"/>
      <c r="X93" s="314"/>
      <c r="Y93" s="314"/>
      <c r="Z93" s="314"/>
      <c r="AA93" s="314"/>
      <c r="AB93" s="314"/>
      <c r="AC93" s="314"/>
      <c r="AD93" s="314"/>
      <c r="AE93" s="314"/>
      <c r="AF93" s="314"/>
      <c r="AG93" s="314"/>
      <c r="AH93" s="314"/>
      <c r="AI93" s="314"/>
      <c r="AJ93" s="314"/>
      <c r="AK93" s="567"/>
      <c r="AL93" s="314"/>
      <c r="AM93" s="314"/>
      <c r="AN93" s="314"/>
      <c r="AO93" s="314"/>
      <c r="AP93" s="314"/>
      <c r="AQ93" s="314"/>
      <c r="AR93" s="314"/>
      <c r="AS93" s="314"/>
      <c r="AT93" s="314"/>
      <c r="AU93" s="314"/>
      <c r="AV93" s="567" t="str">
        <f>IF(入力フォーム_Desk!J95="株主総会版",'中間データ共通・Desk・f-FILTER・Z-FILTER'!Y11,"")</f>
        <v/>
      </c>
      <c r="AW93" s="567" t="str">
        <f>IF(入力フォーム_Desk!BG95&lt;&gt;"",入力フォーム_Desk!BG95,"")</f>
        <v/>
      </c>
      <c r="AX93" s="567" t="str">
        <f>IF(入力フォーム_Desk!AJ101="有",入力フォーム_Desk!AZ101*100,"")</f>
        <v/>
      </c>
      <c r="AY93" s="378" t="str">
        <f>IF(入力フォーム_Desk!AK101="有",入力フォーム_Desk!BA101,"")</f>
        <v/>
      </c>
      <c r="AZ93" s="378"/>
      <c r="BA93" s="378"/>
      <c r="BB93" s="378"/>
    </row>
    <row r="94" spans="1:54">
      <c r="A94" s="596" t="s">
        <v>586</v>
      </c>
      <c r="B94" s="596" t="s">
        <v>634</v>
      </c>
      <c r="C94" s="596" t="s">
        <v>620</v>
      </c>
      <c r="D94" s="596" t="s">
        <v>621</v>
      </c>
      <c r="E94" s="596" t="s">
        <v>622</v>
      </c>
      <c r="F94" s="596" t="s">
        <v>614</v>
      </c>
      <c r="G94" s="596" t="s">
        <v>623</v>
      </c>
      <c r="H94" s="596" t="s">
        <v>624</v>
      </c>
      <c r="I94" s="596" t="s">
        <v>625</v>
      </c>
      <c r="J94" s="596" t="s">
        <v>626</v>
      </c>
      <c r="K94" s="596" t="s">
        <v>627</v>
      </c>
      <c r="L94" s="596" t="s">
        <v>628</v>
      </c>
      <c r="M94" s="596" t="s">
        <v>629</v>
      </c>
      <c r="N94" s="596" t="s">
        <v>630</v>
      </c>
      <c r="O94" s="596" t="s">
        <v>631</v>
      </c>
      <c r="P94" s="596" t="s">
        <v>632</v>
      </c>
      <c r="Q94" s="596" t="s">
        <v>633</v>
      </c>
      <c r="R94" s="596" t="s">
        <v>1116</v>
      </c>
      <c r="S94" s="596" t="s">
        <v>701</v>
      </c>
      <c r="T94" s="596" t="s">
        <v>702</v>
      </c>
      <c r="U94" s="596" t="s">
        <v>699</v>
      </c>
      <c r="V94" s="596" t="s">
        <v>700</v>
      </c>
      <c r="W94" s="596" t="s">
        <v>822</v>
      </c>
      <c r="X94" s="596" t="s">
        <v>880</v>
      </c>
      <c r="Y94" s="596" t="s">
        <v>1118</v>
      </c>
      <c r="Z94" s="596" t="s">
        <v>1124</v>
      </c>
      <c r="AA94" s="596" t="s">
        <v>1125</v>
      </c>
      <c r="AB94" s="596" t="s">
        <v>1126</v>
      </c>
      <c r="AC94" s="596" t="s">
        <v>1127</v>
      </c>
      <c r="AD94" s="596" t="s">
        <v>1128</v>
      </c>
      <c r="AE94" s="596" t="s">
        <v>737</v>
      </c>
      <c r="AF94" s="596" t="s">
        <v>741</v>
      </c>
      <c r="AG94" s="596" t="s">
        <v>745</v>
      </c>
      <c r="AH94" s="596" t="s">
        <v>746</v>
      </c>
      <c r="AI94" s="596" t="s">
        <v>748</v>
      </c>
      <c r="AJ94" s="596" t="s">
        <v>747</v>
      </c>
      <c r="AK94" s="596" t="s">
        <v>1096</v>
      </c>
      <c r="AL94" s="596" t="s">
        <v>1140</v>
      </c>
      <c r="AM94" s="596" t="s">
        <v>1141</v>
      </c>
      <c r="AN94" s="596" t="s">
        <v>1142</v>
      </c>
      <c r="AO94" s="596" t="s">
        <v>1143</v>
      </c>
      <c r="AP94" s="596" t="s">
        <v>1144</v>
      </c>
      <c r="AQ94" s="596" t="s">
        <v>1145</v>
      </c>
      <c r="AR94" s="596" t="s">
        <v>1146</v>
      </c>
      <c r="AS94" s="596" t="s">
        <v>1147</v>
      </c>
      <c r="AT94" s="596" t="s">
        <v>1176</v>
      </c>
      <c r="AU94" s="596" t="s">
        <v>1247</v>
      </c>
      <c r="AV94" s="599" t="s">
        <v>1293</v>
      </c>
      <c r="AW94" s="599" t="s">
        <v>1291</v>
      </c>
      <c r="AX94" s="599" t="s">
        <v>1294</v>
      </c>
      <c r="AY94" s="599" t="s">
        <v>1295</v>
      </c>
      <c r="AZ94" s="599" t="s">
        <v>1372</v>
      </c>
      <c r="BA94" s="599" t="s">
        <v>1373</v>
      </c>
      <c r="BB94" s="599" t="s">
        <v>1481</v>
      </c>
    </row>
    <row r="95" spans="1:54">
      <c r="A95" s="596" t="s">
        <v>612</v>
      </c>
      <c r="B95" s="597" t="str">
        <f>IF(AND(お客様情報!$E$2="desk",COUNTIF(お客様情報!$R$20:$R$24,"Desk Event2")&gt;0),13,"")</f>
        <v/>
      </c>
      <c r="C95" s="567" t="str">
        <f>IFERROR(VLOOKUP("Desk Event"&amp;2,お客様情報!$R$20:$U$24,4,FALSE),"")</f>
        <v/>
      </c>
      <c r="D95" s="286" t="str">
        <f>$D$93</f>
        <v/>
      </c>
      <c r="E95" s="314"/>
      <c r="F95" s="286" t="str">
        <f>$F$93</f>
        <v/>
      </c>
      <c r="G95" s="278" t="str">
        <f>$G$93</f>
        <v/>
      </c>
      <c r="H95" s="314"/>
      <c r="I95" s="286" t="str">
        <f>$I$93</f>
        <v/>
      </c>
      <c r="J95" s="314"/>
      <c r="K95" s="314"/>
      <c r="L95" s="314"/>
      <c r="M95" s="286" t="str">
        <f>M$83</f>
        <v/>
      </c>
      <c r="N95" s="286" t="str">
        <f>$N$93</f>
        <v/>
      </c>
      <c r="O95" s="314"/>
      <c r="P95" s="314"/>
      <c r="Q95" s="314"/>
      <c r="R95" s="314"/>
      <c r="S95" s="286" t="e">
        <f>S$83</f>
        <v>#N/A</v>
      </c>
      <c r="T95" s="286" t="e">
        <f>T$83</f>
        <v>#N/A</v>
      </c>
      <c r="U95" s="314"/>
      <c r="V95" s="314"/>
      <c r="W95" s="314"/>
      <c r="X95" s="314"/>
      <c r="Y95" s="314"/>
      <c r="Z95" s="314"/>
      <c r="AA95" s="314"/>
      <c r="AB95" s="314"/>
      <c r="AC95" s="314"/>
      <c r="AD95" s="314"/>
      <c r="AE95" s="314"/>
      <c r="AF95" s="314"/>
      <c r="AG95" s="314"/>
      <c r="AH95" s="314"/>
      <c r="AI95" s="314"/>
      <c r="AJ95" s="314"/>
      <c r="AK95" s="278"/>
      <c r="AL95" s="314"/>
      <c r="AM95" s="314"/>
      <c r="AN95" s="314"/>
      <c r="AO95" s="314"/>
      <c r="AP95" s="314"/>
      <c r="AQ95" s="314"/>
      <c r="AR95" s="314"/>
      <c r="AS95" s="314"/>
      <c r="AT95" s="314"/>
      <c r="AU95" s="314"/>
      <c r="AV95" s="556" t="str">
        <f>$AV$93</f>
        <v/>
      </c>
      <c r="AW95" s="556" t="str">
        <f>$AW$93</f>
        <v/>
      </c>
      <c r="AX95" s="556" t="str">
        <f>AX93</f>
        <v/>
      </c>
      <c r="AY95" s="378" t="str">
        <f>AY93</f>
        <v/>
      </c>
      <c r="AZ95" s="378"/>
      <c r="BA95" s="378"/>
      <c r="BB95" s="378"/>
    </row>
    <row r="96" spans="1:54">
      <c r="A96" s="596" t="s">
        <v>586</v>
      </c>
      <c r="B96" s="596" t="s">
        <v>634</v>
      </c>
      <c r="C96" s="596" t="s">
        <v>620</v>
      </c>
      <c r="D96" s="596" t="s">
        <v>621</v>
      </c>
      <c r="E96" s="596" t="s">
        <v>622</v>
      </c>
      <c r="F96" s="596" t="s">
        <v>614</v>
      </c>
      <c r="G96" s="596" t="s">
        <v>623</v>
      </c>
      <c r="H96" s="596" t="s">
        <v>624</v>
      </c>
      <c r="I96" s="596" t="s">
        <v>625</v>
      </c>
      <c r="J96" s="596" t="s">
        <v>626</v>
      </c>
      <c r="K96" s="596" t="s">
        <v>627</v>
      </c>
      <c r="L96" s="596" t="s">
        <v>628</v>
      </c>
      <c r="M96" s="596" t="s">
        <v>629</v>
      </c>
      <c r="N96" s="596" t="s">
        <v>630</v>
      </c>
      <c r="O96" s="596" t="s">
        <v>631</v>
      </c>
      <c r="P96" s="596" t="s">
        <v>632</v>
      </c>
      <c r="Q96" s="596" t="s">
        <v>633</v>
      </c>
      <c r="R96" s="596" t="s">
        <v>1116</v>
      </c>
      <c r="S96" s="596" t="s">
        <v>701</v>
      </c>
      <c r="T96" s="596" t="s">
        <v>702</v>
      </c>
      <c r="U96" s="596" t="s">
        <v>699</v>
      </c>
      <c r="V96" s="596" t="s">
        <v>700</v>
      </c>
      <c r="W96" s="596" t="s">
        <v>822</v>
      </c>
      <c r="X96" s="596" t="s">
        <v>880</v>
      </c>
      <c r="Y96" s="596" t="s">
        <v>1118</v>
      </c>
      <c r="Z96" s="596" t="s">
        <v>1124</v>
      </c>
      <c r="AA96" s="596" t="s">
        <v>1125</v>
      </c>
      <c r="AB96" s="596" t="s">
        <v>1126</v>
      </c>
      <c r="AC96" s="596" t="s">
        <v>1127</v>
      </c>
      <c r="AD96" s="596" t="s">
        <v>1128</v>
      </c>
      <c r="AE96" s="596" t="s">
        <v>737</v>
      </c>
      <c r="AF96" s="596" t="s">
        <v>741</v>
      </c>
      <c r="AG96" s="596" t="s">
        <v>745</v>
      </c>
      <c r="AH96" s="596" t="s">
        <v>746</v>
      </c>
      <c r="AI96" s="596" t="s">
        <v>748</v>
      </c>
      <c r="AJ96" s="596" t="s">
        <v>747</v>
      </c>
      <c r="AK96" s="596" t="s">
        <v>1096</v>
      </c>
      <c r="AL96" s="596" t="s">
        <v>1140</v>
      </c>
      <c r="AM96" s="596" t="s">
        <v>1141</v>
      </c>
      <c r="AN96" s="596" t="s">
        <v>1142</v>
      </c>
      <c r="AO96" s="596" t="s">
        <v>1143</v>
      </c>
      <c r="AP96" s="596" t="s">
        <v>1144</v>
      </c>
      <c r="AQ96" s="596" t="s">
        <v>1145</v>
      </c>
      <c r="AR96" s="596" t="s">
        <v>1146</v>
      </c>
      <c r="AS96" s="596" t="s">
        <v>1147</v>
      </c>
      <c r="AT96" s="596" t="s">
        <v>1176</v>
      </c>
      <c r="AU96" s="596" t="s">
        <v>1247</v>
      </c>
      <c r="AV96" s="599" t="s">
        <v>1293</v>
      </c>
      <c r="AW96" s="599" t="s">
        <v>1291</v>
      </c>
      <c r="AX96" s="599" t="s">
        <v>1294</v>
      </c>
      <c r="AY96" s="599" t="s">
        <v>1295</v>
      </c>
      <c r="AZ96" s="599" t="s">
        <v>1372</v>
      </c>
      <c r="BA96" s="599" t="s">
        <v>1373</v>
      </c>
      <c r="BB96" s="599" t="s">
        <v>1481</v>
      </c>
    </row>
    <row r="97" spans="1:54">
      <c r="A97" s="596" t="s">
        <v>612</v>
      </c>
      <c r="B97" s="597" t="str">
        <f>IF(AND(お客様情報!$E$2="desk",COUNTIF(お客様情報!$R$20:$R$24,"Desk Event3")&gt;0),13,"")</f>
        <v/>
      </c>
      <c r="C97" s="567" t="str">
        <f>IFERROR(VLOOKUP("Desk Event"&amp;3,お客様情報!$R$20:$U$24,4,FALSE),"")</f>
        <v/>
      </c>
      <c r="D97" s="286" t="str">
        <f>$D$93</f>
        <v/>
      </c>
      <c r="E97" s="314"/>
      <c r="F97" s="286" t="str">
        <f>$F$93</f>
        <v/>
      </c>
      <c r="G97" s="278" t="str">
        <f>$G$93</f>
        <v/>
      </c>
      <c r="H97" s="314"/>
      <c r="I97" s="286" t="str">
        <f>$I$93</f>
        <v/>
      </c>
      <c r="J97" s="314"/>
      <c r="K97" s="314"/>
      <c r="L97" s="314"/>
      <c r="M97" s="286" t="str">
        <f>M$83</f>
        <v/>
      </c>
      <c r="N97" s="286" t="str">
        <f>$N$93</f>
        <v/>
      </c>
      <c r="O97" s="314"/>
      <c r="P97" s="314"/>
      <c r="Q97" s="314"/>
      <c r="R97" s="314"/>
      <c r="S97" s="286" t="e">
        <f>S$83</f>
        <v>#N/A</v>
      </c>
      <c r="T97" s="286" t="e">
        <f>T$83</f>
        <v>#N/A</v>
      </c>
      <c r="U97" s="314"/>
      <c r="V97" s="314"/>
      <c r="W97" s="314"/>
      <c r="X97" s="314"/>
      <c r="Y97" s="314"/>
      <c r="Z97" s="314"/>
      <c r="AA97" s="314"/>
      <c r="AB97" s="314"/>
      <c r="AC97" s="314"/>
      <c r="AD97" s="314"/>
      <c r="AE97" s="314"/>
      <c r="AF97" s="314"/>
      <c r="AG97" s="314"/>
      <c r="AH97" s="314"/>
      <c r="AI97" s="314"/>
      <c r="AJ97" s="314"/>
      <c r="AK97" s="278"/>
      <c r="AL97" s="314"/>
      <c r="AM97" s="314"/>
      <c r="AN97" s="314"/>
      <c r="AO97" s="314"/>
      <c r="AP97" s="314"/>
      <c r="AQ97" s="314"/>
      <c r="AR97" s="314"/>
      <c r="AS97" s="314"/>
      <c r="AT97" s="314"/>
      <c r="AU97" s="314"/>
      <c r="AV97" s="556" t="str">
        <f>$AV$93</f>
        <v/>
      </c>
      <c r="AW97" s="556" t="str">
        <f>$AW$93</f>
        <v/>
      </c>
      <c r="AX97" s="556" t="str">
        <f>AX95</f>
        <v/>
      </c>
      <c r="AY97" s="378" t="str">
        <f>AY95</f>
        <v/>
      </c>
      <c r="AZ97" s="378"/>
      <c r="BA97" s="378"/>
      <c r="BB97" s="378"/>
    </row>
    <row r="98" spans="1:54">
      <c r="A98" s="596" t="s">
        <v>586</v>
      </c>
      <c r="B98" s="596" t="s">
        <v>634</v>
      </c>
      <c r="C98" s="596" t="s">
        <v>620</v>
      </c>
      <c r="D98" s="596" t="s">
        <v>621</v>
      </c>
      <c r="E98" s="596" t="s">
        <v>622</v>
      </c>
      <c r="F98" s="596" t="s">
        <v>614</v>
      </c>
      <c r="G98" s="596" t="s">
        <v>623</v>
      </c>
      <c r="H98" s="596" t="s">
        <v>624</v>
      </c>
      <c r="I98" s="596" t="s">
        <v>625</v>
      </c>
      <c r="J98" s="596" t="s">
        <v>626</v>
      </c>
      <c r="K98" s="596" t="s">
        <v>627</v>
      </c>
      <c r="L98" s="596" t="s">
        <v>628</v>
      </c>
      <c r="M98" s="596" t="s">
        <v>629</v>
      </c>
      <c r="N98" s="596" t="s">
        <v>630</v>
      </c>
      <c r="O98" s="596" t="s">
        <v>631</v>
      </c>
      <c r="P98" s="596" t="s">
        <v>632</v>
      </c>
      <c r="Q98" s="596" t="s">
        <v>633</v>
      </c>
      <c r="R98" s="596" t="s">
        <v>1116</v>
      </c>
      <c r="S98" s="596" t="s">
        <v>701</v>
      </c>
      <c r="T98" s="596" t="s">
        <v>702</v>
      </c>
      <c r="U98" s="596" t="s">
        <v>699</v>
      </c>
      <c r="V98" s="596" t="s">
        <v>700</v>
      </c>
      <c r="W98" s="596" t="s">
        <v>822</v>
      </c>
      <c r="X98" s="596" t="s">
        <v>880</v>
      </c>
      <c r="Y98" s="596" t="s">
        <v>1118</v>
      </c>
      <c r="Z98" s="596" t="s">
        <v>1124</v>
      </c>
      <c r="AA98" s="596" t="s">
        <v>1125</v>
      </c>
      <c r="AB98" s="596" t="s">
        <v>1126</v>
      </c>
      <c r="AC98" s="596" t="s">
        <v>1127</v>
      </c>
      <c r="AD98" s="596" t="s">
        <v>1128</v>
      </c>
      <c r="AE98" s="596" t="s">
        <v>737</v>
      </c>
      <c r="AF98" s="596" t="s">
        <v>741</v>
      </c>
      <c r="AG98" s="596" t="s">
        <v>745</v>
      </c>
      <c r="AH98" s="596" t="s">
        <v>746</v>
      </c>
      <c r="AI98" s="596" t="s">
        <v>748</v>
      </c>
      <c r="AJ98" s="596" t="s">
        <v>747</v>
      </c>
      <c r="AK98" s="596" t="s">
        <v>1096</v>
      </c>
      <c r="AL98" s="596" t="s">
        <v>1140</v>
      </c>
      <c r="AM98" s="596" t="s">
        <v>1141</v>
      </c>
      <c r="AN98" s="596" t="s">
        <v>1142</v>
      </c>
      <c r="AO98" s="596" t="s">
        <v>1143</v>
      </c>
      <c r="AP98" s="596" t="s">
        <v>1144</v>
      </c>
      <c r="AQ98" s="596" t="s">
        <v>1145</v>
      </c>
      <c r="AR98" s="596" t="s">
        <v>1146</v>
      </c>
      <c r="AS98" s="596" t="s">
        <v>1147</v>
      </c>
      <c r="AT98" s="596" t="s">
        <v>1176</v>
      </c>
      <c r="AU98" s="596" t="s">
        <v>1247</v>
      </c>
      <c r="AV98" s="599" t="s">
        <v>1293</v>
      </c>
      <c r="AW98" s="599" t="s">
        <v>1291</v>
      </c>
      <c r="AX98" s="599" t="s">
        <v>1294</v>
      </c>
      <c r="AY98" s="599" t="s">
        <v>1295</v>
      </c>
      <c r="AZ98" s="599" t="s">
        <v>1372</v>
      </c>
      <c r="BA98" s="599" t="s">
        <v>1373</v>
      </c>
      <c r="BB98" s="599" t="s">
        <v>1481</v>
      </c>
    </row>
    <row r="99" spans="1:54">
      <c r="A99" s="596" t="s">
        <v>612</v>
      </c>
      <c r="B99" s="597" t="str">
        <f>IF(AND(お客様情報!$E$2="desk",COUNTIF(お客様情報!$R$20:$R$24,"Desk Event4")&gt;0),13,"")</f>
        <v/>
      </c>
      <c r="C99" s="567" t="str">
        <f>IFERROR(VLOOKUP("Desk Event"&amp;4,お客様情報!$R$20:$U$24,4,FALSE),"")</f>
        <v/>
      </c>
      <c r="D99" s="286" t="str">
        <f>$D$93</f>
        <v/>
      </c>
      <c r="E99" s="314"/>
      <c r="F99" s="286" t="str">
        <f>$F$93</f>
        <v/>
      </c>
      <c r="G99" s="278" t="str">
        <f>$G$93</f>
        <v/>
      </c>
      <c r="H99" s="314"/>
      <c r="I99" s="286" t="str">
        <f>$I$93</f>
        <v/>
      </c>
      <c r="J99" s="314"/>
      <c r="K99" s="314"/>
      <c r="L99" s="314"/>
      <c r="M99" s="286" t="str">
        <f>M$83</f>
        <v/>
      </c>
      <c r="N99" s="286" t="str">
        <f>$N$93</f>
        <v/>
      </c>
      <c r="O99" s="314"/>
      <c r="P99" s="314"/>
      <c r="Q99" s="314"/>
      <c r="R99" s="314"/>
      <c r="S99" s="286" t="e">
        <f>S$83</f>
        <v>#N/A</v>
      </c>
      <c r="T99" s="286" t="e">
        <f>T$83</f>
        <v>#N/A</v>
      </c>
      <c r="U99" s="314"/>
      <c r="V99" s="314"/>
      <c r="W99" s="314"/>
      <c r="X99" s="314"/>
      <c r="Y99" s="314"/>
      <c r="Z99" s="314"/>
      <c r="AA99" s="314"/>
      <c r="AB99" s="314"/>
      <c r="AC99" s="314"/>
      <c r="AD99" s="314"/>
      <c r="AE99" s="314"/>
      <c r="AF99" s="314"/>
      <c r="AG99" s="314"/>
      <c r="AH99" s="314"/>
      <c r="AI99" s="314"/>
      <c r="AJ99" s="314"/>
      <c r="AK99" s="278"/>
      <c r="AL99" s="314"/>
      <c r="AM99" s="314"/>
      <c r="AN99" s="314"/>
      <c r="AO99" s="314"/>
      <c r="AP99" s="314"/>
      <c r="AQ99" s="314"/>
      <c r="AR99" s="314"/>
      <c r="AS99" s="314"/>
      <c r="AT99" s="314"/>
      <c r="AU99" s="314"/>
      <c r="AV99" s="556" t="str">
        <f>$AV$93</f>
        <v/>
      </c>
      <c r="AW99" s="556" t="str">
        <f>$AW$93</f>
        <v/>
      </c>
      <c r="AX99" s="556" t="str">
        <f>AX97</f>
        <v/>
      </c>
      <c r="AY99" s="378" t="str">
        <f>AY97</f>
        <v/>
      </c>
      <c r="AZ99" s="378"/>
      <c r="BA99" s="378"/>
      <c r="BB99" s="378"/>
    </row>
    <row r="100" spans="1:54">
      <c r="A100" s="596" t="s">
        <v>586</v>
      </c>
      <c r="B100" s="596" t="s">
        <v>634</v>
      </c>
      <c r="C100" s="596" t="s">
        <v>620</v>
      </c>
      <c r="D100" s="596" t="s">
        <v>621</v>
      </c>
      <c r="E100" s="596" t="s">
        <v>622</v>
      </c>
      <c r="F100" s="596" t="s">
        <v>614</v>
      </c>
      <c r="G100" s="596" t="s">
        <v>623</v>
      </c>
      <c r="H100" s="596" t="s">
        <v>624</v>
      </c>
      <c r="I100" s="596" t="s">
        <v>625</v>
      </c>
      <c r="J100" s="596" t="s">
        <v>626</v>
      </c>
      <c r="K100" s="596" t="s">
        <v>627</v>
      </c>
      <c r="L100" s="596" t="s">
        <v>628</v>
      </c>
      <c r="M100" s="596" t="s">
        <v>629</v>
      </c>
      <c r="N100" s="596" t="s">
        <v>630</v>
      </c>
      <c r="O100" s="596" t="s">
        <v>631</v>
      </c>
      <c r="P100" s="596" t="s">
        <v>632</v>
      </c>
      <c r="Q100" s="596" t="s">
        <v>633</v>
      </c>
      <c r="R100" s="596" t="s">
        <v>1116</v>
      </c>
      <c r="S100" s="596" t="s">
        <v>701</v>
      </c>
      <c r="T100" s="596" t="s">
        <v>702</v>
      </c>
      <c r="U100" s="596" t="s">
        <v>699</v>
      </c>
      <c r="V100" s="596" t="s">
        <v>700</v>
      </c>
      <c r="W100" s="596" t="s">
        <v>822</v>
      </c>
      <c r="X100" s="596" t="s">
        <v>880</v>
      </c>
      <c r="Y100" s="596" t="s">
        <v>1118</v>
      </c>
      <c r="Z100" s="596" t="s">
        <v>1124</v>
      </c>
      <c r="AA100" s="596" t="s">
        <v>1125</v>
      </c>
      <c r="AB100" s="596" t="s">
        <v>1126</v>
      </c>
      <c r="AC100" s="596" t="s">
        <v>1127</v>
      </c>
      <c r="AD100" s="596" t="s">
        <v>1128</v>
      </c>
      <c r="AE100" s="596" t="s">
        <v>737</v>
      </c>
      <c r="AF100" s="596" t="s">
        <v>741</v>
      </c>
      <c r="AG100" s="596" t="s">
        <v>745</v>
      </c>
      <c r="AH100" s="596" t="s">
        <v>746</v>
      </c>
      <c r="AI100" s="596" t="s">
        <v>748</v>
      </c>
      <c r="AJ100" s="596" t="s">
        <v>747</v>
      </c>
      <c r="AK100" s="596" t="s">
        <v>1096</v>
      </c>
      <c r="AL100" s="596" t="s">
        <v>1140</v>
      </c>
      <c r="AM100" s="596" t="s">
        <v>1141</v>
      </c>
      <c r="AN100" s="596" t="s">
        <v>1142</v>
      </c>
      <c r="AO100" s="596" t="s">
        <v>1143</v>
      </c>
      <c r="AP100" s="596" t="s">
        <v>1144</v>
      </c>
      <c r="AQ100" s="596" t="s">
        <v>1145</v>
      </c>
      <c r="AR100" s="596" t="s">
        <v>1146</v>
      </c>
      <c r="AS100" s="596" t="s">
        <v>1147</v>
      </c>
      <c r="AT100" s="596" t="s">
        <v>1176</v>
      </c>
      <c r="AU100" s="596" t="s">
        <v>1247</v>
      </c>
      <c r="AV100" s="599" t="s">
        <v>1293</v>
      </c>
      <c r="AW100" s="599" t="s">
        <v>1291</v>
      </c>
      <c r="AX100" s="599" t="s">
        <v>1294</v>
      </c>
      <c r="AY100" s="599" t="s">
        <v>1295</v>
      </c>
      <c r="AZ100" s="599" t="s">
        <v>1372</v>
      </c>
      <c r="BA100" s="599" t="s">
        <v>1373</v>
      </c>
      <c r="BB100" s="599" t="s">
        <v>1481</v>
      </c>
    </row>
    <row r="101" spans="1:54">
      <c r="A101" s="596" t="s">
        <v>612</v>
      </c>
      <c r="B101" s="597" t="str">
        <f>IF(AND(お客様情報!$E$2="desk",COUNTIF(お客様情報!$R$20:$R$24,"Desk Event5")&gt;0),13,"")</f>
        <v/>
      </c>
      <c r="C101" s="567" t="str">
        <f>IFERROR(VLOOKUP("Desk Event"&amp;5,お客様情報!$R$20:$U$24,4,FALSE),"")</f>
        <v/>
      </c>
      <c r="D101" s="286" t="str">
        <f>$D$93</f>
        <v/>
      </c>
      <c r="E101" s="314"/>
      <c r="F101" s="286" t="str">
        <f>$F$93</f>
        <v/>
      </c>
      <c r="G101" s="278" t="str">
        <f>$G$93</f>
        <v/>
      </c>
      <c r="H101" s="314"/>
      <c r="I101" s="286" t="str">
        <f>$I$93</f>
        <v/>
      </c>
      <c r="J101" s="314"/>
      <c r="K101" s="314"/>
      <c r="L101" s="314"/>
      <c r="M101" s="286" t="str">
        <f>M$83</f>
        <v/>
      </c>
      <c r="N101" s="286" t="str">
        <f>$N$93</f>
        <v/>
      </c>
      <c r="O101" s="314"/>
      <c r="P101" s="314"/>
      <c r="Q101" s="314"/>
      <c r="R101" s="314"/>
      <c r="S101" s="286" t="e">
        <f>S$83</f>
        <v>#N/A</v>
      </c>
      <c r="T101" s="286" t="e">
        <f>T$83</f>
        <v>#N/A</v>
      </c>
      <c r="U101" s="314"/>
      <c r="V101" s="314"/>
      <c r="W101" s="314"/>
      <c r="X101" s="314"/>
      <c r="Y101" s="314"/>
      <c r="Z101" s="314"/>
      <c r="AA101" s="314"/>
      <c r="AB101" s="314"/>
      <c r="AC101" s="314"/>
      <c r="AD101" s="314"/>
      <c r="AE101" s="314"/>
      <c r="AF101" s="314"/>
      <c r="AG101" s="314"/>
      <c r="AH101" s="314"/>
      <c r="AI101" s="314"/>
      <c r="AJ101" s="314"/>
      <c r="AK101" s="278"/>
      <c r="AL101" s="314"/>
      <c r="AM101" s="314"/>
      <c r="AN101" s="314"/>
      <c r="AO101" s="314"/>
      <c r="AP101" s="314"/>
      <c r="AQ101" s="314"/>
      <c r="AR101" s="314"/>
      <c r="AS101" s="314"/>
      <c r="AT101" s="314"/>
      <c r="AU101" s="314"/>
      <c r="AV101" s="556" t="str">
        <f>$AV$93</f>
        <v/>
      </c>
      <c r="AW101" s="556" t="str">
        <f>$AW$93</f>
        <v/>
      </c>
      <c r="AX101" s="556" t="str">
        <f>AX99</f>
        <v/>
      </c>
      <c r="AY101" s="378" t="str">
        <f>AY99</f>
        <v/>
      </c>
      <c r="AZ101" s="378"/>
      <c r="BA101" s="378"/>
      <c r="BB101" s="378"/>
    </row>
    <row r="102" spans="1:54">
      <c r="A102" s="349" t="s">
        <v>586</v>
      </c>
      <c r="B102" s="349" t="s">
        <v>634</v>
      </c>
      <c r="C102" s="349" t="s">
        <v>620</v>
      </c>
      <c r="D102" s="349" t="s">
        <v>621</v>
      </c>
      <c r="E102" s="349" t="s">
        <v>622</v>
      </c>
      <c r="F102" s="349" t="s">
        <v>614</v>
      </c>
      <c r="G102" s="349" t="s">
        <v>623</v>
      </c>
      <c r="H102" s="349" t="s">
        <v>624</v>
      </c>
      <c r="I102" s="349" t="s">
        <v>625</v>
      </c>
      <c r="J102" s="349" t="s">
        <v>626</v>
      </c>
      <c r="K102" s="349" t="s">
        <v>627</v>
      </c>
      <c r="L102" s="349" t="s">
        <v>628</v>
      </c>
      <c r="M102" s="349" t="s">
        <v>629</v>
      </c>
      <c r="N102" s="349" t="s">
        <v>630</v>
      </c>
      <c r="O102" s="349" t="s">
        <v>631</v>
      </c>
      <c r="P102" s="349" t="s">
        <v>632</v>
      </c>
      <c r="Q102" s="349" t="s">
        <v>633</v>
      </c>
      <c r="R102" s="349" t="s">
        <v>1116</v>
      </c>
      <c r="S102" s="349" t="s">
        <v>701</v>
      </c>
      <c r="T102" s="349" t="s">
        <v>702</v>
      </c>
      <c r="U102" s="349" t="s">
        <v>699</v>
      </c>
      <c r="V102" s="349" t="s">
        <v>700</v>
      </c>
      <c r="W102" s="349" t="s">
        <v>822</v>
      </c>
      <c r="X102" s="349" t="s">
        <v>880</v>
      </c>
      <c r="Y102" s="349" t="s">
        <v>1118</v>
      </c>
      <c r="Z102" s="349" t="s">
        <v>1124</v>
      </c>
      <c r="AA102" s="349" t="s">
        <v>1125</v>
      </c>
      <c r="AB102" s="349" t="s">
        <v>1126</v>
      </c>
      <c r="AC102" s="349" t="s">
        <v>1127</v>
      </c>
      <c r="AD102" s="349" t="s">
        <v>1128</v>
      </c>
      <c r="AE102" s="349" t="s">
        <v>737</v>
      </c>
      <c r="AF102" s="349" t="s">
        <v>741</v>
      </c>
      <c r="AG102" s="349" t="s">
        <v>745</v>
      </c>
      <c r="AH102" s="349" t="s">
        <v>746</v>
      </c>
      <c r="AI102" s="349" t="s">
        <v>748</v>
      </c>
      <c r="AJ102" s="349" t="s">
        <v>747</v>
      </c>
      <c r="AK102" s="349" t="s">
        <v>1096</v>
      </c>
      <c r="AL102" s="349" t="s">
        <v>1140</v>
      </c>
      <c r="AM102" s="349" t="s">
        <v>1141</v>
      </c>
      <c r="AN102" s="349" t="s">
        <v>1142</v>
      </c>
      <c r="AO102" s="349" t="s">
        <v>1143</v>
      </c>
      <c r="AP102" s="349" t="s">
        <v>1144</v>
      </c>
      <c r="AQ102" s="349" t="s">
        <v>1145</v>
      </c>
      <c r="AR102" s="349" t="s">
        <v>1146</v>
      </c>
      <c r="AS102" s="349" t="s">
        <v>1147</v>
      </c>
      <c r="AT102" s="349" t="s">
        <v>1176</v>
      </c>
      <c r="AU102" s="349" t="s">
        <v>1247</v>
      </c>
      <c r="AV102" s="349" t="s">
        <v>1293</v>
      </c>
      <c r="AW102" s="349" t="s">
        <v>1291</v>
      </c>
      <c r="AX102" s="349" t="s">
        <v>1294</v>
      </c>
      <c r="AY102" s="349" t="s">
        <v>1295</v>
      </c>
      <c r="AZ102" s="349" t="s">
        <v>1372</v>
      </c>
      <c r="BA102" s="349" t="s">
        <v>1373</v>
      </c>
      <c r="BB102" s="349" t="s">
        <v>1481</v>
      </c>
    </row>
    <row r="103" spans="1:54">
      <c r="A103" s="349" t="s">
        <v>612</v>
      </c>
      <c r="B103" s="279" t="str">
        <f>IF(AND(お客様情報!$E$2="通常DSPA",入力フォームDSPA!$D$97&lt;&gt;"",COUNTIF(お客様情報!$R$34:$R$38,"D-SPA1")&gt;0),4,"")</f>
        <v/>
      </c>
      <c r="C103" s="278" t="str">
        <f>IFERROR(VLOOKUP("D-SPA"&amp;1,お客様情報!$R$34:$U$38,4,FALSE),"")</f>
        <v/>
      </c>
      <c r="D103" s="278">
        <v>1</v>
      </c>
      <c r="E103" s="278">
        <v>1</v>
      </c>
      <c r="F103" s="278" t="str">
        <f>IF(入力フォームDSPA!AG97="初年度",TEXT(中間データDSPA!G4,"YYYY-MM-DD"),"")</f>
        <v/>
      </c>
      <c r="G103" s="278" t="str">
        <f>LEFT(入力フォームDSPA!BJ97,1)</f>
        <v/>
      </c>
      <c r="H103" s="314"/>
      <c r="I103" s="314"/>
      <c r="J103" s="556" t="str">
        <f>IF(入力フォームDSPA!AZ156="はい/お客様アドレス",入力フォームDSPA!AG40,"")</f>
        <v/>
      </c>
      <c r="K103" s="556" t="str">
        <f>IF(入力フォームDSPA!AZ156="はい/通知先記入",入力フォームDSPA!BR156,"")</f>
        <v/>
      </c>
      <c r="L103" s="314"/>
      <c r="M103" s="278" t="str">
        <f>IF(入力フォームDSPA!AL97&lt;&gt;"",入力フォームDSPA!AL97,"")</f>
        <v/>
      </c>
      <c r="N103" s="314"/>
      <c r="O103" s="314"/>
      <c r="P103" s="314"/>
      <c r="Q103" s="278" t="str">
        <f>IF(入力フォームDSPA!R116="A表に同じ",入力フォームDSPA!$M$33&amp;入力フォームDSPA!$AD$33&amp;入力フォームDSPA!$AU$33&amp;入力フォームDSPA!$M$35&amp;入力フォームDSPA!$AM$35&amp;"（"&amp;お客様情報!K8&amp;"内）",IF(入力フォームDSPA!R116="A表と異なる",入力フォームDSPA!BI116&amp;入力フォームDSPA!BN116&amp;入力フォームDSPA!BS116&amp;入力フォームDSPA!CA116&amp;入力フォームDSPA!CM116&amp;"（"&amp;入力フォームDSPA!Z116&amp;"内）",""))</f>
        <v/>
      </c>
      <c r="R103" s="278" t="str">
        <f>IF(ISBLANK(入力フォームDSPA!L97),"",IF(入力フォームDSPA!W97="コールドスタンバイ",入力フォームDSPA!L97&amp;" (コールドスタンバイ)",入力フォームDSPA!L97))</f>
        <v/>
      </c>
      <c r="S103" s="278" t="e">
        <f>IF(お客様情報!$N$64="","",お客様情報!$N$64)</f>
        <v>#N/A</v>
      </c>
      <c r="T103" s="278" t="e">
        <f>IF(お客様情報!$N$65="","",お客様情報!$N$65)</f>
        <v>#N/A</v>
      </c>
      <c r="U103" s="278"/>
      <c r="V103" s="278" t="str">
        <f>IF(OR(入力フォームDSPA!AE78="",入力フォームDSPA!AE78="なし"),"",IF(COUNTIF(入力フォームDSPA!AE78,"*倍量*")&gt;0,"HDD拡充倍量オプション","HDD拡充オプション"))</f>
        <v/>
      </c>
      <c r="W103" s="278" t="str">
        <f>IF(OR(入力フォームDSPA!BM78="",入力フォームDSPA!BM78="なし"),"","追加ﾈｯﾄﾜｰｸ・ｲﾝﾀｰﾌｪｰｽ・ｵﾌﾟｼｮﾝ")</f>
        <v/>
      </c>
      <c r="X103" s="278" t="str">
        <f>IF(OR(入力フォームDSPA!CD78="",入力フォームDSPA!CD78="なし"),"","電源冗長化オプション")</f>
        <v/>
      </c>
      <c r="Y103" s="278" t="str">
        <f>IF(OR(入力フォームDSPA!CU78="",入力フォームDSPA!CU78="なし"),"",VLOOKUP(入力フォームDSPA!CU78,中間データDSPA!$B$93:$C$97,2,FALSE))</f>
        <v/>
      </c>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4"/>
      <c r="BA103" s="314"/>
      <c r="BB103" s="314"/>
    </row>
    <row r="104" spans="1:54">
      <c r="A104" s="349" t="s">
        <v>586</v>
      </c>
      <c r="B104" s="349" t="s">
        <v>634</v>
      </c>
      <c r="C104" s="349" t="s">
        <v>620</v>
      </c>
      <c r="D104" s="349" t="s">
        <v>621</v>
      </c>
      <c r="E104" s="349" t="s">
        <v>622</v>
      </c>
      <c r="F104" s="349" t="s">
        <v>614</v>
      </c>
      <c r="G104" s="349" t="s">
        <v>623</v>
      </c>
      <c r="H104" s="349" t="s">
        <v>624</v>
      </c>
      <c r="I104" s="349" t="s">
        <v>625</v>
      </c>
      <c r="J104" s="349" t="s">
        <v>626</v>
      </c>
      <c r="K104" s="349" t="s">
        <v>627</v>
      </c>
      <c r="L104" s="349" t="s">
        <v>628</v>
      </c>
      <c r="M104" s="349" t="s">
        <v>629</v>
      </c>
      <c r="N104" s="349" t="s">
        <v>630</v>
      </c>
      <c r="O104" s="349" t="s">
        <v>631</v>
      </c>
      <c r="P104" s="349" t="s">
        <v>632</v>
      </c>
      <c r="Q104" s="349" t="s">
        <v>633</v>
      </c>
      <c r="R104" s="349" t="s">
        <v>1116</v>
      </c>
      <c r="S104" s="349" t="s">
        <v>701</v>
      </c>
      <c r="T104" s="349" t="s">
        <v>702</v>
      </c>
      <c r="U104" s="349" t="s">
        <v>699</v>
      </c>
      <c r="V104" s="349" t="s">
        <v>700</v>
      </c>
      <c r="W104" s="349" t="s">
        <v>822</v>
      </c>
      <c r="X104" s="349" t="s">
        <v>880</v>
      </c>
      <c r="Y104" s="349" t="s">
        <v>1118</v>
      </c>
      <c r="Z104" s="349" t="s">
        <v>1124</v>
      </c>
      <c r="AA104" s="349" t="s">
        <v>1125</v>
      </c>
      <c r="AB104" s="349" t="s">
        <v>1126</v>
      </c>
      <c r="AC104" s="349" t="s">
        <v>1127</v>
      </c>
      <c r="AD104" s="349" t="s">
        <v>1128</v>
      </c>
      <c r="AE104" s="349" t="s">
        <v>737</v>
      </c>
      <c r="AF104" s="349" t="s">
        <v>741</v>
      </c>
      <c r="AG104" s="349" t="s">
        <v>745</v>
      </c>
      <c r="AH104" s="349" t="s">
        <v>746</v>
      </c>
      <c r="AI104" s="349" t="s">
        <v>748</v>
      </c>
      <c r="AJ104" s="349" t="s">
        <v>747</v>
      </c>
      <c r="AK104" s="349" t="s">
        <v>1096</v>
      </c>
      <c r="AL104" s="349" t="s">
        <v>1140</v>
      </c>
      <c r="AM104" s="349" t="s">
        <v>1141</v>
      </c>
      <c r="AN104" s="349" t="s">
        <v>1142</v>
      </c>
      <c r="AO104" s="349" t="s">
        <v>1143</v>
      </c>
      <c r="AP104" s="349" t="s">
        <v>1144</v>
      </c>
      <c r="AQ104" s="349" t="s">
        <v>1145</v>
      </c>
      <c r="AR104" s="349" t="s">
        <v>1146</v>
      </c>
      <c r="AS104" s="349" t="s">
        <v>1147</v>
      </c>
      <c r="AT104" s="349" t="s">
        <v>1176</v>
      </c>
      <c r="AU104" s="349" t="s">
        <v>1247</v>
      </c>
      <c r="AV104" s="349" t="s">
        <v>1293</v>
      </c>
      <c r="AW104" s="349" t="s">
        <v>1291</v>
      </c>
      <c r="AX104" s="349" t="s">
        <v>1294</v>
      </c>
      <c r="AY104" s="349" t="s">
        <v>1295</v>
      </c>
      <c r="AZ104" s="349" t="s">
        <v>1372</v>
      </c>
      <c r="BA104" s="349" t="s">
        <v>1373</v>
      </c>
      <c r="BB104" s="349" t="s">
        <v>1481</v>
      </c>
    </row>
    <row r="105" spans="1:54">
      <c r="A105" s="349" t="s">
        <v>612</v>
      </c>
      <c r="B105" s="552"/>
      <c r="C105" s="278" t="str">
        <f>IFERROR(VLOOKUP("D-SPA"&amp;2,お客様情報!$R$34:$U$38,4,FALSE),"")</f>
        <v/>
      </c>
      <c r="D105" s="278">
        <f>D$103</f>
        <v>1</v>
      </c>
      <c r="E105" s="278">
        <v>1</v>
      </c>
      <c r="F105" s="278" t="str">
        <f>F$103</f>
        <v/>
      </c>
      <c r="G105" s="278" t="str">
        <f>G$103</f>
        <v/>
      </c>
      <c r="H105" s="314"/>
      <c r="I105" s="314"/>
      <c r="J105" s="556" t="str">
        <f>J$103</f>
        <v/>
      </c>
      <c r="K105" s="556" t="str">
        <f>K$103</f>
        <v/>
      </c>
      <c r="L105" s="314"/>
      <c r="M105" s="278" t="str">
        <f>M$103</f>
        <v/>
      </c>
      <c r="N105" s="314"/>
      <c r="O105" s="314"/>
      <c r="P105" s="314"/>
      <c r="Q105" s="278" t="str">
        <f t="shared" ref="Q105:Y105" si="9">Q$103</f>
        <v/>
      </c>
      <c r="R105" s="278" t="str">
        <f t="shared" si="9"/>
        <v/>
      </c>
      <c r="S105" s="278" t="e">
        <f t="shared" si="9"/>
        <v>#N/A</v>
      </c>
      <c r="T105" s="278" t="e">
        <f t="shared" si="9"/>
        <v>#N/A</v>
      </c>
      <c r="U105" s="278"/>
      <c r="V105" s="278" t="str">
        <f t="shared" si="9"/>
        <v/>
      </c>
      <c r="W105" s="286" t="str">
        <f t="shared" si="9"/>
        <v/>
      </c>
      <c r="X105" s="278" t="str">
        <f t="shared" si="9"/>
        <v/>
      </c>
      <c r="Y105" s="278" t="str">
        <f t="shared" si="9"/>
        <v/>
      </c>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row>
    <row r="106" spans="1:54">
      <c r="A106" s="349" t="s">
        <v>586</v>
      </c>
      <c r="B106" s="349" t="s">
        <v>634</v>
      </c>
      <c r="C106" s="349" t="s">
        <v>620</v>
      </c>
      <c r="D106" s="349" t="s">
        <v>621</v>
      </c>
      <c r="E106" s="349" t="s">
        <v>622</v>
      </c>
      <c r="F106" s="349" t="s">
        <v>614</v>
      </c>
      <c r="G106" s="349" t="s">
        <v>623</v>
      </c>
      <c r="H106" s="349" t="s">
        <v>624</v>
      </c>
      <c r="I106" s="349" t="s">
        <v>625</v>
      </c>
      <c r="J106" s="349" t="s">
        <v>626</v>
      </c>
      <c r="K106" s="349" t="s">
        <v>627</v>
      </c>
      <c r="L106" s="349" t="s">
        <v>628</v>
      </c>
      <c r="M106" s="349" t="s">
        <v>629</v>
      </c>
      <c r="N106" s="349" t="s">
        <v>630</v>
      </c>
      <c r="O106" s="349" t="s">
        <v>631</v>
      </c>
      <c r="P106" s="349" t="s">
        <v>632</v>
      </c>
      <c r="Q106" s="349" t="s">
        <v>633</v>
      </c>
      <c r="R106" s="349" t="s">
        <v>1116</v>
      </c>
      <c r="S106" s="349" t="s">
        <v>701</v>
      </c>
      <c r="T106" s="349" t="s">
        <v>702</v>
      </c>
      <c r="U106" s="349" t="s">
        <v>699</v>
      </c>
      <c r="V106" s="349" t="s">
        <v>700</v>
      </c>
      <c r="W106" s="349" t="s">
        <v>822</v>
      </c>
      <c r="X106" s="349" t="s">
        <v>880</v>
      </c>
      <c r="Y106" s="349" t="s">
        <v>1118</v>
      </c>
      <c r="Z106" s="349" t="s">
        <v>1124</v>
      </c>
      <c r="AA106" s="349" t="s">
        <v>1125</v>
      </c>
      <c r="AB106" s="349" t="s">
        <v>1126</v>
      </c>
      <c r="AC106" s="349" t="s">
        <v>1127</v>
      </c>
      <c r="AD106" s="349" t="s">
        <v>1128</v>
      </c>
      <c r="AE106" s="349" t="s">
        <v>737</v>
      </c>
      <c r="AF106" s="349" t="s">
        <v>741</v>
      </c>
      <c r="AG106" s="349" t="s">
        <v>745</v>
      </c>
      <c r="AH106" s="349" t="s">
        <v>746</v>
      </c>
      <c r="AI106" s="349" t="s">
        <v>748</v>
      </c>
      <c r="AJ106" s="349" t="s">
        <v>747</v>
      </c>
      <c r="AK106" s="349" t="s">
        <v>1096</v>
      </c>
      <c r="AL106" s="349" t="s">
        <v>1140</v>
      </c>
      <c r="AM106" s="349" t="s">
        <v>1141</v>
      </c>
      <c r="AN106" s="349" t="s">
        <v>1142</v>
      </c>
      <c r="AO106" s="349" t="s">
        <v>1143</v>
      </c>
      <c r="AP106" s="349" t="s">
        <v>1144</v>
      </c>
      <c r="AQ106" s="349" t="s">
        <v>1145</v>
      </c>
      <c r="AR106" s="349" t="s">
        <v>1146</v>
      </c>
      <c r="AS106" s="349" t="s">
        <v>1147</v>
      </c>
      <c r="AT106" s="349" t="s">
        <v>1176</v>
      </c>
      <c r="AU106" s="349" t="s">
        <v>1247</v>
      </c>
      <c r="AV106" s="349" t="s">
        <v>1293</v>
      </c>
      <c r="AW106" s="349" t="s">
        <v>1291</v>
      </c>
      <c r="AX106" s="349" t="s">
        <v>1294</v>
      </c>
      <c r="AY106" s="349" t="s">
        <v>1295</v>
      </c>
      <c r="AZ106" s="349" t="s">
        <v>1372</v>
      </c>
      <c r="BA106" s="349" t="s">
        <v>1373</v>
      </c>
      <c r="BB106" s="349" t="s">
        <v>1481</v>
      </c>
    </row>
    <row r="107" spans="1:54">
      <c r="A107" s="349" t="s">
        <v>612</v>
      </c>
      <c r="B107" s="552"/>
      <c r="C107" s="278" t="str">
        <f>IFERROR(VLOOKUP("D-SPA"&amp;3,お客様情報!$R$34:$U$38,4,FALSE),"")</f>
        <v/>
      </c>
      <c r="D107" s="278">
        <f>D$103</f>
        <v>1</v>
      </c>
      <c r="E107" s="278">
        <v>1</v>
      </c>
      <c r="F107" s="278" t="str">
        <f>F$103</f>
        <v/>
      </c>
      <c r="G107" s="278" t="str">
        <f>G$103</f>
        <v/>
      </c>
      <c r="H107" s="314"/>
      <c r="I107" s="314"/>
      <c r="J107" s="556" t="str">
        <f>J$103</f>
        <v/>
      </c>
      <c r="K107" s="556" t="str">
        <f>K$103</f>
        <v/>
      </c>
      <c r="L107" s="314"/>
      <c r="M107" s="278" t="str">
        <f>M$103</f>
        <v/>
      </c>
      <c r="N107" s="314"/>
      <c r="O107" s="314"/>
      <c r="P107" s="314"/>
      <c r="Q107" s="278" t="str">
        <f t="shared" ref="Q107:Y107" si="10">Q$103</f>
        <v/>
      </c>
      <c r="R107" s="278" t="str">
        <f t="shared" si="10"/>
        <v/>
      </c>
      <c r="S107" s="278" t="e">
        <f t="shared" si="10"/>
        <v>#N/A</v>
      </c>
      <c r="T107" s="278" t="e">
        <f t="shared" si="10"/>
        <v>#N/A</v>
      </c>
      <c r="U107" s="278"/>
      <c r="V107" s="278" t="str">
        <f t="shared" si="10"/>
        <v/>
      </c>
      <c r="W107" s="286" t="str">
        <f t="shared" si="10"/>
        <v/>
      </c>
      <c r="X107" s="278" t="str">
        <f t="shared" si="10"/>
        <v/>
      </c>
      <c r="Y107" s="278" t="str">
        <f t="shared" si="10"/>
        <v/>
      </c>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row>
    <row r="108" spans="1:54">
      <c r="A108" s="349" t="s">
        <v>586</v>
      </c>
      <c r="B108" s="349" t="s">
        <v>634</v>
      </c>
      <c r="C108" s="349" t="s">
        <v>620</v>
      </c>
      <c r="D108" s="349" t="s">
        <v>621</v>
      </c>
      <c r="E108" s="349" t="s">
        <v>622</v>
      </c>
      <c r="F108" s="349" t="s">
        <v>614</v>
      </c>
      <c r="G108" s="349" t="s">
        <v>623</v>
      </c>
      <c r="H108" s="349" t="s">
        <v>624</v>
      </c>
      <c r="I108" s="349" t="s">
        <v>625</v>
      </c>
      <c r="J108" s="349" t="s">
        <v>626</v>
      </c>
      <c r="K108" s="349" t="s">
        <v>627</v>
      </c>
      <c r="L108" s="349" t="s">
        <v>628</v>
      </c>
      <c r="M108" s="349" t="s">
        <v>629</v>
      </c>
      <c r="N108" s="349" t="s">
        <v>630</v>
      </c>
      <c r="O108" s="349" t="s">
        <v>631</v>
      </c>
      <c r="P108" s="349" t="s">
        <v>632</v>
      </c>
      <c r="Q108" s="349" t="s">
        <v>633</v>
      </c>
      <c r="R108" s="349" t="s">
        <v>1116</v>
      </c>
      <c r="S108" s="349" t="s">
        <v>701</v>
      </c>
      <c r="T108" s="349" t="s">
        <v>702</v>
      </c>
      <c r="U108" s="349" t="s">
        <v>699</v>
      </c>
      <c r="V108" s="349" t="s">
        <v>700</v>
      </c>
      <c r="W108" s="349" t="s">
        <v>822</v>
      </c>
      <c r="X108" s="349" t="s">
        <v>880</v>
      </c>
      <c r="Y108" s="349" t="s">
        <v>1118</v>
      </c>
      <c r="Z108" s="349" t="s">
        <v>1124</v>
      </c>
      <c r="AA108" s="349" t="s">
        <v>1125</v>
      </c>
      <c r="AB108" s="349" t="s">
        <v>1126</v>
      </c>
      <c r="AC108" s="349" t="s">
        <v>1127</v>
      </c>
      <c r="AD108" s="349" t="s">
        <v>1128</v>
      </c>
      <c r="AE108" s="349" t="s">
        <v>737</v>
      </c>
      <c r="AF108" s="349" t="s">
        <v>741</v>
      </c>
      <c r="AG108" s="349" t="s">
        <v>745</v>
      </c>
      <c r="AH108" s="349" t="s">
        <v>746</v>
      </c>
      <c r="AI108" s="349" t="s">
        <v>748</v>
      </c>
      <c r="AJ108" s="349" t="s">
        <v>747</v>
      </c>
      <c r="AK108" s="349" t="s">
        <v>1096</v>
      </c>
      <c r="AL108" s="349" t="s">
        <v>1140</v>
      </c>
      <c r="AM108" s="349" t="s">
        <v>1141</v>
      </c>
      <c r="AN108" s="349" t="s">
        <v>1142</v>
      </c>
      <c r="AO108" s="349" t="s">
        <v>1143</v>
      </c>
      <c r="AP108" s="349" t="s">
        <v>1144</v>
      </c>
      <c r="AQ108" s="349" t="s">
        <v>1145</v>
      </c>
      <c r="AR108" s="349" t="s">
        <v>1146</v>
      </c>
      <c r="AS108" s="349" t="s">
        <v>1147</v>
      </c>
      <c r="AT108" s="349" t="s">
        <v>1176</v>
      </c>
      <c r="AU108" s="349" t="s">
        <v>1247</v>
      </c>
      <c r="AV108" s="349" t="s">
        <v>1293</v>
      </c>
      <c r="AW108" s="349" t="s">
        <v>1291</v>
      </c>
      <c r="AX108" s="349" t="s">
        <v>1294</v>
      </c>
      <c r="AY108" s="349" t="s">
        <v>1295</v>
      </c>
      <c r="AZ108" s="349" t="s">
        <v>1372</v>
      </c>
      <c r="BA108" s="349" t="s">
        <v>1373</v>
      </c>
      <c r="BB108" s="349" t="s">
        <v>1481</v>
      </c>
    </row>
    <row r="109" spans="1:54">
      <c r="A109" s="349" t="s">
        <v>612</v>
      </c>
      <c r="B109" s="552"/>
      <c r="C109" s="278" t="str">
        <f>IFERROR(VLOOKUP("D-SPA"&amp;4,お客様情報!$R$34:$U$38,4,FALSE),"")</f>
        <v/>
      </c>
      <c r="D109" s="278">
        <f>D$103</f>
        <v>1</v>
      </c>
      <c r="E109" s="278">
        <v>1</v>
      </c>
      <c r="F109" s="278" t="str">
        <f>F$103</f>
        <v/>
      </c>
      <c r="G109" s="278" t="str">
        <f>G$103</f>
        <v/>
      </c>
      <c r="H109" s="314"/>
      <c r="I109" s="314"/>
      <c r="J109" s="556" t="str">
        <f>J$103</f>
        <v/>
      </c>
      <c r="K109" s="556" t="str">
        <f>K$103</f>
        <v/>
      </c>
      <c r="L109" s="314"/>
      <c r="M109" s="278" t="str">
        <f>M$103</f>
        <v/>
      </c>
      <c r="N109" s="314"/>
      <c r="O109" s="314"/>
      <c r="P109" s="314"/>
      <c r="Q109" s="278" t="str">
        <f t="shared" ref="Q109:Y109" si="11">Q$103</f>
        <v/>
      </c>
      <c r="R109" s="278" t="str">
        <f t="shared" si="11"/>
        <v/>
      </c>
      <c r="S109" s="278" t="e">
        <f t="shared" si="11"/>
        <v>#N/A</v>
      </c>
      <c r="T109" s="278" t="e">
        <f t="shared" si="11"/>
        <v>#N/A</v>
      </c>
      <c r="U109" s="278"/>
      <c r="V109" s="278" t="str">
        <f t="shared" si="11"/>
        <v/>
      </c>
      <c r="W109" s="286" t="str">
        <f t="shared" si="11"/>
        <v/>
      </c>
      <c r="X109" s="278" t="str">
        <f t="shared" si="11"/>
        <v/>
      </c>
      <c r="Y109" s="278" t="str">
        <f t="shared" si="11"/>
        <v/>
      </c>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row>
    <row r="110" spans="1:54">
      <c r="A110" s="349" t="s">
        <v>586</v>
      </c>
      <c r="B110" s="349" t="s">
        <v>634</v>
      </c>
      <c r="C110" s="349" t="s">
        <v>620</v>
      </c>
      <c r="D110" s="349" t="s">
        <v>621</v>
      </c>
      <c r="E110" s="349" t="s">
        <v>622</v>
      </c>
      <c r="F110" s="349" t="s">
        <v>614</v>
      </c>
      <c r="G110" s="349" t="s">
        <v>623</v>
      </c>
      <c r="H110" s="349" t="s">
        <v>624</v>
      </c>
      <c r="I110" s="349" t="s">
        <v>625</v>
      </c>
      <c r="J110" s="349" t="s">
        <v>626</v>
      </c>
      <c r="K110" s="349" t="s">
        <v>627</v>
      </c>
      <c r="L110" s="349" t="s">
        <v>628</v>
      </c>
      <c r="M110" s="349" t="s">
        <v>629</v>
      </c>
      <c r="N110" s="349" t="s">
        <v>630</v>
      </c>
      <c r="O110" s="349" t="s">
        <v>631</v>
      </c>
      <c r="P110" s="349" t="s">
        <v>632</v>
      </c>
      <c r="Q110" s="349" t="s">
        <v>633</v>
      </c>
      <c r="R110" s="349" t="s">
        <v>1116</v>
      </c>
      <c r="S110" s="349" t="s">
        <v>701</v>
      </c>
      <c r="T110" s="349" t="s">
        <v>702</v>
      </c>
      <c r="U110" s="349" t="s">
        <v>699</v>
      </c>
      <c r="V110" s="349" t="s">
        <v>700</v>
      </c>
      <c r="W110" s="349" t="s">
        <v>822</v>
      </c>
      <c r="X110" s="349" t="s">
        <v>880</v>
      </c>
      <c r="Y110" s="349" t="s">
        <v>1118</v>
      </c>
      <c r="Z110" s="349" t="s">
        <v>1124</v>
      </c>
      <c r="AA110" s="349" t="s">
        <v>1125</v>
      </c>
      <c r="AB110" s="349" t="s">
        <v>1126</v>
      </c>
      <c r="AC110" s="349" t="s">
        <v>1127</v>
      </c>
      <c r="AD110" s="349" t="s">
        <v>1128</v>
      </c>
      <c r="AE110" s="349" t="s">
        <v>737</v>
      </c>
      <c r="AF110" s="349" t="s">
        <v>741</v>
      </c>
      <c r="AG110" s="349" t="s">
        <v>745</v>
      </c>
      <c r="AH110" s="349" t="s">
        <v>746</v>
      </c>
      <c r="AI110" s="349" t="s">
        <v>748</v>
      </c>
      <c r="AJ110" s="349" t="s">
        <v>747</v>
      </c>
      <c r="AK110" s="349" t="s">
        <v>1096</v>
      </c>
      <c r="AL110" s="349" t="s">
        <v>1140</v>
      </c>
      <c r="AM110" s="349" t="s">
        <v>1141</v>
      </c>
      <c r="AN110" s="349" t="s">
        <v>1142</v>
      </c>
      <c r="AO110" s="349" t="s">
        <v>1143</v>
      </c>
      <c r="AP110" s="349" t="s">
        <v>1144</v>
      </c>
      <c r="AQ110" s="349" t="s">
        <v>1145</v>
      </c>
      <c r="AR110" s="349" t="s">
        <v>1146</v>
      </c>
      <c r="AS110" s="349" t="s">
        <v>1147</v>
      </c>
      <c r="AT110" s="349" t="s">
        <v>1176</v>
      </c>
      <c r="AU110" s="349" t="s">
        <v>1247</v>
      </c>
      <c r="AV110" s="349" t="s">
        <v>1293</v>
      </c>
      <c r="AW110" s="349" t="s">
        <v>1291</v>
      </c>
      <c r="AX110" s="349" t="s">
        <v>1294</v>
      </c>
      <c r="AY110" s="349" t="s">
        <v>1295</v>
      </c>
      <c r="AZ110" s="349" t="s">
        <v>1372</v>
      </c>
      <c r="BA110" s="349" t="s">
        <v>1373</v>
      </c>
      <c r="BB110" s="349" t="s">
        <v>1481</v>
      </c>
    </row>
    <row r="111" spans="1:54">
      <c r="A111" s="349" t="s">
        <v>612</v>
      </c>
      <c r="B111" s="552"/>
      <c r="C111" s="278" t="str">
        <f>IFERROR(VLOOKUP("D-SPA"&amp;5,お客様情報!$R$34:$U$38,4,FALSE),"")</f>
        <v/>
      </c>
      <c r="D111" s="278">
        <f>D$103</f>
        <v>1</v>
      </c>
      <c r="E111" s="278">
        <v>1</v>
      </c>
      <c r="F111" s="278" t="str">
        <f>F$103</f>
        <v/>
      </c>
      <c r="G111" s="278" t="str">
        <f>G$103</f>
        <v/>
      </c>
      <c r="H111" s="314"/>
      <c r="I111" s="314"/>
      <c r="J111" s="556" t="str">
        <f>J$103</f>
        <v/>
      </c>
      <c r="K111" s="556" t="str">
        <f>K$103</f>
        <v/>
      </c>
      <c r="L111" s="314"/>
      <c r="M111" s="278" t="str">
        <f>M$103</f>
        <v/>
      </c>
      <c r="N111" s="314"/>
      <c r="O111" s="314"/>
      <c r="P111" s="314"/>
      <c r="Q111" s="278" t="str">
        <f t="shared" ref="Q111:Y111" si="12">Q$103</f>
        <v/>
      </c>
      <c r="R111" s="278" t="str">
        <f t="shared" si="12"/>
        <v/>
      </c>
      <c r="S111" s="278" t="e">
        <f t="shared" si="12"/>
        <v>#N/A</v>
      </c>
      <c r="T111" s="278" t="e">
        <f t="shared" si="12"/>
        <v>#N/A</v>
      </c>
      <c r="U111" s="278"/>
      <c r="V111" s="278" t="str">
        <f t="shared" si="12"/>
        <v/>
      </c>
      <c r="W111" s="286" t="str">
        <f t="shared" si="12"/>
        <v/>
      </c>
      <c r="X111" s="278" t="str">
        <f t="shared" si="12"/>
        <v/>
      </c>
      <c r="Y111" s="278" t="str">
        <f t="shared" si="12"/>
        <v/>
      </c>
      <c r="Z111" s="314"/>
      <c r="AA111" s="314"/>
      <c r="AB111" s="314"/>
      <c r="AC111" s="314"/>
      <c r="AD111" s="314"/>
      <c r="AE111" s="314"/>
      <c r="AF111" s="314"/>
      <c r="AG111" s="314"/>
      <c r="AH111" s="314"/>
      <c r="AI111" s="314"/>
      <c r="AJ111" s="314"/>
      <c r="AK111" s="314"/>
      <c r="AL111" s="314"/>
      <c r="AM111" s="314"/>
      <c r="AN111" s="314"/>
      <c r="AO111" s="314"/>
      <c r="AP111" s="314"/>
      <c r="AQ111" s="314"/>
      <c r="AR111" s="314"/>
      <c r="AS111" s="314"/>
      <c r="AT111" s="314"/>
      <c r="AU111" s="314"/>
      <c r="AV111" s="314"/>
      <c r="AW111" s="314"/>
      <c r="AX111" s="314"/>
      <c r="AY111" s="314"/>
      <c r="AZ111" s="314"/>
      <c r="BA111" s="314"/>
      <c r="BB111" s="314"/>
    </row>
    <row r="112" spans="1:54">
      <c r="A112" s="350" t="s">
        <v>586</v>
      </c>
      <c r="B112" s="350" t="s">
        <v>634</v>
      </c>
      <c r="C112" s="350" t="s">
        <v>620</v>
      </c>
      <c r="D112" s="350" t="s">
        <v>621</v>
      </c>
      <c r="E112" s="350" t="s">
        <v>622</v>
      </c>
      <c r="F112" s="350" t="s">
        <v>614</v>
      </c>
      <c r="G112" s="350" t="s">
        <v>623</v>
      </c>
      <c r="H112" s="350" t="s">
        <v>624</v>
      </c>
      <c r="I112" s="350" t="s">
        <v>625</v>
      </c>
      <c r="J112" s="350" t="s">
        <v>626</v>
      </c>
      <c r="K112" s="350" t="s">
        <v>627</v>
      </c>
      <c r="L112" s="350" t="s">
        <v>628</v>
      </c>
      <c r="M112" s="350" t="s">
        <v>629</v>
      </c>
      <c r="N112" s="350" t="s">
        <v>630</v>
      </c>
      <c r="O112" s="350" t="s">
        <v>631</v>
      </c>
      <c r="P112" s="350" t="s">
        <v>632</v>
      </c>
      <c r="Q112" s="350" t="s">
        <v>633</v>
      </c>
      <c r="R112" s="350" t="s">
        <v>1116</v>
      </c>
      <c r="S112" s="350" t="s">
        <v>701</v>
      </c>
      <c r="T112" s="350" t="s">
        <v>702</v>
      </c>
      <c r="U112" s="350" t="s">
        <v>699</v>
      </c>
      <c r="V112" s="350" t="s">
        <v>700</v>
      </c>
      <c r="W112" s="350" t="s">
        <v>822</v>
      </c>
      <c r="X112" s="350" t="s">
        <v>880</v>
      </c>
      <c r="Y112" s="350" t="s">
        <v>1118</v>
      </c>
      <c r="Z112" s="350" t="s">
        <v>1124</v>
      </c>
      <c r="AA112" s="350" t="s">
        <v>1125</v>
      </c>
      <c r="AB112" s="350" t="s">
        <v>1126</v>
      </c>
      <c r="AC112" s="350" t="s">
        <v>1127</v>
      </c>
      <c r="AD112" s="350" t="s">
        <v>1128</v>
      </c>
      <c r="AE112" s="350" t="s">
        <v>737</v>
      </c>
      <c r="AF112" s="350" t="s">
        <v>741</v>
      </c>
      <c r="AG112" s="350" t="s">
        <v>745</v>
      </c>
      <c r="AH112" s="350" t="s">
        <v>746</v>
      </c>
      <c r="AI112" s="350" t="s">
        <v>748</v>
      </c>
      <c r="AJ112" s="350" t="s">
        <v>747</v>
      </c>
      <c r="AK112" s="350" t="s">
        <v>1096</v>
      </c>
      <c r="AL112" s="350" t="s">
        <v>1140</v>
      </c>
      <c r="AM112" s="350" t="s">
        <v>1141</v>
      </c>
      <c r="AN112" s="350" t="s">
        <v>1142</v>
      </c>
      <c r="AO112" s="350" t="s">
        <v>1143</v>
      </c>
      <c r="AP112" s="350" t="s">
        <v>1144</v>
      </c>
      <c r="AQ112" s="350" t="s">
        <v>1145</v>
      </c>
      <c r="AR112" s="350" t="s">
        <v>1146</v>
      </c>
      <c r="AS112" s="350" t="s">
        <v>1147</v>
      </c>
      <c r="AT112" s="350" t="s">
        <v>1176</v>
      </c>
      <c r="AU112" s="350" t="s">
        <v>1247</v>
      </c>
      <c r="AV112" s="350" t="s">
        <v>1293</v>
      </c>
      <c r="AW112" s="350" t="s">
        <v>1291</v>
      </c>
      <c r="AX112" s="350" t="s">
        <v>1294</v>
      </c>
      <c r="AY112" s="350" t="s">
        <v>1295</v>
      </c>
      <c r="AZ112" s="350" t="s">
        <v>1372</v>
      </c>
      <c r="BA112" s="350" t="s">
        <v>1373</v>
      </c>
      <c r="BB112" s="350" t="s">
        <v>1481</v>
      </c>
    </row>
    <row r="113" spans="1:54">
      <c r="A113" s="350" t="s">
        <v>612</v>
      </c>
      <c r="B113" s="552"/>
      <c r="C113" s="278" t="str">
        <f>IFERROR(VLOOKUP("D-SPA"&amp;1,お客様情報!$R$34:$U$38,4,FALSE),"")</f>
        <v/>
      </c>
      <c r="D113" s="278">
        <f>D$103</f>
        <v>1</v>
      </c>
      <c r="E113" s="278">
        <v>1</v>
      </c>
      <c r="F113" s="278" t="str">
        <f>IF(入力フォームDSPA!AG97="初年度",TEXT(中間データDSPA!G4,"YYYY-MM-DD"),"")</f>
        <v/>
      </c>
      <c r="G113" s="278" t="str">
        <f>LEFT(入力フォームDSPA!BJ97,1)</f>
        <v/>
      </c>
      <c r="H113" s="314"/>
      <c r="I113" s="314"/>
      <c r="J113" s="556" t="str">
        <f>IF(入力フォームDSPA!AZ156="はい/お客様アドレス",入力フォームDSPA!AG40,"")</f>
        <v/>
      </c>
      <c r="K113" s="556" t="str">
        <f>IF(入力フォームDSPA!AZ156="はい/通知先記入",入力フォームDSPA!BR156,"")</f>
        <v/>
      </c>
      <c r="L113" s="314"/>
      <c r="M113" s="278" t="str">
        <f>IF(入力フォームDSPA!AL99&lt;&gt;"",入力フォームDSPA!AL99,"")</f>
        <v/>
      </c>
      <c r="N113" s="314"/>
      <c r="O113" s="314"/>
      <c r="P113" s="314"/>
      <c r="Q113" s="278" t="str">
        <f>IF(入力フォームDSPA!R118="A表に同じ",入力フォームDSPA!$M$33&amp;入力フォームDSPA!$AD$33&amp;入力フォームDSPA!$AU$33&amp;入力フォームDSPA!$M$35&amp;入力フォームDSPA!$AM$35&amp;"（"&amp;お客様情報!K8&amp;"内）",IF(入力フォームDSPA!R118="A表と異なる",入力フォームDSPA!BI118&amp;入力フォームDSPA!BN118&amp;入力フォームDSPA!BS118&amp;入力フォームDSPA!CA118&amp;入力フォームDSPA!CM118&amp;"（"&amp;入力フォームDSPA!Z118&amp;"内）",""))</f>
        <v/>
      </c>
      <c r="R113" s="278" t="str">
        <f>IF(ISBLANK(入力フォームDSPA!L97),"",IF(入力フォームDSPA!W99="コールドスタンバイ",入力フォームDSPA!L97&amp;" (コールドスタンバイ)",入力フォームDSPA!L97))</f>
        <v/>
      </c>
      <c r="S113" s="278" t="e">
        <f>IF(お客様情報!$N$64="","",お客様情報!$N$64)</f>
        <v>#N/A</v>
      </c>
      <c r="T113" s="278" t="e">
        <f>IF(お客様情報!$N$65="","",お客様情報!$N$65)</f>
        <v>#N/A</v>
      </c>
      <c r="U113" s="278"/>
      <c r="V113" s="278" t="str">
        <f>IF(OR(入力フォームDSPA!AE80="",入力フォームDSPA!AE80="なし"),"",IF(COUNTIF(入力フォームDSPA!AE80,"*倍量*")&gt;0,"HDD拡充倍量オプション","HDD拡充オプション"))</f>
        <v/>
      </c>
      <c r="W113" s="278" t="str">
        <f>IF(OR(入力フォームDSPA!BM80="",入力フォームDSPA!BM80="なし"),"","追加ﾈｯﾄﾜｰｸ・ｲﾝﾀｰﾌｪｰｽ・ｵﾌﾟｼｮﾝ")</f>
        <v/>
      </c>
      <c r="X113" s="278" t="str">
        <f>IF(OR(入力フォームDSPA!CD80="",入力フォームDSPA!CD80="なし"),"","電源冗長化オプション")</f>
        <v/>
      </c>
      <c r="Y113" s="278" t="str">
        <f>IF(OR(入力フォームDSPA!CU80="",入力フォームDSPA!CU80="なし"),"",VLOOKUP(入力フォームDSPA!CU80,中間データDSPA!$B$93:$C$97,2,FALSE))</f>
        <v/>
      </c>
      <c r="Z113" s="314"/>
      <c r="AA113" s="314"/>
      <c r="AB113" s="314"/>
      <c r="AC113" s="314"/>
      <c r="AD113" s="314"/>
      <c r="AE113" s="314"/>
      <c r="AF113" s="314"/>
      <c r="AG113" s="314"/>
      <c r="AH113" s="314"/>
      <c r="AI113" s="314"/>
      <c r="AJ113" s="314"/>
      <c r="AK113" s="314"/>
      <c r="AL113" s="314"/>
      <c r="AM113" s="314"/>
      <c r="AN113" s="314"/>
      <c r="AO113" s="314"/>
      <c r="AP113" s="314"/>
      <c r="AQ113" s="314"/>
      <c r="AR113" s="314"/>
      <c r="AS113" s="314"/>
      <c r="AT113" s="314"/>
      <c r="AU113" s="314"/>
      <c r="AV113" s="314"/>
      <c r="AW113" s="314"/>
      <c r="AX113" s="314"/>
      <c r="AY113" s="314"/>
      <c r="AZ113" s="314"/>
      <c r="BA113" s="314"/>
      <c r="BB113" s="314"/>
    </row>
    <row r="114" spans="1:54">
      <c r="A114" s="350" t="s">
        <v>586</v>
      </c>
      <c r="B114" s="350" t="s">
        <v>634</v>
      </c>
      <c r="C114" s="350" t="s">
        <v>620</v>
      </c>
      <c r="D114" s="350" t="s">
        <v>621</v>
      </c>
      <c r="E114" s="350" t="s">
        <v>622</v>
      </c>
      <c r="F114" s="350" t="s">
        <v>614</v>
      </c>
      <c r="G114" s="350" t="s">
        <v>623</v>
      </c>
      <c r="H114" s="350" t="s">
        <v>624</v>
      </c>
      <c r="I114" s="350" t="s">
        <v>625</v>
      </c>
      <c r="J114" s="350" t="s">
        <v>626</v>
      </c>
      <c r="K114" s="350" t="s">
        <v>627</v>
      </c>
      <c r="L114" s="350" t="s">
        <v>628</v>
      </c>
      <c r="M114" s="350" t="s">
        <v>629</v>
      </c>
      <c r="N114" s="350" t="s">
        <v>630</v>
      </c>
      <c r="O114" s="350" t="s">
        <v>631</v>
      </c>
      <c r="P114" s="350" t="s">
        <v>632</v>
      </c>
      <c r="Q114" s="350" t="s">
        <v>633</v>
      </c>
      <c r="R114" s="350" t="s">
        <v>1116</v>
      </c>
      <c r="S114" s="350" t="s">
        <v>701</v>
      </c>
      <c r="T114" s="350" t="s">
        <v>702</v>
      </c>
      <c r="U114" s="350" t="s">
        <v>699</v>
      </c>
      <c r="V114" s="350" t="s">
        <v>700</v>
      </c>
      <c r="W114" s="350" t="s">
        <v>822</v>
      </c>
      <c r="X114" s="350" t="s">
        <v>880</v>
      </c>
      <c r="Y114" s="350" t="s">
        <v>1118</v>
      </c>
      <c r="Z114" s="350" t="s">
        <v>1124</v>
      </c>
      <c r="AA114" s="350" t="s">
        <v>1125</v>
      </c>
      <c r="AB114" s="350" t="s">
        <v>1126</v>
      </c>
      <c r="AC114" s="350" t="s">
        <v>1127</v>
      </c>
      <c r="AD114" s="350" t="s">
        <v>1128</v>
      </c>
      <c r="AE114" s="350" t="s">
        <v>737</v>
      </c>
      <c r="AF114" s="350" t="s">
        <v>741</v>
      </c>
      <c r="AG114" s="350" t="s">
        <v>745</v>
      </c>
      <c r="AH114" s="350" t="s">
        <v>746</v>
      </c>
      <c r="AI114" s="350" t="s">
        <v>748</v>
      </c>
      <c r="AJ114" s="350" t="s">
        <v>747</v>
      </c>
      <c r="AK114" s="350" t="s">
        <v>1096</v>
      </c>
      <c r="AL114" s="350" t="s">
        <v>1140</v>
      </c>
      <c r="AM114" s="350" t="s">
        <v>1141</v>
      </c>
      <c r="AN114" s="350" t="s">
        <v>1142</v>
      </c>
      <c r="AO114" s="350" t="s">
        <v>1143</v>
      </c>
      <c r="AP114" s="350" t="s">
        <v>1144</v>
      </c>
      <c r="AQ114" s="350" t="s">
        <v>1145</v>
      </c>
      <c r="AR114" s="350" t="s">
        <v>1146</v>
      </c>
      <c r="AS114" s="350" t="s">
        <v>1147</v>
      </c>
      <c r="AT114" s="350" t="s">
        <v>1176</v>
      </c>
      <c r="AU114" s="350" t="s">
        <v>1247</v>
      </c>
      <c r="AV114" s="350" t="s">
        <v>1293</v>
      </c>
      <c r="AW114" s="350" t="s">
        <v>1291</v>
      </c>
      <c r="AX114" s="350" t="s">
        <v>1294</v>
      </c>
      <c r="AY114" s="350" t="s">
        <v>1295</v>
      </c>
      <c r="AZ114" s="350" t="s">
        <v>1372</v>
      </c>
      <c r="BA114" s="350" t="s">
        <v>1373</v>
      </c>
      <c r="BB114" s="350" t="s">
        <v>1481</v>
      </c>
    </row>
    <row r="115" spans="1:54">
      <c r="A115" s="350" t="s">
        <v>612</v>
      </c>
      <c r="B115" s="279" t="str">
        <f>IF(AND(お客様情報!$E$2="通常DSPA",入力フォームDSPA!$D$99&lt;&gt;"",COUNTIF(お客様情報!$R$34:$R$38,"D-SPA2")&gt;0),4,"")</f>
        <v/>
      </c>
      <c r="C115" s="278" t="str">
        <f>IFERROR(VLOOKUP("D-SPA"&amp;2,お客様情報!$R$34:$U$38,4,FALSE),"")</f>
        <v/>
      </c>
      <c r="D115" s="278">
        <f>D$103</f>
        <v>1</v>
      </c>
      <c r="E115" s="278">
        <v>1</v>
      </c>
      <c r="F115" s="278" t="str">
        <f>F$113</f>
        <v/>
      </c>
      <c r="G115" s="278" t="str">
        <f>G$113</f>
        <v/>
      </c>
      <c r="H115" s="314"/>
      <c r="I115" s="314"/>
      <c r="J115" s="556" t="str">
        <f>J$113</f>
        <v/>
      </c>
      <c r="K115" s="556" t="str">
        <f>K113</f>
        <v/>
      </c>
      <c r="L115" s="314"/>
      <c r="M115" s="278" t="str">
        <f>M$113</f>
        <v/>
      </c>
      <c r="N115" s="314"/>
      <c r="O115" s="314"/>
      <c r="P115" s="314"/>
      <c r="Q115" s="278" t="str">
        <f>Q$113</f>
        <v/>
      </c>
      <c r="R115" s="278" t="str">
        <f>R$113</f>
        <v/>
      </c>
      <c r="S115" s="278" t="e">
        <f t="shared" ref="S115:Y115" si="13">S$113</f>
        <v>#N/A</v>
      </c>
      <c r="T115" s="278" t="e">
        <f t="shared" si="13"/>
        <v>#N/A</v>
      </c>
      <c r="U115" s="278"/>
      <c r="V115" s="278" t="str">
        <f t="shared" si="13"/>
        <v/>
      </c>
      <c r="W115" s="286" t="str">
        <f t="shared" si="13"/>
        <v/>
      </c>
      <c r="X115" s="278" t="str">
        <f t="shared" si="13"/>
        <v/>
      </c>
      <c r="Y115" s="278" t="str">
        <f t="shared" si="13"/>
        <v/>
      </c>
      <c r="Z115" s="314"/>
      <c r="AA115" s="314"/>
      <c r="AB115" s="314"/>
      <c r="AC115" s="314"/>
      <c r="AD115" s="314"/>
      <c r="AE115" s="314"/>
      <c r="AF115" s="314"/>
      <c r="AG115" s="314"/>
      <c r="AH115" s="314"/>
      <c r="AI115" s="314"/>
      <c r="AJ115" s="314"/>
      <c r="AK115" s="314"/>
      <c r="AL115" s="314"/>
      <c r="AM115" s="314"/>
      <c r="AN115" s="314"/>
      <c r="AO115" s="314"/>
      <c r="AP115" s="314"/>
      <c r="AQ115" s="314"/>
      <c r="AR115" s="314"/>
      <c r="AS115" s="314"/>
      <c r="AT115" s="314"/>
      <c r="AU115" s="314"/>
      <c r="AV115" s="314"/>
      <c r="AW115" s="314"/>
      <c r="AX115" s="314"/>
      <c r="AY115" s="314"/>
      <c r="AZ115" s="314"/>
      <c r="BA115" s="314"/>
      <c r="BB115" s="314"/>
    </row>
    <row r="116" spans="1:54">
      <c r="A116" s="350" t="s">
        <v>586</v>
      </c>
      <c r="B116" s="350" t="s">
        <v>634</v>
      </c>
      <c r="C116" s="350" t="s">
        <v>620</v>
      </c>
      <c r="D116" s="350" t="s">
        <v>621</v>
      </c>
      <c r="E116" s="350" t="s">
        <v>622</v>
      </c>
      <c r="F116" s="350" t="s">
        <v>614</v>
      </c>
      <c r="G116" s="350" t="s">
        <v>623</v>
      </c>
      <c r="H116" s="350" t="s">
        <v>624</v>
      </c>
      <c r="I116" s="350" t="s">
        <v>625</v>
      </c>
      <c r="J116" s="350" t="s">
        <v>626</v>
      </c>
      <c r="K116" s="350" t="s">
        <v>627</v>
      </c>
      <c r="L116" s="350" t="s">
        <v>628</v>
      </c>
      <c r="M116" s="350" t="s">
        <v>629</v>
      </c>
      <c r="N116" s="350" t="s">
        <v>630</v>
      </c>
      <c r="O116" s="350" t="s">
        <v>631</v>
      </c>
      <c r="P116" s="350" t="s">
        <v>632</v>
      </c>
      <c r="Q116" s="350" t="s">
        <v>633</v>
      </c>
      <c r="R116" s="350" t="s">
        <v>1116</v>
      </c>
      <c r="S116" s="350" t="s">
        <v>701</v>
      </c>
      <c r="T116" s="350" t="s">
        <v>702</v>
      </c>
      <c r="U116" s="350" t="s">
        <v>699</v>
      </c>
      <c r="V116" s="350" t="s">
        <v>700</v>
      </c>
      <c r="W116" s="350" t="s">
        <v>822</v>
      </c>
      <c r="X116" s="350" t="s">
        <v>880</v>
      </c>
      <c r="Y116" s="350" t="s">
        <v>1118</v>
      </c>
      <c r="Z116" s="350" t="s">
        <v>1124</v>
      </c>
      <c r="AA116" s="350" t="s">
        <v>1125</v>
      </c>
      <c r="AB116" s="350" t="s">
        <v>1126</v>
      </c>
      <c r="AC116" s="350" t="s">
        <v>1127</v>
      </c>
      <c r="AD116" s="350" t="s">
        <v>1128</v>
      </c>
      <c r="AE116" s="350" t="s">
        <v>737</v>
      </c>
      <c r="AF116" s="350" t="s">
        <v>741</v>
      </c>
      <c r="AG116" s="350" t="s">
        <v>745</v>
      </c>
      <c r="AH116" s="350" t="s">
        <v>746</v>
      </c>
      <c r="AI116" s="350" t="s">
        <v>748</v>
      </c>
      <c r="AJ116" s="350" t="s">
        <v>747</v>
      </c>
      <c r="AK116" s="350" t="s">
        <v>1096</v>
      </c>
      <c r="AL116" s="350" t="s">
        <v>1140</v>
      </c>
      <c r="AM116" s="350" t="s">
        <v>1141</v>
      </c>
      <c r="AN116" s="350" t="s">
        <v>1142</v>
      </c>
      <c r="AO116" s="350" t="s">
        <v>1143</v>
      </c>
      <c r="AP116" s="350" t="s">
        <v>1144</v>
      </c>
      <c r="AQ116" s="350" t="s">
        <v>1145</v>
      </c>
      <c r="AR116" s="350" t="s">
        <v>1146</v>
      </c>
      <c r="AS116" s="350" t="s">
        <v>1147</v>
      </c>
      <c r="AT116" s="350" t="s">
        <v>1176</v>
      </c>
      <c r="AU116" s="350" t="s">
        <v>1247</v>
      </c>
      <c r="AV116" s="350" t="s">
        <v>1293</v>
      </c>
      <c r="AW116" s="350" t="s">
        <v>1291</v>
      </c>
      <c r="AX116" s="350" t="s">
        <v>1294</v>
      </c>
      <c r="AY116" s="350" t="s">
        <v>1295</v>
      </c>
      <c r="AZ116" s="350" t="s">
        <v>1372</v>
      </c>
      <c r="BA116" s="350" t="s">
        <v>1373</v>
      </c>
      <c r="BB116" s="350" t="s">
        <v>1481</v>
      </c>
    </row>
    <row r="117" spans="1:54">
      <c r="A117" s="350" t="s">
        <v>612</v>
      </c>
      <c r="B117" s="552"/>
      <c r="C117" s="278" t="str">
        <f>IFERROR(VLOOKUP("D-SPA"&amp;3,お客様情報!$R$34:$U$38,4,FALSE),"")</f>
        <v/>
      </c>
      <c r="D117" s="278">
        <f>D$103</f>
        <v>1</v>
      </c>
      <c r="E117" s="278">
        <v>1</v>
      </c>
      <c r="F117" s="278" t="str">
        <f>F$113</f>
        <v/>
      </c>
      <c r="G117" s="278" t="str">
        <f>G$113</f>
        <v/>
      </c>
      <c r="H117" s="314"/>
      <c r="I117" s="314"/>
      <c r="J117" s="556" t="str">
        <f>J$113</f>
        <v/>
      </c>
      <c r="K117" s="556" t="str">
        <f>K$113</f>
        <v/>
      </c>
      <c r="L117" s="314"/>
      <c r="M117" s="278" t="str">
        <f>M$113</f>
        <v/>
      </c>
      <c r="N117" s="314"/>
      <c r="O117" s="314"/>
      <c r="P117" s="314"/>
      <c r="Q117" s="278" t="str">
        <f>Q$113</f>
        <v/>
      </c>
      <c r="R117" s="278" t="str">
        <f>R$113</f>
        <v/>
      </c>
      <c r="S117" s="278" t="e">
        <f t="shared" ref="S117:Y117" si="14">S$113</f>
        <v>#N/A</v>
      </c>
      <c r="T117" s="278" t="e">
        <f t="shared" si="14"/>
        <v>#N/A</v>
      </c>
      <c r="U117" s="278"/>
      <c r="V117" s="278" t="str">
        <f t="shared" si="14"/>
        <v/>
      </c>
      <c r="W117" s="286" t="str">
        <f t="shared" si="14"/>
        <v/>
      </c>
      <c r="X117" s="278" t="str">
        <f t="shared" si="14"/>
        <v/>
      </c>
      <c r="Y117" s="278" t="str">
        <f t="shared" si="14"/>
        <v/>
      </c>
      <c r="Z117" s="314"/>
      <c r="AA117" s="314"/>
      <c r="AB117" s="314"/>
      <c r="AC117" s="314"/>
      <c r="AD117" s="314"/>
      <c r="AE117" s="314"/>
      <c r="AF117" s="314"/>
      <c r="AG117" s="314"/>
      <c r="AH117" s="314"/>
      <c r="AI117" s="314"/>
      <c r="AJ117" s="314"/>
      <c r="AK117" s="314"/>
      <c r="AL117" s="314"/>
      <c r="AM117" s="314"/>
      <c r="AN117" s="314"/>
      <c r="AO117" s="314"/>
      <c r="AP117" s="314"/>
      <c r="AQ117" s="314"/>
      <c r="AR117" s="314"/>
      <c r="AS117" s="314"/>
      <c r="AT117" s="314"/>
      <c r="AU117" s="314"/>
      <c r="AV117" s="314"/>
      <c r="AW117" s="314"/>
      <c r="AX117" s="314"/>
      <c r="AY117" s="314"/>
      <c r="AZ117" s="314"/>
      <c r="BA117" s="314"/>
      <c r="BB117" s="314"/>
    </row>
    <row r="118" spans="1:54">
      <c r="A118" s="350" t="s">
        <v>586</v>
      </c>
      <c r="B118" s="350" t="s">
        <v>634</v>
      </c>
      <c r="C118" s="350" t="s">
        <v>620</v>
      </c>
      <c r="D118" s="350" t="s">
        <v>621</v>
      </c>
      <c r="E118" s="350" t="s">
        <v>622</v>
      </c>
      <c r="F118" s="350" t="s">
        <v>614</v>
      </c>
      <c r="G118" s="350" t="s">
        <v>623</v>
      </c>
      <c r="H118" s="350" t="s">
        <v>624</v>
      </c>
      <c r="I118" s="350" t="s">
        <v>625</v>
      </c>
      <c r="J118" s="350" t="s">
        <v>626</v>
      </c>
      <c r="K118" s="350" t="s">
        <v>627</v>
      </c>
      <c r="L118" s="350" t="s">
        <v>628</v>
      </c>
      <c r="M118" s="350" t="s">
        <v>629</v>
      </c>
      <c r="N118" s="350" t="s">
        <v>630</v>
      </c>
      <c r="O118" s="350" t="s">
        <v>631</v>
      </c>
      <c r="P118" s="350" t="s">
        <v>632</v>
      </c>
      <c r="Q118" s="350" t="s">
        <v>633</v>
      </c>
      <c r="R118" s="350" t="s">
        <v>1116</v>
      </c>
      <c r="S118" s="350" t="s">
        <v>701</v>
      </c>
      <c r="T118" s="350" t="s">
        <v>702</v>
      </c>
      <c r="U118" s="350" t="s">
        <v>699</v>
      </c>
      <c r="V118" s="350" t="s">
        <v>700</v>
      </c>
      <c r="W118" s="350" t="s">
        <v>822</v>
      </c>
      <c r="X118" s="350" t="s">
        <v>880</v>
      </c>
      <c r="Y118" s="350" t="s">
        <v>1118</v>
      </c>
      <c r="Z118" s="350" t="s">
        <v>1124</v>
      </c>
      <c r="AA118" s="350" t="s">
        <v>1125</v>
      </c>
      <c r="AB118" s="350" t="s">
        <v>1126</v>
      </c>
      <c r="AC118" s="350" t="s">
        <v>1127</v>
      </c>
      <c r="AD118" s="350" t="s">
        <v>1128</v>
      </c>
      <c r="AE118" s="350" t="s">
        <v>737</v>
      </c>
      <c r="AF118" s="350" t="s">
        <v>741</v>
      </c>
      <c r="AG118" s="350" t="s">
        <v>745</v>
      </c>
      <c r="AH118" s="350" t="s">
        <v>746</v>
      </c>
      <c r="AI118" s="350" t="s">
        <v>748</v>
      </c>
      <c r="AJ118" s="350" t="s">
        <v>747</v>
      </c>
      <c r="AK118" s="350" t="s">
        <v>1096</v>
      </c>
      <c r="AL118" s="350" t="s">
        <v>1140</v>
      </c>
      <c r="AM118" s="350" t="s">
        <v>1141</v>
      </c>
      <c r="AN118" s="350" t="s">
        <v>1142</v>
      </c>
      <c r="AO118" s="350" t="s">
        <v>1143</v>
      </c>
      <c r="AP118" s="350" t="s">
        <v>1144</v>
      </c>
      <c r="AQ118" s="350" t="s">
        <v>1145</v>
      </c>
      <c r="AR118" s="350" t="s">
        <v>1146</v>
      </c>
      <c r="AS118" s="350" t="s">
        <v>1147</v>
      </c>
      <c r="AT118" s="350" t="s">
        <v>1176</v>
      </c>
      <c r="AU118" s="350" t="s">
        <v>1247</v>
      </c>
      <c r="AV118" s="350" t="s">
        <v>1293</v>
      </c>
      <c r="AW118" s="350" t="s">
        <v>1291</v>
      </c>
      <c r="AX118" s="350" t="s">
        <v>1294</v>
      </c>
      <c r="AY118" s="350" t="s">
        <v>1295</v>
      </c>
      <c r="AZ118" s="350" t="s">
        <v>1372</v>
      </c>
      <c r="BA118" s="350" t="s">
        <v>1373</v>
      </c>
      <c r="BB118" s="350" t="s">
        <v>1481</v>
      </c>
    </row>
    <row r="119" spans="1:54">
      <c r="A119" s="350" t="s">
        <v>612</v>
      </c>
      <c r="B119" s="552"/>
      <c r="C119" s="278" t="str">
        <f>IFERROR(VLOOKUP("D-SPA"&amp;4,お客様情報!$R$34:$U$38,4,FALSE),"")</f>
        <v/>
      </c>
      <c r="D119" s="278">
        <f>D$103</f>
        <v>1</v>
      </c>
      <c r="E119" s="278">
        <v>1</v>
      </c>
      <c r="F119" s="278" t="str">
        <f>F$113</f>
        <v/>
      </c>
      <c r="G119" s="278" t="str">
        <f>G$113</f>
        <v/>
      </c>
      <c r="H119" s="314"/>
      <c r="I119" s="314"/>
      <c r="J119" s="556" t="str">
        <f>J$113</f>
        <v/>
      </c>
      <c r="K119" s="556" t="str">
        <f>K$113</f>
        <v/>
      </c>
      <c r="L119" s="314"/>
      <c r="M119" s="278" t="str">
        <f>M$113</f>
        <v/>
      </c>
      <c r="N119" s="314"/>
      <c r="O119" s="314"/>
      <c r="P119" s="314"/>
      <c r="Q119" s="278" t="str">
        <f>Q$113</f>
        <v/>
      </c>
      <c r="R119" s="278" t="str">
        <f>R$113</f>
        <v/>
      </c>
      <c r="S119" s="278" t="e">
        <f t="shared" ref="S119:Y119" si="15">S$113</f>
        <v>#N/A</v>
      </c>
      <c r="T119" s="278" t="e">
        <f t="shared" si="15"/>
        <v>#N/A</v>
      </c>
      <c r="U119" s="278"/>
      <c r="V119" s="278" t="str">
        <f t="shared" si="15"/>
        <v/>
      </c>
      <c r="W119" s="286" t="str">
        <f t="shared" si="15"/>
        <v/>
      </c>
      <c r="X119" s="278" t="str">
        <f t="shared" si="15"/>
        <v/>
      </c>
      <c r="Y119" s="278" t="str">
        <f t="shared" si="15"/>
        <v/>
      </c>
      <c r="Z119" s="314"/>
      <c r="AA119" s="314"/>
      <c r="AB119" s="314"/>
      <c r="AC119" s="314"/>
      <c r="AD119" s="314"/>
      <c r="AE119" s="314"/>
      <c r="AF119" s="314"/>
      <c r="AG119" s="314"/>
      <c r="AH119" s="314"/>
      <c r="AI119" s="314"/>
      <c r="AJ119" s="314"/>
      <c r="AK119" s="314"/>
      <c r="AL119" s="314"/>
      <c r="AM119" s="314"/>
      <c r="AN119" s="314"/>
      <c r="AO119" s="314"/>
      <c r="AP119" s="314"/>
      <c r="AQ119" s="314"/>
      <c r="AR119" s="314"/>
      <c r="AS119" s="314"/>
      <c r="AT119" s="314"/>
      <c r="AU119" s="314"/>
      <c r="AV119" s="314"/>
      <c r="AW119" s="314"/>
      <c r="AX119" s="314"/>
      <c r="AY119" s="314"/>
      <c r="AZ119" s="314"/>
      <c r="BA119" s="314"/>
      <c r="BB119" s="314"/>
    </row>
    <row r="120" spans="1:54">
      <c r="A120" s="350" t="s">
        <v>586</v>
      </c>
      <c r="B120" s="350" t="s">
        <v>634</v>
      </c>
      <c r="C120" s="350" t="s">
        <v>620</v>
      </c>
      <c r="D120" s="350" t="s">
        <v>621</v>
      </c>
      <c r="E120" s="350" t="s">
        <v>622</v>
      </c>
      <c r="F120" s="350" t="s">
        <v>614</v>
      </c>
      <c r="G120" s="350" t="s">
        <v>623</v>
      </c>
      <c r="H120" s="350" t="s">
        <v>624</v>
      </c>
      <c r="I120" s="350" t="s">
        <v>625</v>
      </c>
      <c r="J120" s="350" t="s">
        <v>626</v>
      </c>
      <c r="K120" s="350" t="s">
        <v>627</v>
      </c>
      <c r="L120" s="350" t="s">
        <v>628</v>
      </c>
      <c r="M120" s="350" t="s">
        <v>629</v>
      </c>
      <c r="N120" s="350" t="s">
        <v>630</v>
      </c>
      <c r="O120" s="350" t="s">
        <v>631</v>
      </c>
      <c r="P120" s="350" t="s">
        <v>632</v>
      </c>
      <c r="Q120" s="350" t="s">
        <v>633</v>
      </c>
      <c r="R120" s="350" t="s">
        <v>1116</v>
      </c>
      <c r="S120" s="350" t="s">
        <v>701</v>
      </c>
      <c r="T120" s="350" t="s">
        <v>702</v>
      </c>
      <c r="U120" s="350" t="s">
        <v>699</v>
      </c>
      <c r="V120" s="350" t="s">
        <v>700</v>
      </c>
      <c r="W120" s="350" t="s">
        <v>822</v>
      </c>
      <c r="X120" s="350" t="s">
        <v>880</v>
      </c>
      <c r="Y120" s="350" t="s">
        <v>1118</v>
      </c>
      <c r="Z120" s="350" t="s">
        <v>1124</v>
      </c>
      <c r="AA120" s="350" t="s">
        <v>1125</v>
      </c>
      <c r="AB120" s="350" t="s">
        <v>1126</v>
      </c>
      <c r="AC120" s="350" t="s">
        <v>1127</v>
      </c>
      <c r="AD120" s="350" t="s">
        <v>1128</v>
      </c>
      <c r="AE120" s="350" t="s">
        <v>737</v>
      </c>
      <c r="AF120" s="350" t="s">
        <v>741</v>
      </c>
      <c r="AG120" s="350" t="s">
        <v>745</v>
      </c>
      <c r="AH120" s="350" t="s">
        <v>746</v>
      </c>
      <c r="AI120" s="350" t="s">
        <v>748</v>
      </c>
      <c r="AJ120" s="350" t="s">
        <v>747</v>
      </c>
      <c r="AK120" s="350" t="s">
        <v>1096</v>
      </c>
      <c r="AL120" s="350" t="s">
        <v>1140</v>
      </c>
      <c r="AM120" s="350" t="s">
        <v>1141</v>
      </c>
      <c r="AN120" s="350" t="s">
        <v>1142</v>
      </c>
      <c r="AO120" s="350" t="s">
        <v>1143</v>
      </c>
      <c r="AP120" s="350" t="s">
        <v>1144</v>
      </c>
      <c r="AQ120" s="350" t="s">
        <v>1145</v>
      </c>
      <c r="AR120" s="350" t="s">
        <v>1146</v>
      </c>
      <c r="AS120" s="350" t="s">
        <v>1147</v>
      </c>
      <c r="AT120" s="350" t="s">
        <v>1176</v>
      </c>
      <c r="AU120" s="350" t="s">
        <v>1247</v>
      </c>
      <c r="AV120" s="350" t="s">
        <v>1293</v>
      </c>
      <c r="AW120" s="350" t="s">
        <v>1291</v>
      </c>
      <c r="AX120" s="350" t="s">
        <v>1294</v>
      </c>
      <c r="AY120" s="350" t="s">
        <v>1295</v>
      </c>
      <c r="AZ120" s="350" t="s">
        <v>1372</v>
      </c>
      <c r="BA120" s="350" t="s">
        <v>1373</v>
      </c>
      <c r="BB120" s="350" t="s">
        <v>1481</v>
      </c>
    </row>
    <row r="121" spans="1:54">
      <c r="A121" s="350" t="s">
        <v>612</v>
      </c>
      <c r="B121" s="552"/>
      <c r="C121" s="278" t="str">
        <f>IFERROR(VLOOKUP("D-SPA"&amp;5,お客様情報!$R$34:$U$38,4,FALSE),"")</f>
        <v/>
      </c>
      <c r="D121" s="278">
        <f>D$103</f>
        <v>1</v>
      </c>
      <c r="E121" s="278">
        <v>1</v>
      </c>
      <c r="F121" s="278" t="str">
        <f>F$113</f>
        <v/>
      </c>
      <c r="G121" s="278" t="str">
        <f>G$113</f>
        <v/>
      </c>
      <c r="H121" s="314"/>
      <c r="I121" s="314"/>
      <c r="J121" s="556" t="str">
        <f>J$113</f>
        <v/>
      </c>
      <c r="K121" s="556" t="str">
        <f>K$113</f>
        <v/>
      </c>
      <c r="L121" s="314"/>
      <c r="M121" s="278" t="str">
        <f>M$113</f>
        <v/>
      </c>
      <c r="N121" s="314"/>
      <c r="O121" s="314"/>
      <c r="P121" s="314"/>
      <c r="Q121" s="278" t="str">
        <f>Q$113</f>
        <v/>
      </c>
      <c r="R121" s="278" t="str">
        <f>R$113</f>
        <v/>
      </c>
      <c r="S121" s="278" t="e">
        <f t="shared" ref="S121:Y121" si="16">S$113</f>
        <v>#N/A</v>
      </c>
      <c r="T121" s="278" t="e">
        <f t="shared" si="16"/>
        <v>#N/A</v>
      </c>
      <c r="U121" s="278"/>
      <c r="V121" s="278" t="str">
        <f t="shared" si="16"/>
        <v/>
      </c>
      <c r="W121" s="286" t="str">
        <f t="shared" si="16"/>
        <v/>
      </c>
      <c r="X121" s="278" t="str">
        <f t="shared" si="16"/>
        <v/>
      </c>
      <c r="Y121" s="278" t="str">
        <f t="shared" si="16"/>
        <v/>
      </c>
      <c r="Z121" s="314"/>
      <c r="AA121" s="314"/>
      <c r="AB121" s="314"/>
      <c r="AC121" s="314"/>
      <c r="AD121" s="314"/>
      <c r="AE121" s="314"/>
      <c r="AF121" s="314"/>
      <c r="AG121" s="314"/>
      <c r="AH121" s="314"/>
      <c r="AI121" s="314"/>
      <c r="AJ121" s="314"/>
      <c r="AK121" s="314"/>
      <c r="AL121" s="314"/>
      <c r="AM121" s="314"/>
      <c r="AN121" s="314"/>
      <c r="AO121" s="314"/>
      <c r="AP121" s="314"/>
      <c r="AQ121" s="314"/>
      <c r="AR121" s="314"/>
      <c r="AS121" s="314"/>
      <c r="AT121" s="314"/>
      <c r="AU121" s="314"/>
      <c r="AV121" s="314"/>
      <c r="AW121" s="314"/>
      <c r="AX121" s="314"/>
      <c r="AY121" s="314"/>
      <c r="AZ121" s="314"/>
      <c r="BA121" s="314"/>
      <c r="BB121" s="314"/>
    </row>
    <row r="122" spans="1:54">
      <c r="A122" s="351" t="s">
        <v>586</v>
      </c>
      <c r="B122" s="351" t="s">
        <v>634</v>
      </c>
      <c r="C122" s="351" t="s">
        <v>620</v>
      </c>
      <c r="D122" s="351" t="s">
        <v>621</v>
      </c>
      <c r="E122" s="351" t="s">
        <v>622</v>
      </c>
      <c r="F122" s="351" t="s">
        <v>614</v>
      </c>
      <c r="G122" s="351" t="s">
        <v>670</v>
      </c>
      <c r="H122" s="351" t="s">
        <v>624</v>
      </c>
      <c r="I122" s="351" t="s">
        <v>625</v>
      </c>
      <c r="J122" s="351" t="s">
        <v>626</v>
      </c>
      <c r="K122" s="351" t="s">
        <v>627</v>
      </c>
      <c r="L122" s="351" t="s">
        <v>628</v>
      </c>
      <c r="M122" s="351" t="s">
        <v>629</v>
      </c>
      <c r="N122" s="351" t="s">
        <v>630</v>
      </c>
      <c r="O122" s="351" t="s">
        <v>631</v>
      </c>
      <c r="P122" s="351" t="s">
        <v>632</v>
      </c>
      <c r="Q122" s="351" t="s">
        <v>633</v>
      </c>
      <c r="R122" s="351" t="s">
        <v>1116</v>
      </c>
      <c r="S122" s="351" t="s">
        <v>701</v>
      </c>
      <c r="T122" s="351" t="s">
        <v>702</v>
      </c>
      <c r="U122" s="351" t="s">
        <v>699</v>
      </c>
      <c r="V122" s="351" t="s">
        <v>700</v>
      </c>
      <c r="W122" s="351" t="s">
        <v>822</v>
      </c>
      <c r="X122" s="351" t="s">
        <v>880</v>
      </c>
      <c r="Y122" s="351" t="s">
        <v>1118</v>
      </c>
      <c r="Z122" s="351" t="s">
        <v>1124</v>
      </c>
      <c r="AA122" s="351" t="s">
        <v>1125</v>
      </c>
      <c r="AB122" s="351" t="s">
        <v>1126</v>
      </c>
      <c r="AC122" s="351" t="s">
        <v>1127</v>
      </c>
      <c r="AD122" s="351" t="s">
        <v>1128</v>
      </c>
      <c r="AE122" s="351" t="s">
        <v>737</v>
      </c>
      <c r="AF122" s="351" t="s">
        <v>741</v>
      </c>
      <c r="AG122" s="351" t="s">
        <v>745</v>
      </c>
      <c r="AH122" s="351" t="s">
        <v>746</v>
      </c>
      <c r="AI122" s="351" t="s">
        <v>748</v>
      </c>
      <c r="AJ122" s="351" t="s">
        <v>747</v>
      </c>
      <c r="AK122" s="351" t="s">
        <v>1096</v>
      </c>
      <c r="AL122" s="351" t="s">
        <v>1140</v>
      </c>
      <c r="AM122" s="351" t="s">
        <v>1141</v>
      </c>
      <c r="AN122" s="351" t="s">
        <v>1142</v>
      </c>
      <c r="AO122" s="351" t="s">
        <v>1143</v>
      </c>
      <c r="AP122" s="351" t="s">
        <v>1144</v>
      </c>
      <c r="AQ122" s="351" t="s">
        <v>1145</v>
      </c>
      <c r="AR122" s="351" t="s">
        <v>1146</v>
      </c>
      <c r="AS122" s="351" t="s">
        <v>1147</v>
      </c>
      <c r="AT122" s="351" t="s">
        <v>1176</v>
      </c>
      <c r="AU122" s="351" t="s">
        <v>1247</v>
      </c>
      <c r="AV122" s="351" t="s">
        <v>1293</v>
      </c>
      <c r="AW122" s="351" t="s">
        <v>1291</v>
      </c>
      <c r="AX122" s="351" t="s">
        <v>1294</v>
      </c>
      <c r="AY122" s="351" t="s">
        <v>1295</v>
      </c>
      <c r="AZ122" s="351" t="s">
        <v>1372</v>
      </c>
      <c r="BA122" s="351" t="s">
        <v>1373</v>
      </c>
      <c r="BB122" s="351" t="s">
        <v>1481</v>
      </c>
    </row>
    <row r="123" spans="1:54">
      <c r="A123" s="351" t="s">
        <v>612</v>
      </c>
      <c r="B123" s="552"/>
      <c r="C123" s="567" t="str">
        <f>IFERROR(VLOOKUP("D-SPA"&amp;1,お客様情報!$R$34:$U$38,4,FALSE),"")</f>
        <v/>
      </c>
      <c r="D123" s="278">
        <f>D$103</f>
        <v>1</v>
      </c>
      <c r="E123" s="278">
        <v>1</v>
      </c>
      <c r="F123" s="278" t="str">
        <f>IF(入力フォームDSPA!AG97="初年度",TEXT(中間データDSPA!G4,"YYYY-MM-DD"),"")</f>
        <v/>
      </c>
      <c r="G123" s="278" t="str">
        <f>LEFT(入力フォームDSPA!BJ97,1)</f>
        <v/>
      </c>
      <c r="H123" s="314"/>
      <c r="I123" s="314"/>
      <c r="J123" s="556" t="str">
        <f>IF(入力フォームDSPA!AZ156="はい/お客様アドレス",入力フォームDSPA!AG40,"")</f>
        <v/>
      </c>
      <c r="K123" s="556" t="str">
        <f>IF(入力フォームDSPA!AZ156="はい/通知先記入",入力フォームDSPA!BR156,"")</f>
        <v/>
      </c>
      <c r="L123" s="314"/>
      <c r="M123" s="278" t="str">
        <f>IF(入力フォームDSPA!AL101&lt;&gt;"",入力フォームDSPA!AL101,"")</f>
        <v/>
      </c>
      <c r="N123" s="314"/>
      <c r="O123" s="314"/>
      <c r="P123" s="314"/>
      <c r="Q123" s="278" t="str">
        <f>IF(入力フォームDSPA!R120="A表に同じ",入力フォームDSPA!$M$33&amp;入力フォームDSPA!$AD$33&amp;入力フォームDSPA!$AU$33&amp;入力フォームDSPA!$M$35&amp;入力フォームDSPA!$AM$35&amp;"（"&amp;お客様情報!K8&amp;"内）",IF(入力フォームDSPA!R120="A表と異なる",入力フォームDSPA!BI120&amp;入力フォームDSPA!BN120&amp;入力フォームDSPA!BS120&amp;入力フォームDSPA!CA120&amp;入力フォームDSPA!CM120&amp;"（"&amp;入力フォームDSPA!Z120&amp;"内）",""))</f>
        <v/>
      </c>
      <c r="R123" s="278" t="str">
        <f>IF(ISBLANK(入力フォームDSPA!L97),"",IF(入力フォームDSPA!W101="コールドスタンバイ",入力フォームDSPA!L97&amp;" (コールドスタンバイ)",入力フォームDSPA!L97))</f>
        <v/>
      </c>
      <c r="S123" s="278" t="e">
        <f>IF(お客様情報!$N$64="","",お客様情報!$N$64)</f>
        <v>#N/A</v>
      </c>
      <c r="T123" s="278" t="e">
        <f>IF(お客様情報!$N$65="","",お客様情報!$N$65)</f>
        <v>#N/A</v>
      </c>
      <c r="U123" s="278"/>
      <c r="V123" s="278" t="str">
        <f>IF(OR(入力フォームDSPA!AE82="",入力フォームDSPA!AE82="なし"),"",IF(COUNTIF(入力フォームDSPA!AE82,"*倍量*")&gt;0,"HDD拡充倍量オプション","HDD拡充オプション"))</f>
        <v/>
      </c>
      <c r="W123" s="278" t="str">
        <f>IF(OR(入力フォームDSPA!BM82="",入力フォームDSPA!BM82="なし"),"","追加ﾈｯﾄﾜｰｸ・ｲﾝﾀｰﾌｪｰｽ・ｵﾌﾟｼｮﾝ")</f>
        <v/>
      </c>
      <c r="X123" s="278" t="str">
        <f>IF(OR(入力フォームDSPA!CD82="",入力フォームDSPA!CD82="なし"),"","電源冗長化オプション")</f>
        <v/>
      </c>
      <c r="Y123" s="278" t="str">
        <f>IF(OR(入力フォームDSPA!CU82="",入力フォームDSPA!CU82="なし"),"",VLOOKUP(入力フォームDSPA!CU82,中間データDSPA!$B$93:$C$97,2,FALSE))</f>
        <v/>
      </c>
      <c r="Z123" s="314"/>
      <c r="AA123" s="314"/>
      <c r="AB123" s="314"/>
      <c r="AC123" s="314"/>
      <c r="AD123" s="314"/>
      <c r="AE123" s="314"/>
      <c r="AF123" s="314"/>
      <c r="AG123" s="314"/>
      <c r="AH123" s="314"/>
      <c r="AI123" s="314"/>
      <c r="AJ123" s="314"/>
      <c r="AK123" s="314"/>
      <c r="AL123" s="314"/>
      <c r="AM123" s="314"/>
      <c r="AN123" s="314"/>
      <c r="AO123" s="314"/>
      <c r="AP123" s="314"/>
      <c r="AQ123" s="314"/>
      <c r="AR123" s="314"/>
      <c r="AS123" s="314"/>
      <c r="AT123" s="314"/>
      <c r="AU123" s="314"/>
      <c r="AV123" s="314"/>
      <c r="AW123" s="314"/>
      <c r="AX123" s="314"/>
      <c r="AY123" s="314"/>
      <c r="AZ123" s="314"/>
      <c r="BA123" s="314"/>
      <c r="BB123" s="314"/>
    </row>
    <row r="124" spans="1:54">
      <c r="A124" s="351" t="s">
        <v>586</v>
      </c>
      <c r="B124" s="351" t="s">
        <v>634</v>
      </c>
      <c r="C124" s="351" t="s">
        <v>620</v>
      </c>
      <c r="D124" s="351" t="s">
        <v>621</v>
      </c>
      <c r="E124" s="351" t="s">
        <v>622</v>
      </c>
      <c r="F124" s="351" t="s">
        <v>614</v>
      </c>
      <c r="G124" s="351" t="s">
        <v>670</v>
      </c>
      <c r="H124" s="351" t="s">
        <v>624</v>
      </c>
      <c r="I124" s="351" t="s">
        <v>625</v>
      </c>
      <c r="J124" s="351" t="s">
        <v>626</v>
      </c>
      <c r="K124" s="351" t="s">
        <v>627</v>
      </c>
      <c r="L124" s="351" t="s">
        <v>628</v>
      </c>
      <c r="M124" s="351" t="s">
        <v>629</v>
      </c>
      <c r="N124" s="351" t="s">
        <v>630</v>
      </c>
      <c r="O124" s="351" t="s">
        <v>631</v>
      </c>
      <c r="P124" s="351" t="s">
        <v>632</v>
      </c>
      <c r="Q124" s="351" t="s">
        <v>633</v>
      </c>
      <c r="R124" s="351" t="s">
        <v>1116</v>
      </c>
      <c r="S124" s="351" t="s">
        <v>701</v>
      </c>
      <c r="T124" s="351" t="s">
        <v>702</v>
      </c>
      <c r="U124" s="351" t="s">
        <v>699</v>
      </c>
      <c r="V124" s="351" t="s">
        <v>700</v>
      </c>
      <c r="W124" s="351" t="s">
        <v>822</v>
      </c>
      <c r="X124" s="351" t="s">
        <v>880</v>
      </c>
      <c r="Y124" s="351" t="s">
        <v>1118</v>
      </c>
      <c r="Z124" s="351" t="s">
        <v>1124</v>
      </c>
      <c r="AA124" s="351" t="s">
        <v>1125</v>
      </c>
      <c r="AB124" s="351" t="s">
        <v>1126</v>
      </c>
      <c r="AC124" s="351" t="s">
        <v>1127</v>
      </c>
      <c r="AD124" s="351" t="s">
        <v>1128</v>
      </c>
      <c r="AE124" s="351" t="s">
        <v>737</v>
      </c>
      <c r="AF124" s="351" t="s">
        <v>741</v>
      </c>
      <c r="AG124" s="351" t="s">
        <v>745</v>
      </c>
      <c r="AH124" s="351" t="s">
        <v>746</v>
      </c>
      <c r="AI124" s="351" t="s">
        <v>748</v>
      </c>
      <c r="AJ124" s="351" t="s">
        <v>747</v>
      </c>
      <c r="AK124" s="351" t="s">
        <v>1096</v>
      </c>
      <c r="AL124" s="351" t="s">
        <v>1140</v>
      </c>
      <c r="AM124" s="351" t="s">
        <v>1141</v>
      </c>
      <c r="AN124" s="351" t="s">
        <v>1142</v>
      </c>
      <c r="AO124" s="351" t="s">
        <v>1143</v>
      </c>
      <c r="AP124" s="351" t="s">
        <v>1144</v>
      </c>
      <c r="AQ124" s="351" t="s">
        <v>1145</v>
      </c>
      <c r="AR124" s="351" t="s">
        <v>1146</v>
      </c>
      <c r="AS124" s="351" t="s">
        <v>1147</v>
      </c>
      <c r="AT124" s="351" t="s">
        <v>1176</v>
      </c>
      <c r="AU124" s="351" t="s">
        <v>1247</v>
      </c>
      <c r="AV124" s="351" t="s">
        <v>1293</v>
      </c>
      <c r="AW124" s="351" t="s">
        <v>1291</v>
      </c>
      <c r="AX124" s="351" t="s">
        <v>1294</v>
      </c>
      <c r="AY124" s="351" t="s">
        <v>1295</v>
      </c>
      <c r="AZ124" s="351" t="s">
        <v>1372</v>
      </c>
      <c r="BA124" s="351" t="s">
        <v>1373</v>
      </c>
      <c r="BB124" s="351" t="s">
        <v>1481</v>
      </c>
    </row>
    <row r="125" spans="1:54">
      <c r="A125" s="351" t="s">
        <v>612</v>
      </c>
      <c r="B125" s="552"/>
      <c r="C125" s="278" t="str">
        <f>IFERROR(VLOOKUP("D-SPA"&amp;2,お客様情報!$R$34:$U$38,4,FALSE),"")</f>
        <v/>
      </c>
      <c r="D125" s="278">
        <f>D$103</f>
        <v>1</v>
      </c>
      <c r="E125" s="278">
        <v>1</v>
      </c>
      <c r="F125" s="278" t="str">
        <f>F$123</f>
        <v/>
      </c>
      <c r="G125" s="278" t="str">
        <f>G$123</f>
        <v/>
      </c>
      <c r="H125" s="314"/>
      <c r="I125" s="314"/>
      <c r="J125" s="556" t="str">
        <f>$J$123</f>
        <v/>
      </c>
      <c r="K125" s="556" t="str">
        <f>$K$123</f>
        <v/>
      </c>
      <c r="L125" s="314"/>
      <c r="M125" s="278" t="str">
        <f>M$123</f>
        <v/>
      </c>
      <c r="N125" s="314"/>
      <c r="O125" s="314"/>
      <c r="P125" s="314"/>
      <c r="Q125" s="278" t="str">
        <f>Q$123</f>
        <v/>
      </c>
      <c r="R125" s="278" t="str">
        <f>R$123</f>
        <v/>
      </c>
      <c r="S125" s="278" t="e">
        <f t="shared" ref="S125:X125" si="17">S$123</f>
        <v>#N/A</v>
      </c>
      <c r="T125" s="278" t="e">
        <f t="shared" si="17"/>
        <v>#N/A</v>
      </c>
      <c r="U125" s="278"/>
      <c r="V125" s="278" t="str">
        <f t="shared" si="17"/>
        <v/>
      </c>
      <c r="W125" s="286" t="str">
        <f t="shared" si="17"/>
        <v/>
      </c>
      <c r="X125" s="278" t="str">
        <f t="shared" si="17"/>
        <v/>
      </c>
      <c r="Y125" s="278" t="str">
        <f>$Y$123</f>
        <v/>
      </c>
      <c r="Z125" s="314"/>
      <c r="AA125" s="314"/>
      <c r="AB125" s="314"/>
      <c r="AC125" s="314"/>
      <c r="AD125" s="314"/>
      <c r="AE125" s="314"/>
      <c r="AF125" s="314"/>
      <c r="AG125" s="314"/>
      <c r="AH125" s="314"/>
      <c r="AI125" s="314"/>
      <c r="AJ125" s="314"/>
      <c r="AK125" s="314"/>
      <c r="AL125" s="314"/>
      <c r="AM125" s="314"/>
      <c r="AN125" s="314"/>
      <c r="AO125" s="314"/>
      <c r="AP125" s="314"/>
      <c r="AQ125" s="314"/>
      <c r="AR125" s="314"/>
      <c r="AS125" s="314"/>
      <c r="AT125" s="314"/>
      <c r="AU125" s="314"/>
      <c r="AV125" s="314"/>
      <c r="AW125" s="314"/>
      <c r="AX125" s="314"/>
      <c r="AY125" s="314"/>
      <c r="AZ125" s="314"/>
      <c r="BA125" s="314"/>
      <c r="BB125" s="314"/>
    </row>
    <row r="126" spans="1:54">
      <c r="A126" s="351" t="s">
        <v>586</v>
      </c>
      <c r="B126" s="351" t="s">
        <v>634</v>
      </c>
      <c r="C126" s="351" t="s">
        <v>620</v>
      </c>
      <c r="D126" s="351" t="s">
        <v>621</v>
      </c>
      <c r="E126" s="351" t="s">
        <v>622</v>
      </c>
      <c r="F126" s="351" t="s">
        <v>614</v>
      </c>
      <c r="G126" s="351" t="s">
        <v>670</v>
      </c>
      <c r="H126" s="351" t="s">
        <v>624</v>
      </c>
      <c r="I126" s="351" t="s">
        <v>625</v>
      </c>
      <c r="J126" s="351" t="s">
        <v>626</v>
      </c>
      <c r="K126" s="351" t="s">
        <v>627</v>
      </c>
      <c r="L126" s="351" t="s">
        <v>628</v>
      </c>
      <c r="M126" s="351" t="s">
        <v>629</v>
      </c>
      <c r="N126" s="351" t="s">
        <v>630</v>
      </c>
      <c r="O126" s="351" t="s">
        <v>631</v>
      </c>
      <c r="P126" s="351" t="s">
        <v>632</v>
      </c>
      <c r="Q126" s="351" t="s">
        <v>633</v>
      </c>
      <c r="R126" s="351" t="s">
        <v>1116</v>
      </c>
      <c r="S126" s="351" t="s">
        <v>701</v>
      </c>
      <c r="T126" s="351" t="s">
        <v>702</v>
      </c>
      <c r="U126" s="351" t="s">
        <v>699</v>
      </c>
      <c r="V126" s="351" t="s">
        <v>700</v>
      </c>
      <c r="W126" s="351" t="s">
        <v>822</v>
      </c>
      <c r="X126" s="351" t="s">
        <v>880</v>
      </c>
      <c r="Y126" s="351" t="s">
        <v>1118</v>
      </c>
      <c r="Z126" s="351" t="s">
        <v>1124</v>
      </c>
      <c r="AA126" s="351" t="s">
        <v>1125</v>
      </c>
      <c r="AB126" s="351" t="s">
        <v>1126</v>
      </c>
      <c r="AC126" s="351" t="s">
        <v>1127</v>
      </c>
      <c r="AD126" s="351" t="s">
        <v>1128</v>
      </c>
      <c r="AE126" s="351" t="s">
        <v>737</v>
      </c>
      <c r="AF126" s="351" t="s">
        <v>741</v>
      </c>
      <c r="AG126" s="351" t="s">
        <v>745</v>
      </c>
      <c r="AH126" s="351" t="s">
        <v>746</v>
      </c>
      <c r="AI126" s="351" t="s">
        <v>748</v>
      </c>
      <c r="AJ126" s="351" t="s">
        <v>747</v>
      </c>
      <c r="AK126" s="351" t="s">
        <v>1096</v>
      </c>
      <c r="AL126" s="351" t="s">
        <v>1140</v>
      </c>
      <c r="AM126" s="351" t="s">
        <v>1141</v>
      </c>
      <c r="AN126" s="351" t="s">
        <v>1142</v>
      </c>
      <c r="AO126" s="351" t="s">
        <v>1143</v>
      </c>
      <c r="AP126" s="351" t="s">
        <v>1144</v>
      </c>
      <c r="AQ126" s="351" t="s">
        <v>1145</v>
      </c>
      <c r="AR126" s="351" t="s">
        <v>1146</v>
      </c>
      <c r="AS126" s="351" t="s">
        <v>1147</v>
      </c>
      <c r="AT126" s="351" t="s">
        <v>1176</v>
      </c>
      <c r="AU126" s="351" t="s">
        <v>1247</v>
      </c>
      <c r="AV126" s="351" t="s">
        <v>1293</v>
      </c>
      <c r="AW126" s="351" t="s">
        <v>1291</v>
      </c>
      <c r="AX126" s="351" t="s">
        <v>1294</v>
      </c>
      <c r="AY126" s="351" t="s">
        <v>1295</v>
      </c>
      <c r="AZ126" s="351" t="s">
        <v>1372</v>
      </c>
      <c r="BA126" s="351" t="s">
        <v>1373</v>
      </c>
      <c r="BB126" s="351" t="s">
        <v>1481</v>
      </c>
    </row>
    <row r="127" spans="1:54">
      <c r="A127" s="351" t="s">
        <v>612</v>
      </c>
      <c r="B127" s="279" t="str">
        <f>IF(AND(お客様情報!$E$2="通常DSPA",入力フォームDSPA!$D$101&lt;&gt;"",COUNTIF(お客様情報!$R$34:$R$38,"D-SPA3")&gt;0),4,"")</f>
        <v/>
      </c>
      <c r="C127" s="278" t="str">
        <f>IFERROR(VLOOKUP("D-SPA"&amp;3,お客様情報!$R$34:$U$38,4,FALSE),"")</f>
        <v/>
      </c>
      <c r="D127" s="278">
        <f>D$103</f>
        <v>1</v>
      </c>
      <c r="E127" s="278">
        <v>1</v>
      </c>
      <c r="F127" s="278" t="str">
        <f>F$123</f>
        <v/>
      </c>
      <c r="G127" s="278" t="str">
        <f>G$123</f>
        <v/>
      </c>
      <c r="H127" s="314"/>
      <c r="I127" s="314"/>
      <c r="J127" s="556" t="str">
        <f>$J$123</f>
        <v/>
      </c>
      <c r="K127" s="556" t="str">
        <f>$K$123</f>
        <v/>
      </c>
      <c r="L127" s="314"/>
      <c r="M127" s="278" t="str">
        <f>M$123</f>
        <v/>
      </c>
      <c r="N127" s="314"/>
      <c r="O127" s="314"/>
      <c r="P127" s="314"/>
      <c r="Q127" s="278" t="str">
        <f>Q$123</f>
        <v/>
      </c>
      <c r="R127" s="278" t="str">
        <f>R$123</f>
        <v/>
      </c>
      <c r="S127" s="278" t="e">
        <f t="shared" ref="S127:X127" si="18">S$123</f>
        <v>#N/A</v>
      </c>
      <c r="T127" s="278" t="e">
        <f t="shared" si="18"/>
        <v>#N/A</v>
      </c>
      <c r="U127" s="278"/>
      <c r="V127" s="278" t="str">
        <f t="shared" si="18"/>
        <v/>
      </c>
      <c r="W127" s="286" t="str">
        <f t="shared" si="18"/>
        <v/>
      </c>
      <c r="X127" s="278" t="str">
        <f t="shared" si="18"/>
        <v/>
      </c>
      <c r="Y127" s="278" t="str">
        <f>$Y$123</f>
        <v/>
      </c>
      <c r="Z127" s="314"/>
      <c r="AA127" s="314"/>
      <c r="AB127" s="314"/>
      <c r="AC127" s="314"/>
      <c r="AD127" s="314"/>
      <c r="AE127" s="314"/>
      <c r="AF127" s="314"/>
      <c r="AG127" s="314"/>
      <c r="AH127" s="314"/>
      <c r="AI127" s="314"/>
      <c r="AJ127" s="314"/>
      <c r="AK127" s="314"/>
      <c r="AL127" s="314"/>
      <c r="AM127" s="314"/>
      <c r="AN127" s="314"/>
      <c r="AO127" s="314"/>
      <c r="AP127" s="314"/>
      <c r="AQ127" s="314"/>
      <c r="AR127" s="314"/>
      <c r="AS127" s="314"/>
      <c r="AT127" s="314"/>
      <c r="AU127" s="314"/>
      <c r="AV127" s="314"/>
      <c r="AW127" s="314"/>
      <c r="AX127" s="314"/>
      <c r="AY127" s="314"/>
      <c r="AZ127" s="314"/>
      <c r="BA127" s="314"/>
      <c r="BB127" s="314"/>
    </row>
    <row r="128" spans="1:54">
      <c r="A128" s="351" t="s">
        <v>586</v>
      </c>
      <c r="B128" s="351" t="s">
        <v>634</v>
      </c>
      <c r="C128" s="351" t="s">
        <v>620</v>
      </c>
      <c r="D128" s="351" t="s">
        <v>621</v>
      </c>
      <c r="E128" s="351" t="s">
        <v>622</v>
      </c>
      <c r="F128" s="351" t="s">
        <v>614</v>
      </c>
      <c r="G128" s="351" t="s">
        <v>670</v>
      </c>
      <c r="H128" s="351" t="s">
        <v>624</v>
      </c>
      <c r="I128" s="351" t="s">
        <v>625</v>
      </c>
      <c r="J128" s="351" t="s">
        <v>626</v>
      </c>
      <c r="K128" s="351" t="s">
        <v>627</v>
      </c>
      <c r="L128" s="351" t="s">
        <v>628</v>
      </c>
      <c r="M128" s="351" t="s">
        <v>629</v>
      </c>
      <c r="N128" s="351" t="s">
        <v>630</v>
      </c>
      <c r="O128" s="351" t="s">
        <v>631</v>
      </c>
      <c r="P128" s="351" t="s">
        <v>632</v>
      </c>
      <c r="Q128" s="351" t="s">
        <v>633</v>
      </c>
      <c r="R128" s="351" t="s">
        <v>1116</v>
      </c>
      <c r="S128" s="351" t="s">
        <v>701</v>
      </c>
      <c r="T128" s="351" t="s">
        <v>702</v>
      </c>
      <c r="U128" s="351" t="s">
        <v>699</v>
      </c>
      <c r="V128" s="351" t="s">
        <v>700</v>
      </c>
      <c r="W128" s="351" t="s">
        <v>822</v>
      </c>
      <c r="X128" s="351" t="s">
        <v>880</v>
      </c>
      <c r="Y128" s="351" t="s">
        <v>1118</v>
      </c>
      <c r="Z128" s="351" t="s">
        <v>1124</v>
      </c>
      <c r="AA128" s="351" t="s">
        <v>1125</v>
      </c>
      <c r="AB128" s="351" t="s">
        <v>1126</v>
      </c>
      <c r="AC128" s="351" t="s">
        <v>1127</v>
      </c>
      <c r="AD128" s="351" t="s">
        <v>1128</v>
      </c>
      <c r="AE128" s="351" t="s">
        <v>737</v>
      </c>
      <c r="AF128" s="351" t="s">
        <v>741</v>
      </c>
      <c r="AG128" s="351" t="s">
        <v>745</v>
      </c>
      <c r="AH128" s="351" t="s">
        <v>746</v>
      </c>
      <c r="AI128" s="351" t="s">
        <v>748</v>
      </c>
      <c r="AJ128" s="351" t="s">
        <v>747</v>
      </c>
      <c r="AK128" s="351" t="s">
        <v>1096</v>
      </c>
      <c r="AL128" s="351" t="s">
        <v>1140</v>
      </c>
      <c r="AM128" s="351" t="s">
        <v>1141</v>
      </c>
      <c r="AN128" s="351" t="s">
        <v>1142</v>
      </c>
      <c r="AO128" s="351" t="s">
        <v>1143</v>
      </c>
      <c r="AP128" s="351" t="s">
        <v>1144</v>
      </c>
      <c r="AQ128" s="351" t="s">
        <v>1145</v>
      </c>
      <c r="AR128" s="351" t="s">
        <v>1146</v>
      </c>
      <c r="AS128" s="351" t="s">
        <v>1147</v>
      </c>
      <c r="AT128" s="351" t="s">
        <v>1176</v>
      </c>
      <c r="AU128" s="351" t="s">
        <v>1247</v>
      </c>
      <c r="AV128" s="351" t="s">
        <v>1293</v>
      </c>
      <c r="AW128" s="351" t="s">
        <v>1291</v>
      </c>
      <c r="AX128" s="351" t="s">
        <v>1294</v>
      </c>
      <c r="AY128" s="351" t="s">
        <v>1295</v>
      </c>
      <c r="AZ128" s="351" t="s">
        <v>1372</v>
      </c>
      <c r="BA128" s="351" t="s">
        <v>1373</v>
      </c>
      <c r="BB128" s="351" t="s">
        <v>1481</v>
      </c>
    </row>
    <row r="129" spans="1:54">
      <c r="A129" s="351" t="s">
        <v>612</v>
      </c>
      <c r="B129" s="552"/>
      <c r="C129" s="278" t="str">
        <f>IFERROR(VLOOKUP("D-SPA"&amp;4,お客様情報!$R$34:$U$38,4,FALSE),"")</f>
        <v/>
      </c>
      <c r="D129" s="278">
        <f>D$103</f>
        <v>1</v>
      </c>
      <c r="E129" s="278">
        <v>1</v>
      </c>
      <c r="F129" s="278" t="str">
        <f>F$123</f>
        <v/>
      </c>
      <c r="G129" s="278" t="str">
        <f>G$123</f>
        <v/>
      </c>
      <c r="H129" s="314"/>
      <c r="I129" s="314"/>
      <c r="J129" s="556" t="str">
        <f>$J$123</f>
        <v/>
      </c>
      <c r="K129" s="556" t="str">
        <f>$K$123</f>
        <v/>
      </c>
      <c r="L129" s="314"/>
      <c r="M129" s="278" t="str">
        <f>M$123</f>
        <v/>
      </c>
      <c r="N129" s="314"/>
      <c r="O129" s="314"/>
      <c r="P129" s="314"/>
      <c r="Q129" s="278" t="str">
        <f>Q$123</f>
        <v/>
      </c>
      <c r="R129" s="278" t="str">
        <f>R$123</f>
        <v/>
      </c>
      <c r="S129" s="278" t="e">
        <f t="shared" ref="S129:X129" si="19">S$123</f>
        <v>#N/A</v>
      </c>
      <c r="T129" s="278" t="e">
        <f t="shared" si="19"/>
        <v>#N/A</v>
      </c>
      <c r="U129" s="278"/>
      <c r="V129" s="278" t="str">
        <f t="shared" si="19"/>
        <v/>
      </c>
      <c r="W129" s="286" t="str">
        <f t="shared" si="19"/>
        <v/>
      </c>
      <c r="X129" s="278" t="str">
        <f t="shared" si="19"/>
        <v/>
      </c>
      <c r="Y129" s="278" t="str">
        <f>$Y$123</f>
        <v/>
      </c>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row>
    <row r="130" spans="1:54">
      <c r="A130" s="351" t="s">
        <v>586</v>
      </c>
      <c r="B130" s="351" t="s">
        <v>634</v>
      </c>
      <c r="C130" s="351" t="s">
        <v>620</v>
      </c>
      <c r="D130" s="351" t="s">
        <v>621</v>
      </c>
      <c r="E130" s="351" t="s">
        <v>622</v>
      </c>
      <c r="F130" s="351" t="s">
        <v>614</v>
      </c>
      <c r="G130" s="351" t="s">
        <v>670</v>
      </c>
      <c r="H130" s="351" t="s">
        <v>624</v>
      </c>
      <c r="I130" s="351" t="s">
        <v>625</v>
      </c>
      <c r="J130" s="351" t="s">
        <v>626</v>
      </c>
      <c r="K130" s="351" t="s">
        <v>627</v>
      </c>
      <c r="L130" s="351" t="s">
        <v>628</v>
      </c>
      <c r="M130" s="351" t="s">
        <v>629</v>
      </c>
      <c r="N130" s="351" t="s">
        <v>630</v>
      </c>
      <c r="O130" s="351" t="s">
        <v>631</v>
      </c>
      <c r="P130" s="351" t="s">
        <v>632</v>
      </c>
      <c r="Q130" s="351" t="s">
        <v>633</v>
      </c>
      <c r="R130" s="351" t="s">
        <v>1116</v>
      </c>
      <c r="S130" s="351" t="s">
        <v>701</v>
      </c>
      <c r="T130" s="351" t="s">
        <v>702</v>
      </c>
      <c r="U130" s="351" t="s">
        <v>699</v>
      </c>
      <c r="V130" s="351" t="s">
        <v>700</v>
      </c>
      <c r="W130" s="351" t="s">
        <v>822</v>
      </c>
      <c r="X130" s="351" t="s">
        <v>880</v>
      </c>
      <c r="Y130" s="351" t="s">
        <v>1118</v>
      </c>
      <c r="Z130" s="351" t="s">
        <v>1124</v>
      </c>
      <c r="AA130" s="351" t="s">
        <v>1125</v>
      </c>
      <c r="AB130" s="351" t="s">
        <v>1126</v>
      </c>
      <c r="AC130" s="351" t="s">
        <v>1127</v>
      </c>
      <c r="AD130" s="351" t="s">
        <v>1128</v>
      </c>
      <c r="AE130" s="351" t="s">
        <v>737</v>
      </c>
      <c r="AF130" s="351" t="s">
        <v>741</v>
      </c>
      <c r="AG130" s="351" t="s">
        <v>745</v>
      </c>
      <c r="AH130" s="351" t="s">
        <v>746</v>
      </c>
      <c r="AI130" s="351" t="s">
        <v>748</v>
      </c>
      <c r="AJ130" s="351" t="s">
        <v>747</v>
      </c>
      <c r="AK130" s="351" t="s">
        <v>1096</v>
      </c>
      <c r="AL130" s="351" t="s">
        <v>1140</v>
      </c>
      <c r="AM130" s="351" t="s">
        <v>1141</v>
      </c>
      <c r="AN130" s="351" t="s">
        <v>1142</v>
      </c>
      <c r="AO130" s="351" t="s">
        <v>1143</v>
      </c>
      <c r="AP130" s="351" t="s">
        <v>1144</v>
      </c>
      <c r="AQ130" s="351" t="s">
        <v>1145</v>
      </c>
      <c r="AR130" s="351" t="s">
        <v>1146</v>
      </c>
      <c r="AS130" s="351" t="s">
        <v>1147</v>
      </c>
      <c r="AT130" s="351" t="s">
        <v>1176</v>
      </c>
      <c r="AU130" s="351" t="s">
        <v>1247</v>
      </c>
      <c r="AV130" s="351" t="s">
        <v>1293</v>
      </c>
      <c r="AW130" s="351" t="s">
        <v>1291</v>
      </c>
      <c r="AX130" s="351" t="s">
        <v>1294</v>
      </c>
      <c r="AY130" s="351" t="s">
        <v>1295</v>
      </c>
      <c r="AZ130" s="351" t="s">
        <v>1372</v>
      </c>
      <c r="BA130" s="351" t="s">
        <v>1373</v>
      </c>
      <c r="BB130" s="351" t="s">
        <v>1481</v>
      </c>
    </row>
    <row r="131" spans="1:54">
      <c r="A131" s="351" t="s">
        <v>612</v>
      </c>
      <c r="B131" s="552"/>
      <c r="C131" s="278" t="str">
        <f>IFERROR(VLOOKUP("D-SPA"&amp;5,お客様情報!$R$34:$U$38,4,FALSE),"")</f>
        <v/>
      </c>
      <c r="D131" s="278">
        <f>D$103</f>
        <v>1</v>
      </c>
      <c r="E131" s="278">
        <v>1</v>
      </c>
      <c r="F131" s="278" t="str">
        <f>F$123</f>
        <v/>
      </c>
      <c r="G131" s="278" t="str">
        <f>G$123</f>
        <v/>
      </c>
      <c r="H131" s="314"/>
      <c r="I131" s="314"/>
      <c r="J131" s="556" t="str">
        <f>$J$123</f>
        <v/>
      </c>
      <c r="K131" s="556" t="str">
        <f>$K$123</f>
        <v/>
      </c>
      <c r="L131" s="314"/>
      <c r="M131" s="278" t="str">
        <f>M$123</f>
        <v/>
      </c>
      <c r="N131" s="314"/>
      <c r="O131" s="314"/>
      <c r="P131" s="314"/>
      <c r="Q131" s="278" t="str">
        <f>Q$123</f>
        <v/>
      </c>
      <c r="R131" s="278" t="str">
        <f>R$123</f>
        <v/>
      </c>
      <c r="S131" s="278" t="e">
        <f t="shared" ref="S131:X131" si="20">S$123</f>
        <v>#N/A</v>
      </c>
      <c r="T131" s="278" t="e">
        <f t="shared" si="20"/>
        <v>#N/A</v>
      </c>
      <c r="U131" s="278"/>
      <c r="V131" s="278" t="str">
        <f t="shared" si="20"/>
        <v/>
      </c>
      <c r="W131" s="286" t="str">
        <f t="shared" si="20"/>
        <v/>
      </c>
      <c r="X131" s="278" t="str">
        <f t="shared" si="20"/>
        <v/>
      </c>
      <c r="Y131" s="278" t="str">
        <f>$Y$123</f>
        <v/>
      </c>
      <c r="Z131" s="314"/>
      <c r="AA131" s="314"/>
      <c r="AB131" s="314"/>
      <c r="AC131" s="314"/>
      <c r="AD131" s="314"/>
      <c r="AE131" s="314"/>
      <c r="AF131" s="314"/>
      <c r="AG131" s="314"/>
      <c r="AH131" s="314"/>
      <c r="AI131" s="314"/>
      <c r="AJ131" s="314"/>
      <c r="AK131" s="314"/>
      <c r="AL131" s="314"/>
      <c r="AM131" s="314"/>
      <c r="AN131" s="314"/>
      <c r="AO131" s="314"/>
      <c r="AP131" s="314"/>
      <c r="AQ131" s="314"/>
      <c r="AR131" s="314"/>
      <c r="AS131" s="314"/>
      <c r="AT131" s="314"/>
      <c r="AU131" s="314"/>
      <c r="AV131" s="314"/>
      <c r="AW131" s="314"/>
      <c r="AX131" s="314"/>
      <c r="AY131" s="314"/>
      <c r="AZ131" s="314"/>
      <c r="BA131" s="314"/>
      <c r="BB131" s="314"/>
    </row>
    <row r="132" spans="1:54">
      <c r="A132" s="352" t="s">
        <v>586</v>
      </c>
      <c r="B132" s="352" t="s">
        <v>634</v>
      </c>
      <c r="C132" s="352" t="s">
        <v>620</v>
      </c>
      <c r="D132" s="352" t="s">
        <v>621</v>
      </c>
      <c r="E132" s="352" t="s">
        <v>622</v>
      </c>
      <c r="F132" s="352" t="s">
        <v>614</v>
      </c>
      <c r="G132" s="352" t="s">
        <v>670</v>
      </c>
      <c r="H132" s="352" t="s">
        <v>624</v>
      </c>
      <c r="I132" s="352" t="s">
        <v>625</v>
      </c>
      <c r="J132" s="352" t="s">
        <v>626</v>
      </c>
      <c r="K132" s="352" t="s">
        <v>627</v>
      </c>
      <c r="L132" s="352" t="s">
        <v>628</v>
      </c>
      <c r="M132" s="352" t="s">
        <v>629</v>
      </c>
      <c r="N132" s="352" t="s">
        <v>630</v>
      </c>
      <c r="O132" s="352" t="s">
        <v>631</v>
      </c>
      <c r="P132" s="352" t="s">
        <v>632</v>
      </c>
      <c r="Q132" s="352" t="s">
        <v>633</v>
      </c>
      <c r="R132" s="352" t="s">
        <v>1116</v>
      </c>
      <c r="S132" s="352" t="s">
        <v>701</v>
      </c>
      <c r="T132" s="352" t="s">
        <v>702</v>
      </c>
      <c r="U132" s="352" t="s">
        <v>699</v>
      </c>
      <c r="V132" s="352" t="s">
        <v>700</v>
      </c>
      <c r="W132" s="352" t="s">
        <v>822</v>
      </c>
      <c r="X132" s="352" t="s">
        <v>880</v>
      </c>
      <c r="Y132" s="352" t="s">
        <v>1118</v>
      </c>
      <c r="Z132" s="352" t="s">
        <v>1124</v>
      </c>
      <c r="AA132" s="352" t="s">
        <v>1125</v>
      </c>
      <c r="AB132" s="352" t="s">
        <v>1126</v>
      </c>
      <c r="AC132" s="352" t="s">
        <v>1127</v>
      </c>
      <c r="AD132" s="352" t="s">
        <v>1128</v>
      </c>
      <c r="AE132" s="352" t="s">
        <v>737</v>
      </c>
      <c r="AF132" s="352" t="s">
        <v>741</v>
      </c>
      <c r="AG132" s="352" t="s">
        <v>745</v>
      </c>
      <c r="AH132" s="352" t="s">
        <v>746</v>
      </c>
      <c r="AI132" s="352" t="s">
        <v>748</v>
      </c>
      <c r="AJ132" s="352" t="s">
        <v>747</v>
      </c>
      <c r="AK132" s="352" t="s">
        <v>1096</v>
      </c>
      <c r="AL132" s="352" t="s">
        <v>1140</v>
      </c>
      <c r="AM132" s="352" t="s">
        <v>1141</v>
      </c>
      <c r="AN132" s="352" t="s">
        <v>1142</v>
      </c>
      <c r="AO132" s="352" t="s">
        <v>1143</v>
      </c>
      <c r="AP132" s="352" t="s">
        <v>1144</v>
      </c>
      <c r="AQ132" s="352" t="s">
        <v>1145</v>
      </c>
      <c r="AR132" s="352" t="s">
        <v>1146</v>
      </c>
      <c r="AS132" s="352" t="s">
        <v>1147</v>
      </c>
      <c r="AT132" s="352" t="s">
        <v>1176</v>
      </c>
      <c r="AU132" s="352" t="s">
        <v>1247</v>
      </c>
      <c r="AV132" s="352" t="s">
        <v>1293</v>
      </c>
      <c r="AW132" s="352" t="s">
        <v>1291</v>
      </c>
      <c r="AX132" s="352" t="s">
        <v>1294</v>
      </c>
      <c r="AY132" s="352" t="s">
        <v>1295</v>
      </c>
      <c r="AZ132" s="352" t="s">
        <v>1372</v>
      </c>
      <c r="BA132" s="352" t="s">
        <v>1373</v>
      </c>
      <c r="BB132" s="352" t="s">
        <v>1481</v>
      </c>
    </row>
    <row r="133" spans="1:54">
      <c r="A133" s="353" t="s">
        <v>612</v>
      </c>
      <c r="B133" s="552"/>
      <c r="C133" s="567" t="str">
        <f>IFERROR(VLOOKUP("D-SPA"&amp;1,お客様情報!$R$34:$U$38,4,FALSE),"")</f>
        <v/>
      </c>
      <c r="D133" s="278">
        <f>D$103</f>
        <v>1</v>
      </c>
      <c r="E133" s="278">
        <v>1</v>
      </c>
      <c r="F133" s="278" t="str">
        <f>IF(入力フォームDSPA!AG97="初年度",TEXT(中間データDSPA!G4,"YYYY-MM-DD"),"")</f>
        <v/>
      </c>
      <c r="G133" s="278" t="str">
        <f>LEFT(入力フォームDSPA!BJ97,1)</f>
        <v/>
      </c>
      <c r="H133" s="314"/>
      <c r="I133" s="314"/>
      <c r="J133" s="556" t="str">
        <f>IF(入力フォームDSPA!AZ156="はい/お客様アドレス",入力フォームDSPA!AG40,"")</f>
        <v/>
      </c>
      <c r="K133" s="556" t="str">
        <f>IF(入力フォームDSPA!AZ156="はい/通知先記入",入力フォームDSPA!BR156,"")</f>
        <v/>
      </c>
      <c r="L133" s="314"/>
      <c r="M133" s="278" t="str">
        <f>IF(入力フォームDSPA!AL103&lt;&gt;"",入力フォームDSPA!AL103,"")</f>
        <v/>
      </c>
      <c r="N133" s="314"/>
      <c r="O133" s="314"/>
      <c r="P133" s="314"/>
      <c r="Q133" s="278" t="str">
        <f>IF(入力フォームDSPA!R122="A表に同じ",入力フォームDSPA!$M$33&amp;入力フォームDSPA!$AD$33&amp;入力フォームDSPA!$AU$33&amp;入力フォームDSPA!$M$35&amp;入力フォームDSPA!$AM$35&amp;"（"&amp;お客様情報!K8&amp;"内）",IF(入力フォームDSPA!R122="A表と異なる",入力フォームDSPA!BI122&amp;入力フォームDSPA!BN122&amp;入力フォームDSPA!BS122&amp;入力フォームDSPA!CA122&amp;入力フォームDSPA!CM122&amp;"（"&amp;入力フォームDSPA!Z122&amp;"内）",""))</f>
        <v/>
      </c>
      <c r="R133" s="278" t="str">
        <f>IF(ISBLANK(入力フォームDSPA!L97),"",IF(入力フォームDSPA!W103="コールドスタンバイ",入力フォームDSPA!L97&amp;" (コールドスタンバイ)",入力フォームDSPA!L97))</f>
        <v/>
      </c>
      <c r="S133" s="278" t="e">
        <f>IF(お客様情報!$N$64="","",お客様情報!$N$64)</f>
        <v>#N/A</v>
      </c>
      <c r="T133" s="278" t="e">
        <f>IF(お客様情報!$N$65="","",お客様情報!$N$65)</f>
        <v>#N/A</v>
      </c>
      <c r="U133" s="278"/>
      <c r="V133" s="278" t="str">
        <f>IF(OR(入力フォームDSPA!AE84="",入力フォームDSPA!AE84="なし"),"",IF(COUNTIF(入力フォームDSPA!AE84,"*倍量*")&gt;0,"HDD拡充倍量オプション","HDD拡充オプション"))</f>
        <v/>
      </c>
      <c r="W133" s="278" t="str">
        <f>IF(OR(入力フォームDSPA!BM84="",入力フォームDSPA!BM84="なし"),"","追加ﾈｯﾄﾜｰｸ・ｲﾝﾀｰﾌｪｰｽ・ｵﾌﾟｼｮﾝ")</f>
        <v/>
      </c>
      <c r="X133" s="278" t="str">
        <f>IF(OR(入力フォームDSPA!CD84="",入力フォームDSPA!CD84="なし"),"","電源冗長化オプション")</f>
        <v/>
      </c>
      <c r="Y133" s="278" t="str">
        <f>IF(OR(入力フォームDSPA!CU84="",入力フォームDSPA!CU84="なし"),"",VLOOKUP(入力フォームDSPA!CU84,中間データDSPA!$B$93:$C$97,2,FALSE))</f>
        <v/>
      </c>
      <c r="Z133" s="314"/>
      <c r="AA133" s="314"/>
      <c r="AB133" s="314"/>
      <c r="AC133" s="314"/>
      <c r="AD133" s="314"/>
      <c r="AE133" s="314"/>
      <c r="AF133" s="314"/>
      <c r="AG133" s="314"/>
      <c r="AH133" s="314"/>
      <c r="AI133" s="314"/>
      <c r="AJ133" s="314"/>
      <c r="AK133" s="314"/>
      <c r="AL133" s="314"/>
      <c r="AM133" s="314"/>
      <c r="AN133" s="314"/>
      <c r="AO133" s="314"/>
      <c r="AP133" s="314"/>
      <c r="AQ133" s="314"/>
      <c r="AR133" s="314"/>
      <c r="AS133" s="314"/>
      <c r="AT133" s="314"/>
      <c r="AU133" s="314"/>
      <c r="AV133" s="314"/>
      <c r="AW133" s="314"/>
      <c r="AX133" s="314"/>
      <c r="AY133" s="314"/>
      <c r="AZ133" s="314"/>
      <c r="BA133" s="314"/>
      <c r="BB133" s="314"/>
    </row>
    <row r="134" spans="1:54">
      <c r="A134" s="352" t="s">
        <v>586</v>
      </c>
      <c r="B134" s="352" t="s">
        <v>634</v>
      </c>
      <c r="C134" s="352" t="s">
        <v>620</v>
      </c>
      <c r="D134" s="352" t="s">
        <v>621</v>
      </c>
      <c r="E134" s="352" t="s">
        <v>622</v>
      </c>
      <c r="F134" s="352" t="s">
        <v>614</v>
      </c>
      <c r="G134" s="352" t="s">
        <v>670</v>
      </c>
      <c r="H134" s="352" t="s">
        <v>624</v>
      </c>
      <c r="I134" s="352" t="s">
        <v>625</v>
      </c>
      <c r="J134" s="352" t="s">
        <v>626</v>
      </c>
      <c r="K134" s="352" t="s">
        <v>627</v>
      </c>
      <c r="L134" s="352" t="s">
        <v>628</v>
      </c>
      <c r="M134" s="352" t="s">
        <v>629</v>
      </c>
      <c r="N134" s="352" t="s">
        <v>630</v>
      </c>
      <c r="O134" s="352" t="s">
        <v>631</v>
      </c>
      <c r="P134" s="352" t="s">
        <v>632</v>
      </c>
      <c r="Q134" s="352" t="s">
        <v>633</v>
      </c>
      <c r="R134" s="352" t="s">
        <v>1116</v>
      </c>
      <c r="S134" s="352" t="s">
        <v>701</v>
      </c>
      <c r="T134" s="352" t="s">
        <v>702</v>
      </c>
      <c r="U134" s="352" t="s">
        <v>699</v>
      </c>
      <c r="V134" s="352" t="s">
        <v>700</v>
      </c>
      <c r="W134" s="352" t="s">
        <v>822</v>
      </c>
      <c r="X134" s="352" t="s">
        <v>880</v>
      </c>
      <c r="Y134" s="352" t="s">
        <v>1118</v>
      </c>
      <c r="Z134" s="352" t="s">
        <v>1124</v>
      </c>
      <c r="AA134" s="352" t="s">
        <v>1125</v>
      </c>
      <c r="AB134" s="352" t="s">
        <v>1126</v>
      </c>
      <c r="AC134" s="352" t="s">
        <v>1127</v>
      </c>
      <c r="AD134" s="352" t="s">
        <v>1128</v>
      </c>
      <c r="AE134" s="352" t="s">
        <v>737</v>
      </c>
      <c r="AF134" s="352" t="s">
        <v>741</v>
      </c>
      <c r="AG134" s="352" t="s">
        <v>745</v>
      </c>
      <c r="AH134" s="352" t="s">
        <v>746</v>
      </c>
      <c r="AI134" s="352" t="s">
        <v>748</v>
      </c>
      <c r="AJ134" s="352" t="s">
        <v>747</v>
      </c>
      <c r="AK134" s="352" t="s">
        <v>1096</v>
      </c>
      <c r="AL134" s="352" t="s">
        <v>1140</v>
      </c>
      <c r="AM134" s="352" t="s">
        <v>1141</v>
      </c>
      <c r="AN134" s="352" t="s">
        <v>1142</v>
      </c>
      <c r="AO134" s="352" t="s">
        <v>1143</v>
      </c>
      <c r="AP134" s="352" t="s">
        <v>1144</v>
      </c>
      <c r="AQ134" s="352" t="s">
        <v>1145</v>
      </c>
      <c r="AR134" s="352" t="s">
        <v>1146</v>
      </c>
      <c r="AS134" s="352" t="s">
        <v>1147</v>
      </c>
      <c r="AT134" s="352" t="s">
        <v>1176</v>
      </c>
      <c r="AU134" s="352" t="s">
        <v>1247</v>
      </c>
      <c r="AV134" s="352" t="s">
        <v>1293</v>
      </c>
      <c r="AW134" s="352" t="s">
        <v>1291</v>
      </c>
      <c r="AX134" s="352" t="s">
        <v>1294</v>
      </c>
      <c r="AY134" s="352" t="s">
        <v>1295</v>
      </c>
      <c r="AZ134" s="352" t="s">
        <v>1372</v>
      </c>
      <c r="BA134" s="352" t="s">
        <v>1373</v>
      </c>
      <c r="BB134" s="352" t="s">
        <v>1481</v>
      </c>
    </row>
    <row r="135" spans="1:54">
      <c r="A135" s="353" t="s">
        <v>612</v>
      </c>
      <c r="B135" s="552"/>
      <c r="C135" s="278" t="str">
        <f>IFERROR(VLOOKUP("D-SPA"&amp;2,お客様情報!$R$34:$U$38,4,FALSE),"")</f>
        <v/>
      </c>
      <c r="D135" s="278">
        <f>D$103</f>
        <v>1</v>
      </c>
      <c r="E135" s="278">
        <v>1</v>
      </c>
      <c r="F135" s="278" t="str">
        <f>F$133</f>
        <v/>
      </c>
      <c r="G135" s="278" t="str">
        <f>G$133</f>
        <v/>
      </c>
      <c r="H135" s="314"/>
      <c r="I135" s="314"/>
      <c r="J135" s="556" t="str">
        <f>J$133</f>
        <v/>
      </c>
      <c r="K135" s="556" t="str">
        <f>K$133</f>
        <v/>
      </c>
      <c r="L135" s="314"/>
      <c r="M135" s="278" t="str">
        <f>M$133</f>
        <v/>
      </c>
      <c r="N135" s="314"/>
      <c r="O135" s="314"/>
      <c r="P135" s="314"/>
      <c r="Q135" s="278" t="str">
        <f>Q$133</f>
        <v/>
      </c>
      <c r="R135" s="278" t="str">
        <f>R$133</f>
        <v/>
      </c>
      <c r="S135" s="278" t="e">
        <f t="shared" ref="S135:Y135" si="21">S$133</f>
        <v>#N/A</v>
      </c>
      <c r="T135" s="278" t="e">
        <f t="shared" si="21"/>
        <v>#N/A</v>
      </c>
      <c r="U135" s="278"/>
      <c r="V135" s="278" t="str">
        <f t="shared" si="21"/>
        <v/>
      </c>
      <c r="W135" s="286" t="str">
        <f t="shared" si="21"/>
        <v/>
      </c>
      <c r="X135" s="278" t="str">
        <f t="shared" si="21"/>
        <v/>
      </c>
      <c r="Y135" s="278" t="str">
        <f t="shared" si="21"/>
        <v/>
      </c>
      <c r="Z135" s="314"/>
      <c r="AA135" s="314"/>
      <c r="AB135" s="314"/>
      <c r="AC135" s="314"/>
      <c r="AD135" s="314"/>
      <c r="AE135" s="314"/>
      <c r="AF135" s="314"/>
      <c r="AG135" s="314"/>
      <c r="AH135" s="314"/>
      <c r="AI135" s="314"/>
      <c r="AJ135" s="314"/>
      <c r="AK135" s="314"/>
      <c r="AL135" s="314"/>
      <c r="AM135" s="314"/>
      <c r="AN135" s="314"/>
      <c r="AO135" s="314"/>
      <c r="AP135" s="314"/>
      <c r="AQ135" s="314"/>
      <c r="AR135" s="314"/>
      <c r="AS135" s="314"/>
      <c r="AT135" s="314"/>
      <c r="AU135" s="314"/>
      <c r="AV135" s="314"/>
      <c r="AW135" s="314"/>
      <c r="AX135" s="314"/>
      <c r="AY135" s="314"/>
      <c r="AZ135" s="314"/>
      <c r="BA135" s="314"/>
      <c r="BB135" s="314"/>
    </row>
    <row r="136" spans="1:54">
      <c r="A136" s="352" t="s">
        <v>586</v>
      </c>
      <c r="B136" s="352" t="s">
        <v>634</v>
      </c>
      <c r="C136" s="352" t="s">
        <v>620</v>
      </c>
      <c r="D136" s="352" t="s">
        <v>621</v>
      </c>
      <c r="E136" s="352" t="s">
        <v>622</v>
      </c>
      <c r="F136" s="352" t="s">
        <v>614</v>
      </c>
      <c r="G136" s="352" t="s">
        <v>670</v>
      </c>
      <c r="H136" s="352" t="s">
        <v>624</v>
      </c>
      <c r="I136" s="352" t="s">
        <v>625</v>
      </c>
      <c r="J136" s="352" t="s">
        <v>626</v>
      </c>
      <c r="K136" s="352" t="s">
        <v>627</v>
      </c>
      <c r="L136" s="352" t="s">
        <v>628</v>
      </c>
      <c r="M136" s="352" t="s">
        <v>629</v>
      </c>
      <c r="N136" s="352" t="s">
        <v>630</v>
      </c>
      <c r="O136" s="352" t="s">
        <v>631</v>
      </c>
      <c r="P136" s="352" t="s">
        <v>632</v>
      </c>
      <c r="Q136" s="352" t="s">
        <v>633</v>
      </c>
      <c r="R136" s="352" t="s">
        <v>1116</v>
      </c>
      <c r="S136" s="352" t="s">
        <v>701</v>
      </c>
      <c r="T136" s="352" t="s">
        <v>702</v>
      </c>
      <c r="U136" s="352" t="s">
        <v>699</v>
      </c>
      <c r="V136" s="352" t="s">
        <v>700</v>
      </c>
      <c r="W136" s="352" t="s">
        <v>822</v>
      </c>
      <c r="X136" s="352" t="s">
        <v>880</v>
      </c>
      <c r="Y136" s="352" t="s">
        <v>1118</v>
      </c>
      <c r="Z136" s="352" t="s">
        <v>1124</v>
      </c>
      <c r="AA136" s="352" t="s">
        <v>1125</v>
      </c>
      <c r="AB136" s="352" t="s">
        <v>1126</v>
      </c>
      <c r="AC136" s="352" t="s">
        <v>1127</v>
      </c>
      <c r="AD136" s="352" t="s">
        <v>1128</v>
      </c>
      <c r="AE136" s="352" t="s">
        <v>737</v>
      </c>
      <c r="AF136" s="352" t="s">
        <v>741</v>
      </c>
      <c r="AG136" s="352" t="s">
        <v>745</v>
      </c>
      <c r="AH136" s="352" t="s">
        <v>746</v>
      </c>
      <c r="AI136" s="352" t="s">
        <v>748</v>
      </c>
      <c r="AJ136" s="352" t="s">
        <v>747</v>
      </c>
      <c r="AK136" s="352" t="s">
        <v>1096</v>
      </c>
      <c r="AL136" s="352" t="s">
        <v>1140</v>
      </c>
      <c r="AM136" s="352" t="s">
        <v>1141</v>
      </c>
      <c r="AN136" s="352" t="s">
        <v>1142</v>
      </c>
      <c r="AO136" s="352" t="s">
        <v>1143</v>
      </c>
      <c r="AP136" s="352" t="s">
        <v>1144</v>
      </c>
      <c r="AQ136" s="352" t="s">
        <v>1145</v>
      </c>
      <c r="AR136" s="352" t="s">
        <v>1146</v>
      </c>
      <c r="AS136" s="352" t="s">
        <v>1147</v>
      </c>
      <c r="AT136" s="352" t="s">
        <v>1176</v>
      </c>
      <c r="AU136" s="352" t="s">
        <v>1247</v>
      </c>
      <c r="AV136" s="352" t="s">
        <v>1293</v>
      </c>
      <c r="AW136" s="352" t="s">
        <v>1291</v>
      </c>
      <c r="AX136" s="352" t="s">
        <v>1294</v>
      </c>
      <c r="AY136" s="352" t="s">
        <v>1295</v>
      </c>
      <c r="AZ136" s="352" t="s">
        <v>1372</v>
      </c>
      <c r="BA136" s="352" t="s">
        <v>1373</v>
      </c>
      <c r="BB136" s="352" t="s">
        <v>1481</v>
      </c>
    </row>
    <row r="137" spans="1:54">
      <c r="A137" s="353" t="s">
        <v>612</v>
      </c>
      <c r="B137" s="552"/>
      <c r="C137" s="278" t="str">
        <f>IFERROR(VLOOKUP("D-SPA"&amp;3,お客様情報!$R$34:$U$38,4,FALSE),"")</f>
        <v/>
      </c>
      <c r="D137" s="278">
        <f>D$103</f>
        <v>1</v>
      </c>
      <c r="E137" s="278">
        <v>1</v>
      </c>
      <c r="F137" s="278" t="str">
        <f>F$133</f>
        <v/>
      </c>
      <c r="G137" s="278" t="str">
        <f>G$133</f>
        <v/>
      </c>
      <c r="H137" s="314"/>
      <c r="I137" s="314"/>
      <c r="J137" s="556" t="str">
        <f>J$133</f>
        <v/>
      </c>
      <c r="K137" s="556" t="str">
        <f>K$133</f>
        <v/>
      </c>
      <c r="L137" s="314"/>
      <c r="M137" s="278" t="str">
        <f>M$133</f>
        <v/>
      </c>
      <c r="N137" s="314"/>
      <c r="O137" s="314"/>
      <c r="P137" s="314"/>
      <c r="Q137" s="278" t="str">
        <f>Q$133</f>
        <v/>
      </c>
      <c r="R137" s="278" t="str">
        <f>R$133</f>
        <v/>
      </c>
      <c r="S137" s="278" t="e">
        <f t="shared" ref="S137:Y137" si="22">S$133</f>
        <v>#N/A</v>
      </c>
      <c r="T137" s="278" t="e">
        <f t="shared" si="22"/>
        <v>#N/A</v>
      </c>
      <c r="U137" s="278"/>
      <c r="V137" s="278" t="str">
        <f t="shared" si="22"/>
        <v/>
      </c>
      <c r="W137" s="286" t="str">
        <f t="shared" si="22"/>
        <v/>
      </c>
      <c r="X137" s="278" t="str">
        <f t="shared" si="22"/>
        <v/>
      </c>
      <c r="Y137" s="278" t="str">
        <f t="shared" si="22"/>
        <v/>
      </c>
      <c r="Z137" s="314"/>
      <c r="AA137" s="314"/>
      <c r="AB137" s="314"/>
      <c r="AC137" s="314"/>
      <c r="AD137" s="314"/>
      <c r="AE137" s="314"/>
      <c r="AF137" s="314"/>
      <c r="AG137" s="314"/>
      <c r="AH137" s="314"/>
      <c r="AI137" s="314"/>
      <c r="AJ137" s="314"/>
      <c r="AK137" s="314"/>
      <c r="AL137" s="314"/>
      <c r="AM137" s="314"/>
      <c r="AN137" s="314"/>
      <c r="AO137" s="314"/>
      <c r="AP137" s="314"/>
      <c r="AQ137" s="314"/>
      <c r="AR137" s="314"/>
      <c r="AS137" s="314"/>
      <c r="AT137" s="314"/>
      <c r="AU137" s="314"/>
      <c r="AV137" s="314"/>
      <c r="AW137" s="314"/>
      <c r="AX137" s="314"/>
      <c r="AY137" s="314"/>
      <c r="AZ137" s="314"/>
      <c r="BA137" s="314"/>
      <c r="BB137" s="314"/>
    </row>
    <row r="138" spans="1:54">
      <c r="A138" s="352" t="s">
        <v>586</v>
      </c>
      <c r="B138" s="352" t="s">
        <v>634</v>
      </c>
      <c r="C138" s="352" t="s">
        <v>620</v>
      </c>
      <c r="D138" s="352" t="s">
        <v>621</v>
      </c>
      <c r="E138" s="352" t="s">
        <v>622</v>
      </c>
      <c r="F138" s="352" t="s">
        <v>614</v>
      </c>
      <c r="G138" s="352" t="s">
        <v>670</v>
      </c>
      <c r="H138" s="352" t="s">
        <v>624</v>
      </c>
      <c r="I138" s="352" t="s">
        <v>625</v>
      </c>
      <c r="J138" s="352" t="s">
        <v>626</v>
      </c>
      <c r="K138" s="352" t="s">
        <v>627</v>
      </c>
      <c r="L138" s="352" t="s">
        <v>628</v>
      </c>
      <c r="M138" s="352" t="s">
        <v>629</v>
      </c>
      <c r="N138" s="352" t="s">
        <v>630</v>
      </c>
      <c r="O138" s="352" t="s">
        <v>631</v>
      </c>
      <c r="P138" s="352" t="s">
        <v>632</v>
      </c>
      <c r="Q138" s="352" t="s">
        <v>633</v>
      </c>
      <c r="R138" s="352" t="s">
        <v>1116</v>
      </c>
      <c r="S138" s="352" t="s">
        <v>701</v>
      </c>
      <c r="T138" s="352" t="s">
        <v>702</v>
      </c>
      <c r="U138" s="352" t="s">
        <v>699</v>
      </c>
      <c r="V138" s="352" t="s">
        <v>700</v>
      </c>
      <c r="W138" s="352" t="s">
        <v>822</v>
      </c>
      <c r="X138" s="352" t="s">
        <v>880</v>
      </c>
      <c r="Y138" s="352" t="s">
        <v>1118</v>
      </c>
      <c r="Z138" s="352" t="s">
        <v>1124</v>
      </c>
      <c r="AA138" s="352" t="s">
        <v>1125</v>
      </c>
      <c r="AB138" s="352" t="s">
        <v>1126</v>
      </c>
      <c r="AC138" s="352" t="s">
        <v>1127</v>
      </c>
      <c r="AD138" s="352" t="s">
        <v>1128</v>
      </c>
      <c r="AE138" s="352" t="s">
        <v>737</v>
      </c>
      <c r="AF138" s="352" t="s">
        <v>741</v>
      </c>
      <c r="AG138" s="352" t="s">
        <v>745</v>
      </c>
      <c r="AH138" s="352" t="s">
        <v>746</v>
      </c>
      <c r="AI138" s="352" t="s">
        <v>748</v>
      </c>
      <c r="AJ138" s="352" t="s">
        <v>747</v>
      </c>
      <c r="AK138" s="352" t="s">
        <v>1096</v>
      </c>
      <c r="AL138" s="352" t="s">
        <v>1140</v>
      </c>
      <c r="AM138" s="352" t="s">
        <v>1141</v>
      </c>
      <c r="AN138" s="352" t="s">
        <v>1142</v>
      </c>
      <c r="AO138" s="352" t="s">
        <v>1143</v>
      </c>
      <c r="AP138" s="352" t="s">
        <v>1144</v>
      </c>
      <c r="AQ138" s="352" t="s">
        <v>1145</v>
      </c>
      <c r="AR138" s="352" t="s">
        <v>1146</v>
      </c>
      <c r="AS138" s="352" t="s">
        <v>1147</v>
      </c>
      <c r="AT138" s="352" t="s">
        <v>1176</v>
      </c>
      <c r="AU138" s="352" t="s">
        <v>1247</v>
      </c>
      <c r="AV138" s="352" t="s">
        <v>1293</v>
      </c>
      <c r="AW138" s="352" t="s">
        <v>1291</v>
      </c>
      <c r="AX138" s="352" t="s">
        <v>1294</v>
      </c>
      <c r="AY138" s="352" t="s">
        <v>1295</v>
      </c>
      <c r="AZ138" s="352" t="s">
        <v>1372</v>
      </c>
      <c r="BA138" s="352" t="s">
        <v>1373</v>
      </c>
      <c r="BB138" s="352" t="s">
        <v>1481</v>
      </c>
    </row>
    <row r="139" spans="1:54">
      <c r="A139" s="353" t="s">
        <v>612</v>
      </c>
      <c r="B139" s="279" t="str">
        <f>IF(AND(お客様情報!$E$2="通常DSPA",入力フォームDSPA!$D$103&lt;&gt;"",COUNTIF(お客様情報!$R$34:$R$38,"D-SPA4")&gt;0),4,"")</f>
        <v/>
      </c>
      <c r="C139" s="278" t="str">
        <f>IFERROR(VLOOKUP("D-SPA"&amp;4,お客様情報!$R$34:$U$38,4,FALSE),"")</f>
        <v/>
      </c>
      <c r="D139" s="278">
        <f>D$103</f>
        <v>1</v>
      </c>
      <c r="E139" s="278">
        <v>1</v>
      </c>
      <c r="F139" s="278" t="str">
        <f>F$133</f>
        <v/>
      </c>
      <c r="G139" s="278" t="str">
        <f>G$133</f>
        <v/>
      </c>
      <c r="H139" s="314"/>
      <c r="I139" s="314"/>
      <c r="J139" s="556" t="str">
        <f>J$133</f>
        <v/>
      </c>
      <c r="K139" s="556" t="str">
        <f>K$133</f>
        <v/>
      </c>
      <c r="L139" s="314"/>
      <c r="M139" s="278" t="str">
        <f>M$133</f>
        <v/>
      </c>
      <c r="N139" s="314"/>
      <c r="O139" s="314"/>
      <c r="P139" s="314"/>
      <c r="Q139" s="278" t="str">
        <f>Q$133</f>
        <v/>
      </c>
      <c r="R139" s="278" t="str">
        <f>R$133</f>
        <v/>
      </c>
      <c r="S139" s="278" t="e">
        <f t="shared" ref="S139:Y139" si="23">S$133</f>
        <v>#N/A</v>
      </c>
      <c r="T139" s="278" t="e">
        <f t="shared" si="23"/>
        <v>#N/A</v>
      </c>
      <c r="U139" s="278"/>
      <c r="V139" s="278" t="str">
        <f t="shared" si="23"/>
        <v/>
      </c>
      <c r="W139" s="286" t="str">
        <f t="shared" si="23"/>
        <v/>
      </c>
      <c r="X139" s="278" t="str">
        <f t="shared" si="23"/>
        <v/>
      </c>
      <c r="Y139" s="278" t="str">
        <f t="shared" si="23"/>
        <v/>
      </c>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c r="AU139" s="314"/>
      <c r="AV139" s="314"/>
      <c r="AW139" s="314"/>
      <c r="AX139" s="314"/>
      <c r="AY139" s="314"/>
      <c r="AZ139" s="314"/>
      <c r="BA139" s="314"/>
      <c r="BB139" s="314"/>
    </row>
    <row r="140" spans="1:54">
      <c r="A140" s="352" t="s">
        <v>586</v>
      </c>
      <c r="B140" s="352" t="s">
        <v>634</v>
      </c>
      <c r="C140" s="352" t="s">
        <v>620</v>
      </c>
      <c r="D140" s="352" t="s">
        <v>621</v>
      </c>
      <c r="E140" s="352" t="s">
        <v>622</v>
      </c>
      <c r="F140" s="352" t="s">
        <v>614</v>
      </c>
      <c r="G140" s="352" t="s">
        <v>670</v>
      </c>
      <c r="H140" s="352" t="s">
        <v>624</v>
      </c>
      <c r="I140" s="352" t="s">
        <v>625</v>
      </c>
      <c r="J140" s="352" t="s">
        <v>626</v>
      </c>
      <c r="K140" s="352" t="s">
        <v>627</v>
      </c>
      <c r="L140" s="352" t="s">
        <v>628</v>
      </c>
      <c r="M140" s="352" t="s">
        <v>629</v>
      </c>
      <c r="N140" s="352" t="s">
        <v>630</v>
      </c>
      <c r="O140" s="352" t="s">
        <v>631</v>
      </c>
      <c r="P140" s="352" t="s">
        <v>632</v>
      </c>
      <c r="Q140" s="352" t="s">
        <v>633</v>
      </c>
      <c r="R140" s="352" t="s">
        <v>1116</v>
      </c>
      <c r="S140" s="352" t="s">
        <v>701</v>
      </c>
      <c r="T140" s="352" t="s">
        <v>702</v>
      </c>
      <c r="U140" s="352" t="s">
        <v>699</v>
      </c>
      <c r="V140" s="352" t="s">
        <v>700</v>
      </c>
      <c r="W140" s="352" t="s">
        <v>822</v>
      </c>
      <c r="X140" s="352" t="s">
        <v>880</v>
      </c>
      <c r="Y140" s="352" t="s">
        <v>1118</v>
      </c>
      <c r="Z140" s="352" t="s">
        <v>1124</v>
      </c>
      <c r="AA140" s="352" t="s">
        <v>1125</v>
      </c>
      <c r="AB140" s="352" t="s">
        <v>1126</v>
      </c>
      <c r="AC140" s="352" t="s">
        <v>1127</v>
      </c>
      <c r="AD140" s="352" t="s">
        <v>1128</v>
      </c>
      <c r="AE140" s="352" t="s">
        <v>737</v>
      </c>
      <c r="AF140" s="352" t="s">
        <v>741</v>
      </c>
      <c r="AG140" s="352" t="s">
        <v>745</v>
      </c>
      <c r="AH140" s="352" t="s">
        <v>746</v>
      </c>
      <c r="AI140" s="352" t="s">
        <v>748</v>
      </c>
      <c r="AJ140" s="352" t="s">
        <v>747</v>
      </c>
      <c r="AK140" s="352" t="s">
        <v>1096</v>
      </c>
      <c r="AL140" s="352" t="s">
        <v>1140</v>
      </c>
      <c r="AM140" s="352" t="s">
        <v>1141</v>
      </c>
      <c r="AN140" s="352" t="s">
        <v>1142</v>
      </c>
      <c r="AO140" s="352" t="s">
        <v>1143</v>
      </c>
      <c r="AP140" s="352" t="s">
        <v>1144</v>
      </c>
      <c r="AQ140" s="352" t="s">
        <v>1145</v>
      </c>
      <c r="AR140" s="352" t="s">
        <v>1146</v>
      </c>
      <c r="AS140" s="352" t="s">
        <v>1147</v>
      </c>
      <c r="AT140" s="352" t="s">
        <v>1176</v>
      </c>
      <c r="AU140" s="352" t="s">
        <v>1247</v>
      </c>
      <c r="AV140" s="352" t="s">
        <v>1293</v>
      </c>
      <c r="AW140" s="352" t="s">
        <v>1291</v>
      </c>
      <c r="AX140" s="352" t="s">
        <v>1294</v>
      </c>
      <c r="AY140" s="352" t="s">
        <v>1295</v>
      </c>
      <c r="AZ140" s="352" t="s">
        <v>1372</v>
      </c>
      <c r="BA140" s="352" t="s">
        <v>1373</v>
      </c>
      <c r="BB140" s="352" t="s">
        <v>1481</v>
      </c>
    </row>
    <row r="141" spans="1:54">
      <c r="A141" s="353" t="s">
        <v>612</v>
      </c>
      <c r="B141" s="552"/>
      <c r="C141" s="278" t="str">
        <f>IFERROR(VLOOKUP("D-SPA"&amp;5,お客様情報!$R$34:$U$38,4,FALSE),"")</f>
        <v/>
      </c>
      <c r="D141" s="278">
        <f>D$103</f>
        <v>1</v>
      </c>
      <c r="E141" s="278">
        <v>1</v>
      </c>
      <c r="F141" s="278" t="str">
        <f>F$133</f>
        <v/>
      </c>
      <c r="G141" s="278" t="str">
        <f>G$133</f>
        <v/>
      </c>
      <c r="H141" s="314"/>
      <c r="I141" s="314"/>
      <c r="J141" s="556" t="str">
        <f>J$133</f>
        <v/>
      </c>
      <c r="K141" s="556" t="str">
        <f>K$133</f>
        <v/>
      </c>
      <c r="L141" s="314"/>
      <c r="M141" s="278" t="str">
        <f>M$133</f>
        <v/>
      </c>
      <c r="N141" s="314"/>
      <c r="O141" s="314"/>
      <c r="P141" s="314"/>
      <c r="Q141" s="278" t="str">
        <f>Q$133</f>
        <v/>
      </c>
      <c r="R141" s="278" t="str">
        <f>R$133</f>
        <v/>
      </c>
      <c r="S141" s="278" t="e">
        <f t="shared" ref="S141:Y141" si="24">S$133</f>
        <v>#N/A</v>
      </c>
      <c r="T141" s="278" t="e">
        <f t="shared" si="24"/>
        <v>#N/A</v>
      </c>
      <c r="U141" s="278"/>
      <c r="V141" s="278" t="str">
        <f t="shared" si="24"/>
        <v/>
      </c>
      <c r="W141" s="286" t="str">
        <f t="shared" si="24"/>
        <v/>
      </c>
      <c r="X141" s="278" t="str">
        <f t="shared" si="24"/>
        <v/>
      </c>
      <c r="Y141" s="278" t="str">
        <f t="shared" si="24"/>
        <v/>
      </c>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314"/>
      <c r="AV141" s="314"/>
      <c r="AW141" s="314"/>
      <c r="AX141" s="314"/>
      <c r="AY141" s="314"/>
      <c r="AZ141" s="314"/>
      <c r="BA141" s="314"/>
      <c r="BB141" s="314"/>
    </row>
    <row r="142" spans="1:54">
      <c r="A142" s="354" t="s">
        <v>586</v>
      </c>
      <c r="B142" s="354" t="s">
        <v>634</v>
      </c>
      <c r="C142" s="355" t="s">
        <v>620</v>
      </c>
      <c r="D142" s="354" t="s">
        <v>621</v>
      </c>
      <c r="E142" s="354" t="s">
        <v>622</v>
      </c>
      <c r="F142" s="354" t="s">
        <v>614</v>
      </c>
      <c r="G142" s="354" t="s">
        <v>623</v>
      </c>
      <c r="H142" s="354" t="s">
        <v>624</v>
      </c>
      <c r="I142" s="354" t="s">
        <v>625</v>
      </c>
      <c r="J142" s="354" t="s">
        <v>626</v>
      </c>
      <c r="K142" s="354" t="s">
        <v>627</v>
      </c>
      <c r="L142" s="354" t="s">
        <v>628</v>
      </c>
      <c r="M142" s="354" t="s">
        <v>629</v>
      </c>
      <c r="N142" s="354" t="s">
        <v>630</v>
      </c>
      <c r="O142" s="354" t="s">
        <v>631</v>
      </c>
      <c r="P142" s="354" t="s">
        <v>632</v>
      </c>
      <c r="Q142" s="354" t="s">
        <v>633</v>
      </c>
      <c r="R142" s="354" t="s">
        <v>1116</v>
      </c>
      <c r="S142" s="354" t="s">
        <v>701</v>
      </c>
      <c r="T142" s="354" t="s">
        <v>702</v>
      </c>
      <c r="U142" s="354" t="s">
        <v>699</v>
      </c>
      <c r="V142" s="354" t="s">
        <v>700</v>
      </c>
      <c r="W142" s="354" t="s">
        <v>822</v>
      </c>
      <c r="X142" s="354" t="s">
        <v>880</v>
      </c>
      <c r="Y142" s="354" t="s">
        <v>1118</v>
      </c>
      <c r="Z142" s="354" t="s">
        <v>1124</v>
      </c>
      <c r="AA142" s="354" t="s">
        <v>1125</v>
      </c>
      <c r="AB142" s="354" t="s">
        <v>1126</v>
      </c>
      <c r="AC142" s="354" t="s">
        <v>1127</v>
      </c>
      <c r="AD142" s="354" t="s">
        <v>1128</v>
      </c>
      <c r="AE142" s="354" t="s">
        <v>737</v>
      </c>
      <c r="AF142" s="354" t="s">
        <v>741</v>
      </c>
      <c r="AG142" s="354" t="s">
        <v>745</v>
      </c>
      <c r="AH142" s="354" t="s">
        <v>746</v>
      </c>
      <c r="AI142" s="354" t="s">
        <v>748</v>
      </c>
      <c r="AJ142" s="354" t="s">
        <v>747</v>
      </c>
      <c r="AK142" s="354" t="s">
        <v>1096</v>
      </c>
      <c r="AL142" s="354" t="s">
        <v>1140</v>
      </c>
      <c r="AM142" s="354" t="s">
        <v>1141</v>
      </c>
      <c r="AN142" s="354" t="s">
        <v>1142</v>
      </c>
      <c r="AO142" s="354" t="s">
        <v>1143</v>
      </c>
      <c r="AP142" s="354" t="s">
        <v>1144</v>
      </c>
      <c r="AQ142" s="354" t="s">
        <v>1145</v>
      </c>
      <c r="AR142" s="354" t="s">
        <v>1146</v>
      </c>
      <c r="AS142" s="354" t="s">
        <v>1147</v>
      </c>
      <c r="AT142" s="354" t="s">
        <v>1176</v>
      </c>
      <c r="AU142" s="354" t="s">
        <v>1247</v>
      </c>
      <c r="AV142" s="354" t="s">
        <v>1293</v>
      </c>
      <c r="AW142" s="354" t="s">
        <v>1291</v>
      </c>
      <c r="AX142" s="354" t="s">
        <v>1294</v>
      </c>
      <c r="AY142" s="354" t="s">
        <v>1295</v>
      </c>
      <c r="AZ142" s="354" t="s">
        <v>1372</v>
      </c>
      <c r="BA142" s="354" t="s">
        <v>1373</v>
      </c>
      <c r="BB142" s="354" t="s">
        <v>1481</v>
      </c>
    </row>
    <row r="143" spans="1:54">
      <c r="A143" s="354" t="s">
        <v>612</v>
      </c>
      <c r="B143" s="314"/>
      <c r="C143" s="356" t="str">
        <f>IFERROR(VLOOKUP("D-SPA"&amp;1,お客様情報!$R$34:$U$38,4,FALSE),"")</f>
        <v/>
      </c>
      <c r="D143" s="278">
        <f>D$103</f>
        <v>1</v>
      </c>
      <c r="E143" s="278">
        <v>1</v>
      </c>
      <c r="F143" s="278" t="str">
        <f>IF(入力フォームDSPA!AG97="初年度",TEXT(中間データDSPA!G4,"YYYY-MM-DD"),"")</f>
        <v/>
      </c>
      <c r="G143" s="278" t="str">
        <f>LEFT(入力フォームDSPA!BJ97,1)</f>
        <v/>
      </c>
      <c r="H143" s="314"/>
      <c r="I143" s="314"/>
      <c r="J143" s="556" t="str">
        <f>IF(入力フォームDSPA!AZ156="はい/お客様アドレス",入力フォームDSPA!AG40,"")</f>
        <v/>
      </c>
      <c r="K143" s="556" t="str">
        <f>IF(入力フォームDSPA!AZ156="はい/通知先記入",入力フォームDSPA!BR156,"")</f>
        <v/>
      </c>
      <c r="L143" s="314"/>
      <c r="M143" s="278" t="str">
        <f>IF(入力フォームDSPA!AL105&lt;&gt;"",入力フォームDSPA!AL105,"")</f>
        <v/>
      </c>
      <c r="N143" s="314"/>
      <c r="O143" s="314"/>
      <c r="P143" s="314"/>
      <c r="Q143" s="278" t="str">
        <f>IF(入力フォームDSPA!R124="A表に同じ",入力フォームDSPA!$M$33&amp;入力フォームDSPA!$AD$33&amp;入力フォームDSPA!$AU$33&amp;入力フォームDSPA!$M$35&amp;入力フォームDSPA!$AM$35&amp;"（"&amp;お客様情報!K8&amp;"内）",IF(入力フォームDSPA!R124="A表と異なる",入力フォームDSPA!BI124&amp;入力フォームDSPA!BN124&amp;入力フォームDSPA!BS124&amp;入力フォームDSPA!CA124&amp;入力フォームDSPA!CM124&amp;"（"&amp;入力フォームDSPA!Z124&amp;"内）",""))</f>
        <v/>
      </c>
      <c r="R143" s="278" t="str">
        <f>IF(ISBLANK(入力フォームDSPA!L97),"",IF(入力フォームDSPA!W105="コールドスタンバイ",入力フォームDSPA!L97&amp;" (コールドスタンバイ)",入力フォームDSPA!L97))</f>
        <v/>
      </c>
      <c r="S143" s="278" t="e">
        <f>IF(お客様情報!$N$64="","",お客様情報!$N$64)</f>
        <v>#N/A</v>
      </c>
      <c r="T143" s="278" t="e">
        <f>IF(お客様情報!$N$65="","",お客様情報!$N$65)</f>
        <v>#N/A</v>
      </c>
      <c r="U143" s="278"/>
      <c r="V143" s="278" t="str">
        <f>IF(OR(入力フォームDSPA!AE86="",入力フォームDSPA!AE86="なし"),"",IF(COUNTIF(入力フォームDSPA!AE86,"*倍量*")&gt;0,"HDD拡充倍量オプション","HDD拡充オプション"))</f>
        <v/>
      </c>
      <c r="W143" s="278" t="str">
        <f>IF(OR(入力フォームDSPA!BM86="",入力フォームDSPA!BM86="なし"),"","追加ﾈｯﾄﾜｰｸ・ｲﾝﾀｰﾌｪｰｽ・ｵﾌﾟｼｮﾝ")</f>
        <v/>
      </c>
      <c r="X143" s="278" t="str">
        <f>IF(OR(入力フォームDSPA!CD86="",入力フォームDSPA!CD86="なし"),"","電源冗長化オプション")</f>
        <v/>
      </c>
      <c r="Y143" s="278" t="str">
        <f>IF(OR(入力フォームDSPA!CU86="",入力フォームDSPA!CU86="なし"),"",VLOOKUP(入力フォームDSPA!CU86,中間データDSPA!$B$93:$C$97,2,FALSE))</f>
        <v/>
      </c>
      <c r="Z143" s="314"/>
      <c r="AA143" s="314"/>
      <c r="AB143" s="314"/>
      <c r="AC143" s="314"/>
      <c r="AD143" s="314"/>
      <c r="AE143" s="314"/>
      <c r="AF143" s="314"/>
      <c r="AG143" s="314"/>
      <c r="AH143" s="314"/>
      <c r="AI143" s="314"/>
      <c r="AJ143" s="314"/>
      <c r="AK143" s="314"/>
      <c r="AL143" s="314"/>
      <c r="AM143" s="314"/>
      <c r="AN143" s="314"/>
      <c r="AO143" s="314"/>
      <c r="AP143" s="314"/>
      <c r="AQ143" s="314"/>
      <c r="AR143" s="314"/>
      <c r="AS143" s="314"/>
      <c r="AT143" s="314"/>
      <c r="AU143" s="314"/>
      <c r="AV143" s="314"/>
      <c r="AW143" s="314"/>
      <c r="AX143" s="314"/>
      <c r="AY143" s="314"/>
      <c r="AZ143" s="314"/>
      <c r="BA143" s="314"/>
      <c r="BB143" s="314"/>
    </row>
    <row r="144" spans="1:54">
      <c r="A144" s="354" t="s">
        <v>586</v>
      </c>
      <c r="B144" s="354" t="s">
        <v>634</v>
      </c>
      <c r="C144" s="355" t="s">
        <v>620</v>
      </c>
      <c r="D144" s="354" t="s">
        <v>621</v>
      </c>
      <c r="E144" s="354" t="s">
        <v>622</v>
      </c>
      <c r="F144" s="354" t="s">
        <v>614</v>
      </c>
      <c r="G144" s="354" t="s">
        <v>623</v>
      </c>
      <c r="H144" s="354" t="s">
        <v>624</v>
      </c>
      <c r="I144" s="354" t="s">
        <v>625</v>
      </c>
      <c r="J144" s="354" t="s">
        <v>626</v>
      </c>
      <c r="K144" s="354" t="s">
        <v>627</v>
      </c>
      <c r="L144" s="354" t="s">
        <v>628</v>
      </c>
      <c r="M144" s="354" t="s">
        <v>629</v>
      </c>
      <c r="N144" s="354" t="s">
        <v>630</v>
      </c>
      <c r="O144" s="354" t="s">
        <v>631</v>
      </c>
      <c r="P144" s="354" t="s">
        <v>632</v>
      </c>
      <c r="Q144" s="354" t="s">
        <v>633</v>
      </c>
      <c r="R144" s="354" t="s">
        <v>1116</v>
      </c>
      <c r="S144" s="354" t="s">
        <v>701</v>
      </c>
      <c r="T144" s="354" t="s">
        <v>702</v>
      </c>
      <c r="U144" s="354" t="s">
        <v>699</v>
      </c>
      <c r="V144" s="354" t="s">
        <v>700</v>
      </c>
      <c r="W144" s="354" t="s">
        <v>822</v>
      </c>
      <c r="X144" s="354" t="s">
        <v>880</v>
      </c>
      <c r="Y144" s="354" t="s">
        <v>1118</v>
      </c>
      <c r="Z144" s="354" t="s">
        <v>1124</v>
      </c>
      <c r="AA144" s="354" t="s">
        <v>1125</v>
      </c>
      <c r="AB144" s="354" t="s">
        <v>1126</v>
      </c>
      <c r="AC144" s="354" t="s">
        <v>1127</v>
      </c>
      <c r="AD144" s="354" t="s">
        <v>1128</v>
      </c>
      <c r="AE144" s="354" t="s">
        <v>737</v>
      </c>
      <c r="AF144" s="354" t="s">
        <v>741</v>
      </c>
      <c r="AG144" s="354" t="s">
        <v>745</v>
      </c>
      <c r="AH144" s="354" t="s">
        <v>746</v>
      </c>
      <c r="AI144" s="354" t="s">
        <v>748</v>
      </c>
      <c r="AJ144" s="354" t="s">
        <v>747</v>
      </c>
      <c r="AK144" s="354" t="s">
        <v>1096</v>
      </c>
      <c r="AL144" s="354" t="s">
        <v>1140</v>
      </c>
      <c r="AM144" s="354" t="s">
        <v>1141</v>
      </c>
      <c r="AN144" s="354" t="s">
        <v>1142</v>
      </c>
      <c r="AO144" s="354" t="s">
        <v>1143</v>
      </c>
      <c r="AP144" s="354" t="s">
        <v>1144</v>
      </c>
      <c r="AQ144" s="354" t="s">
        <v>1145</v>
      </c>
      <c r="AR144" s="354" t="s">
        <v>1146</v>
      </c>
      <c r="AS144" s="354" t="s">
        <v>1147</v>
      </c>
      <c r="AT144" s="354" t="s">
        <v>1176</v>
      </c>
      <c r="AU144" s="354" t="s">
        <v>1247</v>
      </c>
      <c r="AV144" s="354" t="s">
        <v>1293</v>
      </c>
      <c r="AW144" s="354" t="s">
        <v>1291</v>
      </c>
      <c r="AX144" s="354" t="s">
        <v>1294</v>
      </c>
      <c r="AY144" s="354" t="s">
        <v>1295</v>
      </c>
      <c r="AZ144" s="354" t="s">
        <v>1372</v>
      </c>
      <c r="BA144" s="354" t="s">
        <v>1373</v>
      </c>
      <c r="BB144" s="354" t="s">
        <v>1481</v>
      </c>
    </row>
    <row r="145" spans="1:54">
      <c r="A145" s="354" t="s">
        <v>612</v>
      </c>
      <c r="B145" s="314"/>
      <c r="C145" s="279" t="str">
        <f>IFERROR(VLOOKUP("D-SPA"&amp;2,お客様情報!$R$34:$U$38,4,FALSE),"")</f>
        <v/>
      </c>
      <c r="D145" s="278">
        <f>D$103</f>
        <v>1</v>
      </c>
      <c r="E145" s="278">
        <v>1</v>
      </c>
      <c r="F145" s="278" t="str">
        <f>F$143</f>
        <v/>
      </c>
      <c r="G145" s="278" t="str">
        <f>G$143</f>
        <v/>
      </c>
      <c r="H145" s="314"/>
      <c r="I145" s="314"/>
      <c r="J145" s="556" t="str">
        <f>J$143</f>
        <v/>
      </c>
      <c r="K145" s="556" t="str">
        <f>K$143</f>
        <v/>
      </c>
      <c r="L145" s="314"/>
      <c r="M145" s="279" t="str">
        <f>M$143</f>
        <v/>
      </c>
      <c r="N145" s="314"/>
      <c r="O145" s="314"/>
      <c r="P145" s="314"/>
      <c r="Q145" s="279" t="str">
        <f>Q$143</f>
        <v/>
      </c>
      <c r="R145" s="278" t="str">
        <f>R$143</f>
        <v/>
      </c>
      <c r="S145" s="279" t="e">
        <f t="shared" ref="S145:Y145" si="25">S$143</f>
        <v>#N/A</v>
      </c>
      <c r="T145" s="279" t="e">
        <f t="shared" si="25"/>
        <v>#N/A</v>
      </c>
      <c r="U145" s="364"/>
      <c r="V145" s="279" t="str">
        <f t="shared" si="25"/>
        <v/>
      </c>
      <c r="W145" s="286" t="str">
        <f t="shared" si="25"/>
        <v/>
      </c>
      <c r="X145" s="278" t="str">
        <f t="shared" si="25"/>
        <v/>
      </c>
      <c r="Y145" s="278" t="str">
        <f t="shared" si="25"/>
        <v/>
      </c>
      <c r="Z145" s="314"/>
      <c r="AA145" s="314"/>
      <c r="AB145" s="314"/>
      <c r="AC145" s="314"/>
      <c r="AD145" s="314"/>
      <c r="AE145" s="314"/>
      <c r="AF145" s="314"/>
      <c r="AG145" s="314"/>
      <c r="AH145" s="314"/>
      <c r="AI145" s="314"/>
      <c r="AJ145" s="314"/>
      <c r="AK145" s="314"/>
      <c r="AL145" s="314"/>
      <c r="AM145" s="314"/>
      <c r="AN145" s="314"/>
      <c r="AO145" s="314"/>
      <c r="AP145" s="314"/>
      <c r="AQ145" s="314"/>
      <c r="AR145" s="314"/>
      <c r="AS145" s="314"/>
      <c r="AT145" s="314"/>
      <c r="AU145" s="314"/>
      <c r="AV145" s="314"/>
      <c r="AW145" s="314"/>
      <c r="AX145" s="314"/>
      <c r="AY145" s="314"/>
      <c r="AZ145" s="314"/>
      <c r="BA145" s="314"/>
      <c r="BB145" s="314"/>
    </row>
    <row r="146" spans="1:54">
      <c r="A146" s="354" t="s">
        <v>586</v>
      </c>
      <c r="B146" s="354" t="s">
        <v>634</v>
      </c>
      <c r="C146" s="355" t="s">
        <v>620</v>
      </c>
      <c r="D146" s="354" t="s">
        <v>621</v>
      </c>
      <c r="E146" s="354" t="s">
        <v>622</v>
      </c>
      <c r="F146" s="354" t="s">
        <v>614</v>
      </c>
      <c r="G146" s="354" t="s">
        <v>623</v>
      </c>
      <c r="H146" s="354" t="s">
        <v>624</v>
      </c>
      <c r="I146" s="354" t="s">
        <v>625</v>
      </c>
      <c r="J146" s="354" t="s">
        <v>626</v>
      </c>
      <c r="K146" s="354" t="s">
        <v>627</v>
      </c>
      <c r="L146" s="354" t="s">
        <v>628</v>
      </c>
      <c r="M146" s="354" t="s">
        <v>629</v>
      </c>
      <c r="N146" s="354" t="s">
        <v>630</v>
      </c>
      <c r="O146" s="354" t="s">
        <v>631</v>
      </c>
      <c r="P146" s="354" t="s">
        <v>632</v>
      </c>
      <c r="Q146" s="354" t="s">
        <v>633</v>
      </c>
      <c r="R146" s="354" t="s">
        <v>1116</v>
      </c>
      <c r="S146" s="354" t="s">
        <v>701</v>
      </c>
      <c r="T146" s="363" t="s">
        <v>702</v>
      </c>
      <c r="U146" s="354" t="s">
        <v>699</v>
      </c>
      <c r="V146" s="355" t="s">
        <v>700</v>
      </c>
      <c r="W146" s="354" t="s">
        <v>822</v>
      </c>
      <c r="X146" s="354" t="s">
        <v>880</v>
      </c>
      <c r="Y146" s="354" t="s">
        <v>1118</v>
      </c>
      <c r="Z146" s="354" t="s">
        <v>1124</v>
      </c>
      <c r="AA146" s="354" t="s">
        <v>1125</v>
      </c>
      <c r="AB146" s="354" t="s">
        <v>1126</v>
      </c>
      <c r="AC146" s="354" t="s">
        <v>1127</v>
      </c>
      <c r="AD146" s="354" t="s">
        <v>1128</v>
      </c>
      <c r="AE146" s="354" t="s">
        <v>737</v>
      </c>
      <c r="AF146" s="354" t="s">
        <v>741</v>
      </c>
      <c r="AG146" s="354" t="s">
        <v>745</v>
      </c>
      <c r="AH146" s="354" t="s">
        <v>746</v>
      </c>
      <c r="AI146" s="354" t="s">
        <v>748</v>
      </c>
      <c r="AJ146" s="354" t="s">
        <v>747</v>
      </c>
      <c r="AK146" s="354" t="s">
        <v>1096</v>
      </c>
      <c r="AL146" s="354" t="s">
        <v>1140</v>
      </c>
      <c r="AM146" s="354" t="s">
        <v>1141</v>
      </c>
      <c r="AN146" s="354" t="s">
        <v>1142</v>
      </c>
      <c r="AO146" s="354" t="s">
        <v>1143</v>
      </c>
      <c r="AP146" s="354" t="s">
        <v>1144</v>
      </c>
      <c r="AQ146" s="354" t="s">
        <v>1145</v>
      </c>
      <c r="AR146" s="354" t="s">
        <v>1146</v>
      </c>
      <c r="AS146" s="354" t="s">
        <v>1147</v>
      </c>
      <c r="AT146" s="354" t="s">
        <v>1176</v>
      </c>
      <c r="AU146" s="354" t="s">
        <v>1247</v>
      </c>
      <c r="AV146" s="354" t="s">
        <v>1293</v>
      </c>
      <c r="AW146" s="354" t="s">
        <v>1291</v>
      </c>
      <c r="AX146" s="354" t="s">
        <v>1294</v>
      </c>
      <c r="AY146" s="354" t="s">
        <v>1295</v>
      </c>
      <c r="AZ146" s="354" t="s">
        <v>1372</v>
      </c>
      <c r="BA146" s="354" t="s">
        <v>1373</v>
      </c>
      <c r="BB146" s="354" t="s">
        <v>1481</v>
      </c>
    </row>
    <row r="147" spans="1:54">
      <c r="A147" s="354" t="s">
        <v>612</v>
      </c>
      <c r="B147" s="314"/>
      <c r="C147" s="279" t="str">
        <f>IFERROR(VLOOKUP("D-SPA"&amp;3,お客様情報!$R$34:$U$38,4,FALSE),"")</f>
        <v/>
      </c>
      <c r="D147" s="278">
        <f>D$103</f>
        <v>1</v>
      </c>
      <c r="E147" s="278">
        <v>1</v>
      </c>
      <c r="F147" s="278" t="str">
        <f>F$143</f>
        <v/>
      </c>
      <c r="G147" s="278" t="str">
        <f>G$143</f>
        <v/>
      </c>
      <c r="H147" s="314"/>
      <c r="I147" s="314"/>
      <c r="J147" s="556" t="str">
        <f>J$143</f>
        <v/>
      </c>
      <c r="K147" s="556" t="str">
        <f>K$143</f>
        <v/>
      </c>
      <c r="L147" s="314"/>
      <c r="M147" s="279" t="str">
        <f>M$143</f>
        <v/>
      </c>
      <c r="N147" s="314"/>
      <c r="O147" s="314"/>
      <c r="P147" s="314"/>
      <c r="Q147" s="279" t="str">
        <f>Q$143</f>
        <v/>
      </c>
      <c r="R147" s="278" t="str">
        <f>R$143</f>
        <v/>
      </c>
      <c r="S147" s="279" t="e">
        <f t="shared" ref="S147:Y147" si="26">S$143</f>
        <v>#N/A</v>
      </c>
      <c r="T147" s="279" t="e">
        <f t="shared" si="26"/>
        <v>#N/A</v>
      </c>
      <c r="U147" s="365"/>
      <c r="V147" s="279" t="str">
        <f t="shared" si="26"/>
        <v/>
      </c>
      <c r="W147" s="286" t="str">
        <f t="shared" si="26"/>
        <v/>
      </c>
      <c r="X147" s="278" t="str">
        <f t="shared" si="26"/>
        <v/>
      </c>
      <c r="Y147" s="278" t="str">
        <f t="shared" si="26"/>
        <v/>
      </c>
      <c r="Z147" s="314"/>
      <c r="AA147" s="314"/>
      <c r="AB147" s="314"/>
      <c r="AC147" s="314"/>
      <c r="AD147" s="314"/>
      <c r="AE147" s="314"/>
      <c r="AF147" s="314"/>
      <c r="AG147" s="314"/>
      <c r="AH147" s="314"/>
      <c r="AI147" s="314"/>
      <c r="AJ147" s="314"/>
      <c r="AK147" s="314"/>
      <c r="AL147" s="314"/>
      <c r="AM147" s="314"/>
      <c r="AN147" s="314"/>
      <c r="AO147" s="314"/>
      <c r="AP147" s="314"/>
      <c r="AQ147" s="314"/>
      <c r="AR147" s="314"/>
      <c r="AS147" s="314"/>
      <c r="AT147" s="314"/>
      <c r="AU147" s="314"/>
      <c r="AV147" s="314"/>
      <c r="AW147" s="314"/>
      <c r="AX147" s="314"/>
      <c r="AY147" s="314"/>
      <c r="AZ147" s="314"/>
      <c r="BA147" s="314"/>
      <c r="BB147" s="314"/>
    </row>
    <row r="148" spans="1:54">
      <c r="A148" s="354" t="s">
        <v>586</v>
      </c>
      <c r="B148" s="354" t="s">
        <v>634</v>
      </c>
      <c r="C148" s="355" t="s">
        <v>620</v>
      </c>
      <c r="D148" s="354" t="s">
        <v>621</v>
      </c>
      <c r="E148" s="354" t="s">
        <v>622</v>
      </c>
      <c r="F148" s="354" t="s">
        <v>614</v>
      </c>
      <c r="G148" s="354" t="s">
        <v>623</v>
      </c>
      <c r="H148" s="354" t="s">
        <v>624</v>
      </c>
      <c r="I148" s="354" t="s">
        <v>625</v>
      </c>
      <c r="J148" s="354" t="s">
        <v>626</v>
      </c>
      <c r="K148" s="354" t="s">
        <v>627</v>
      </c>
      <c r="L148" s="354" t="s">
        <v>628</v>
      </c>
      <c r="M148" s="354" t="s">
        <v>629</v>
      </c>
      <c r="N148" s="354" t="s">
        <v>630</v>
      </c>
      <c r="O148" s="354" t="s">
        <v>631</v>
      </c>
      <c r="P148" s="354" t="s">
        <v>632</v>
      </c>
      <c r="Q148" s="354" t="s">
        <v>633</v>
      </c>
      <c r="R148" s="354" t="s">
        <v>1116</v>
      </c>
      <c r="S148" s="354" t="s">
        <v>701</v>
      </c>
      <c r="T148" s="363" t="s">
        <v>702</v>
      </c>
      <c r="U148" s="354" t="s">
        <v>699</v>
      </c>
      <c r="V148" s="355" t="s">
        <v>700</v>
      </c>
      <c r="W148" s="354" t="s">
        <v>822</v>
      </c>
      <c r="X148" s="354" t="s">
        <v>880</v>
      </c>
      <c r="Y148" s="354" t="s">
        <v>1118</v>
      </c>
      <c r="Z148" s="354" t="s">
        <v>1124</v>
      </c>
      <c r="AA148" s="354" t="s">
        <v>1125</v>
      </c>
      <c r="AB148" s="354" t="s">
        <v>1126</v>
      </c>
      <c r="AC148" s="354" t="s">
        <v>1127</v>
      </c>
      <c r="AD148" s="354" t="s">
        <v>1128</v>
      </c>
      <c r="AE148" s="354" t="s">
        <v>737</v>
      </c>
      <c r="AF148" s="354" t="s">
        <v>741</v>
      </c>
      <c r="AG148" s="354" t="s">
        <v>745</v>
      </c>
      <c r="AH148" s="354" t="s">
        <v>746</v>
      </c>
      <c r="AI148" s="354" t="s">
        <v>748</v>
      </c>
      <c r="AJ148" s="354" t="s">
        <v>747</v>
      </c>
      <c r="AK148" s="354" t="s">
        <v>1096</v>
      </c>
      <c r="AL148" s="354" t="s">
        <v>1140</v>
      </c>
      <c r="AM148" s="354" t="s">
        <v>1141</v>
      </c>
      <c r="AN148" s="354" t="s">
        <v>1142</v>
      </c>
      <c r="AO148" s="354" t="s">
        <v>1143</v>
      </c>
      <c r="AP148" s="354" t="s">
        <v>1144</v>
      </c>
      <c r="AQ148" s="354" t="s">
        <v>1145</v>
      </c>
      <c r="AR148" s="354" t="s">
        <v>1146</v>
      </c>
      <c r="AS148" s="354" t="s">
        <v>1147</v>
      </c>
      <c r="AT148" s="354" t="s">
        <v>1176</v>
      </c>
      <c r="AU148" s="354" t="s">
        <v>1247</v>
      </c>
      <c r="AV148" s="354" t="s">
        <v>1293</v>
      </c>
      <c r="AW148" s="354" t="s">
        <v>1291</v>
      </c>
      <c r="AX148" s="354" t="s">
        <v>1294</v>
      </c>
      <c r="AY148" s="354" t="s">
        <v>1295</v>
      </c>
      <c r="AZ148" s="354" t="s">
        <v>1372</v>
      </c>
      <c r="BA148" s="354" t="s">
        <v>1373</v>
      </c>
      <c r="BB148" s="354" t="s">
        <v>1481</v>
      </c>
    </row>
    <row r="149" spans="1:54">
      <c r="A149" s="354" t="s">
        <v>612</v>
      </c>
      <c r="B149" s="314"/>
      <c r="C149" s="279" t="str">
        <f>IFERROR(VLOOKUP("D-SPA"&amp;4,お客様情報!$R$34:$U$38,4,FALSE),"")</f>
        <v/>
      </c>
      <c r="D149" s="278">
        <f>D$103</f>
        <v>1</v>
      </c>
      <c r="E149" s="278">
        <v>1</v>
      </c>
      <c r="F149" s="278" t="str">
        <f>F$143</f>
        <v/>
      </c>
      <c r="G149" s="278" t="str">
        <f>G$143</f>
        <v/>
      </c>
      <c r="H149" s="314"/>
      <c r="I149" s="314"/>
      <c r="J149" s="556" t="str">
        <f>J$143</f>
        <v/>
      </c>
      <c r="K149" s="556" t="str">
        <f>K$143</f>
        <v/>
      </c>
      <c r="L149" s="314"/>
      <c r="M149" s="279" t="str">
        <f>M$143</f>
        <v/>
      </c>
      <c r="N149" s="314"/>
      <c r="O149" s="314"/>
      <c r="P149" s="314"/>
      <c r="Q149" s="279" t="str">
        <f>Q$143</f>
        <v/>
      </c>
      <c r="R149" s="278" t="str">
        <f>R$143</f>
        <v/>
      </c>
      <c r="S149" s="279" t="e">
        <f t="shared" ref="S149:Y149" si="27">S$143</f>
        <v>#N/A</v>
      </c>
      <c r="T149" s="279" t="e">
        <f t="shared" si="27"/>
        <v>#N/A</v>
      </c>
      <c r="U149" s="365"/>
      <c r="V149" s="279" t="str">
        <f t="shared" si="27"/>
        <v/>
      </c>
      <c r="W149" s="286" t="str">
        <f t="shared" si="27"/>
        <v/>
      </c>
      <c r="X149" s="278" t="str">
        <f t="shared" si="27"/>
        <v/>
      </c>
      <c r="Y149" s="278" t="str">
        <f t="shared" si="27"/>
        <v/>
      </c>
      <c r="Z149" s="314"/>
      <c r="AA149" s="314"/>
      <c r="AB149" s="314"/>
      <c r="AC149" s="314"/>
      <c r="AD149" s="314"/>
      <c r="AE149" s="314"/>
      <c r="AF149" s="314"/>
      <c r="AG149" s="314"/>
      <c r="AH149" s="314"/>
      <c r="AI149" s="314"/>
      <c r="AJ149" s="314"/>
      <c r="AK149" s="314"/>
      <c r="AL149" s="314"/>
      <c r="AM149" s="314"/>
      <c r="AN149" s="314"/>
      <c r="AO149" s="314"/>
      <c r="AP149" s="314"/>
      <c r="AQ149" s="314"/>
      <c r="AR149" s="314"/>
      <c r="AS149" s="314"/>
      <c r="AT149" s="314"/>
      <c r="AU149" s="314"/>
      <c r="AV149" s="314"/>
      <c r="AW149" s="314"/>
      <c r="AX149" s="314"/>
      <c r="AY149" s="314"/>
      <c r="AZ149" s="314"/>
      <c r="BA149" s="314"/>
      <c r="BB149" s="314"/>
    </row>
    <row r="150" spans="1:54">
      <c r="A150" s="354" t="s">
        <v>586</v>
      </c>
      <c r="B150" s="354" t="s">
        <v>634</v>
      </c>
      <c r="C150" s="355" t="s">
        <v>620</v>
      </c>
      <c r="D150" s="354" t="s">
        <v>621</v>
      </c>
      <c r="E150" s="354" t="s">
        <v>622</v>
      </c>
      <c r="F150" s="354" t="s">
        <v>614</v>
      </c>
      <c r="G150" s="354" t="s">
        <v>623</v>
      </c>
      <c r="H150" s="354" t="s">
        <v>624</v>
      </c>
      <c r="I150" s="354" t="s">
        <v>625</v>
      </c>
      <c r="J150" s="354" t="s">
        <v>626</v>
      </c>
      <c r="K150" s="354" t="s">
        <v>627</v>
      </c>
      <c r="L150" s="354" t="s">
        <v>628</v>
      </c>
      <c r="M150" s="354" t="s">
        <v>629</v>
      </c>
      <c r="N150" s="354" t="s">
        <v>630</v>
      </c>
      <c r="O150" s="354" t="s">
        <v>631</v>
      </c>
      <c r="P150" s="354" t="s">
        <v>632</v>
      </c>
      <c r="Q150" s="354" t="s">
        <v>633</v>
      </c>
      <c r="R150" s="354" t="s">
        <v>1116</v>
      </c>
      <c r="S150" s="354" t="s">
        <v>701</v>
      </c>
      <c r="T150" s="363" t="s">
        <v>702</v>
      </c>
      <c r="U150" s="354" t="s">
        <v>699</v>
      </c>
      <c r="V150" s="355" t="s">
        <v>700</v>
      </c>
      <c r="W150" s="354" t="s">
        <v>822</v>
      </c>
      <c r="X150" s="354" t="s">
        <v>880</v>
      </c>
      <c r="Y150" s="354" t="s">
        <v>1118</v>
      </c>
      <c r="Z150" s="354" t="s">
        <v>1124</v>
      </c>
      <c r="AA150" s="354" t="s">
        <v>1125</v>
      </c>
      <c r="AB150" s="354" t="s">
        <v>1126</v>
      </c>
      <c r="AC150" s="354" t="s">
        <v>1127</v>
      </c>
      <c r="AD150" s="354" t="s">
        <v>1128</v>
      </c>
      <c r="AE150" s="354" t="s">
        <v>737</v>
      </c>
      <c r="AF150" s="354" t="s">
        <v>741</v>
      </c>
      <c r="AG150" s="354" t="s">
        <v>745</v>
      </c>
      <c r="AH150" s="354" t="s">
        <v>746</v>
      </c>
      <c r="AI150" s="354" t="s">
        <v>748</v>
      </c>
      <c r="AJ150" s="354" t="s">
        <v>747</v>
      </c>
      <c r="AK150" s="354" t="s">
        <v>1096</v>
      </c>
      <c r="AL150" s="354" t="s">
        <v>1140</v>
      </c>
      <c r="AM150" s="354" t="s">
        <v>1141</v>
      </c>
      <c r="AN150" s="354" t="s">
        <v>1142</v>
      </c>
      <c r="AO150" s="354" t="s">
        <v>1143</v>
      </c>
      <c r="AP150" s="354" t="s">
        <v>1144</v>
      </c>
      <c r="AQ150" s="354" t="s">
        <v>1145</v>
      </c>
      <c r="AR150" s="354" t="s">
        <v>1146</v>
      </c>
      <c r="AS150" s="354" t="s">
        <v>1147</v>
      </c>
      <c r="AT150" s="354" t="s">
        <v>1176</v>
      </c>
      <c r="AU150" s="354" t="s">
        <v>1247</v>
      </c>
      <c r="AV150" s="354" t="s">
        <v>1293</v>
      </c>
      <c r="AW150" s="354" t="s">
        <v>1291</v>
      </c>
      <c r="AX150" s="354" t="s">
        <v>1294</v>
      </c>
      <c r="AY150" s="354" t="s">
        <v>1295</v>
      </c>
      <c r="AZ150" s="354" t="s">
        <v>1372</v>
      </c>
      <c r="BA150" s="354" t="s">
        <v>1373</v>
      </c>
      <c r="BB150" s="354" t="s">
        <v>1481</v>
      </c>
    </row>
    <row r="151" spans="1:54">
      <c r="A151" s="354" t="s">
        <v>612</v>
      </c>
      <c r="B151" s="278" t="str">
        <f>IF(AND(お客様情報!$E$2="通常DSPA",入力フォームDSPA!$D$105&lt;&gt;"",COUNTIF(お客様情報!$R$34:$R$38,"D-SPA5")&gt;0),4,"")</f>
        <v/>
      </c>
      <c r="C151" s="356" t="str">
        <f>IFERROR(VLOOKUP("D-SPA"&amp;5,お客様情報!$R$34:$U$38,4,FALSE),"")</f>
        <v/>
      </c>
      <c r="D151" s="278">
        <f>D$103</f>
        <v>1</v>
      </c>
      <c r="E151" s="278">
        <v>1</v>
      </c>
      <c r="F151" s="278" t="str">
        <f>F$143</f>
        <v/>
      </c>
      <c r="G151" s="278" t="str">
        <f>G$143</f>
        <v/>
      </c>
      <c r="H151" s="314"/>
      <c r="I151" s="314"/>
      <c r="J151" s="556" t="str">
        <f>J$143</f>
        <v/>
      </c>
      <c r="K151" s="556" t="str">
        <f>K$143</f>
        <v/>
      </c>
      <c r="L151" s="314"/>
      <c r="M151" s="278" t="str">
        <f>M$143</f>
        <v/>
      </c>
      <c r="N151" s="314"/>
      <c r="O151" s="314"/>
      <c r="P151" s="314"/>
      <c r="Q151" s="278" t="str">
        <f>Q$143</f>
        <v/>
      </c>
      <c r="R151" s="278" t="str">
        <f>R$143</f>
        <v/>
      </c>
      <c r="S151" s="278" t="e">
        <f t="shared" ref="S151:Y151" si="28">S$143</f>
        <v>#N/A</v>
      </c>
      <c r="T151" s="278" t="e">
        <f t="shared" si="28"/>
        <v>#N/A</v>
      </c>
      <c r="U151" s="278"/>
      <c r="V151" s="278" t="str">
        <f t="shared" si="28"/>
        <v/>
      </c>
      <c r="W151" s="286" t="str">
        <f t="shared" si="28"/>
        <v/>
      </c>
      <c r="X151" s="278" t="str">
        <f t="shared" si="28"/>
        <v/>
      </c>
      <c r="Y151" s="278" t="str">
        <f t="shared" si="28"/>
        <v/>
      </c>
      <c r="Z151" s="314"/>
      <c r="AA151" s="314"/>
      <c r="AB151" s="314"/>
      <c r="AC151" s="314"/>
      <c r="AD151" s="314"/>
      <c r="AE151" s="314"/>
      <c r="AF151" s="314"/>
      <c r="AG151" s="314"/>
      <c r="AH151" s="314"/>
      <c r="AI151" s="314"/>
      <c r="AJ151" s="314"/>
      <c r="AK151" s="314"/>
      <c r="AL151" s="314"/>
      <c r="AM151" s="314"/>
      <c r="AN151" s="314"/>
      <c r="AO151" s="314"/>
      <c r="AP151" s="314"/>
      <c r="AQ151" s="314"/>
      <c r="AR151" s="314"/>
      <c r="AS151" s="314"/>
      <c r="AT151" s="314"/>
      <c r="AU151" s="314"/>
      <c r="AV151" s="314"/>
      <c r="AW151" s="314"/>
      <c r="AX151" s="314"/>
      <c r="AY151" s="314"/>
      <c r="AZ151" s="314"/>
      <c r="BA151" s="314"/>
      <c r="BB151" s="314"/>
    </row>
    <row r="152" spans="1:54">
      <c r="A152" s="536" t="s">
        <v>586</v>
      </c>
      <c r="B152" s="536" t="s">
        <v>634</v>
      </c>
      <c r="C152" s="537" t="s">
        <v>620</v>
      </c>
      <c r="D152" s="536" t="s">
        <v>621</v>
      </c>
      <c r="E152" s="536" t="s">
        <v>622</v>
      </c>
      <c r="F152" s="536" t="s">
        <v>614</v>
      </c>
      <c r="G152" s="536" t="s">
        <v>623</v>
      </c>
      <c r="H152" s="536" t="s">
        <v>624</v>
      </c>
      <c r="I152" s="536" t="s">
        <v>625</v>
      </c>
      <c r="J152" s="536" t="s">
        <v>626</v>
      </c>
      <c r="K152" s="536" t="s">
        <v>627</v>
      </c>
      <c r="L152" s="536" t="s">
        <v>628</v>
      </c>
      <c r="M152" s="536" t="s">
        <v>629</v>
      </c>
      <c r="N152" s="536" t="s">
        <v>630</v>
      </c>
      <c r="O152" s="536" t="s">
        <v>631</v>
      </c>
      <c r="P152" s="536" t="s">
        <v>632</v>
      </c>
      <c r="Q152" s="536" t="s">
        <v>633</v>
      </c>
      <c r="R152" s="536" t="s">
        <v>1116</v>
      </c>
      <c r="S152" s="536" t="s">
        <v>701</v>
      </c>
      <c r="T152" s="536" t="s">
        <v>702</v>
      </c>
      <c r="U152" s="536" t="s">
        <v>699</v>
      </c>
      <c r="V152" s="536" t="s">
        <v>700</v>
      </c>
      <c r="W152" s="536" t="s">
        <v>822</v>
      </c>
      <c r="X152" s="536" t="s">
        <v>880</v>
      </c>
      <c r="Y152" s="536" t="s">
        <v>1118</v>
      </c>
      <c r="Z152" s="536" t="s">
        <v>1124</v>
      </c>
      <c r="AA152" s="536" t="s">
        <v>1125</v>
      </c>
      <c r="AB152" s="536" t="s">
        <v>1126</v>
      </c>
      <c r="AC152" s="536" t="s">
        <v>1127</v>
      </c>
      <c r="AD152" s="536" t="s">
        <v>1128</v>
      </c>
      <c r="AE152" s="536" t="s">
        <v>737</v>
      </c>
      <c r="AF152" s="536" t="s">
        <v>741</v>
      </c>
      <c r="AG152" s="536" t="s">
        <v>745</v>
      </c>
      <c r="AH152" s="536" t="s">
        <v>746</v>
      </c>
      <c r="AI152" s="536" t="s">
        <v>748</v>
      </c>
      <c r="AJ152" s="536" t="s">
        <v>747</v>
      </c>
      <c r="AK152" s="536" t="s">
        <v>1096</v>
      </c>
      <c r="AL152" s="536" t="s">
        <v>1140</v>
      </c>
      <c r="AM152" s="536" t="s">
        <v>1141</v>
      </c>
      <c r="AN152" s="536" t="s">
        <v>1142</v>
      </c>
      <c r="AO152" s="536" t="s">
        <v>1143</v>
      </c>
      <c r="AP152" s="536" t="s">
        <v>1144</v>
      </c>
      <c r="AQ152" s="536" t="s">
        <v>1145</v>
      </c>
      <c r="AR152" s="536" t="s">
        <v>1146</v>
      </c>
      <c r="AS152" s="536" t="s">
        <v>1147</v>
      </c>
      <c r="AT152" s="536" t="s">
        <v>1176</v>
      </c>
      <c r="AU152" s="536" t="s">
        <v>1247</v>
      </c>
      <c r="AV152" s="536" t="s">
        <v>1293</v>
      </c>
      <c r="AW152" s="536" t="s">
        <v>1291</v>
      </c>
      <c r="AX152" s="536" t="s">
        <v>1294</v>
      </c>
      <c r="AY152" s="536" t="s">
        <v>1295</v>
      </c>
      <c r="AZ152" s="536" t="s">
        <v>1372</v>
      </c>
      <c r="BA152" s="536" t="s">
        <v>1373</v>
      </c>
      <c r="BB152" s="536" t="s">
        <v>1481</v>
      </c>
    </row>
    <row r="153" spans="1:54">
      <c r="A153" s="536" t="s">
        <v>612</v>
      </c>
      <c r="B153" s="278" t="str">
        <f>IF(AND(お客様情報!$E$2="通常DSPA",COUNTIF(お客様情報!$R$34:$R$38,"D-SPAソフトウェアオプション1")&gt;0),4,"")</f>
        <v/>
      </c>
      <c r="C153" s="278" t="str">
        <f>IFERROR(VLOOKUP("D-SPAソフトウェアオプション"&amp;1,お客様情報!$R$34:$U$38,4,FALSE),"")</f>
        <v/>
      </c>
      <c r="D153" s="556" t="str">
        <f>IF(ISBLANK(入力フォームDSPA!$BV$135),入力フォームDSPA!BV153,入力フォームDSPA!$BV$135)</f>
        <v/>
      </c>
      <c r="E153" s="278" t="str">
        <f>IF(COUNTA(入力フォームDSPA!R116:Y125)=0,"",COUNTA(入力フォームDSPA!R116:Y125))</f>
        <v/>
      </c>
      <c r="F153" s="567" t="str">
        <f>IF(入力フォームDSPA!AB153="継続（本体既存契約有）","",中間データDSPA!G15)</f>
        <v>2000/0/1</v>
      </c>
      <c r="G153" s="278" t="e">
        <f>IF(AND(入力フォームDSPA!AG97="更新",入力フォームDSPA!AB153="継続(本体既存契約有)"),中間データDSPA!H4,LEFT(中間データDSPA!H14,1))</f>
        <v>#VALUE!</v>
      </c>
      <c r="H153" s="314"/>
      <c r="I153" s="314"/>
      <c r="J153" s="556" t="str">
        <f>IF(入力フォームDSPA!AZ156="はい/お客様アドレス",入力フォームDSPA!AG40,"")</f>
        <v/>
      </c>
      <c r="K153" s="556" t="str">
        <f>IF(入力フォームDSPA!AZ156="はい/通知先記入",入力フォームDSPA!BR156,"")</f>
        <v/>
      </c>
      <c r="L153" s="314"/>
      <c r="M153" s="278">
        <f>IF(入力フォームDSPA!BF135&lt;&gt;"",入力フォームDSPA!BF135,入力フォームDSPA!BF153)</f>
        <v>0</v>
      </c>
      <c r="N153" s="314"/>
      <c r="O153" s="314"/>
      <c r="P153" s="314"/>
      <c r="Q153" s="378"/>
      <c r="R153" s="314"/>
      <c r="S153" s="278" t="e">
        <f>IF(お客様情報!$N$64="","",お客様情報!$N$64)</f>
        <v>#N/A</v>
      </c>
      <c r="T153" s="278" t="e">
        <f>IF(お客様情報!$N$65="","",お客様情報!$N$65)</f>
        <v>#N/A</v>
      </c>
      <c r="U153" s="278" t="str">
        <f>IF(入力フォームDSPA!$AB$137="○ あり",入力フォームDSPA!$AI$137,"")</f>
        <v/>
      </c>
      <c r="V153" s="278" t="str">
        <f>IF(AND(COUNTIF(入力フォームDSPA!AB143,"*○*"),入力フォームDSPA!$AB$151="○ あり"),"子ども見守り","")</f>
        <v/>
      </c>
      <c r="W153" s="378"/>
      <c r="X153" s="278"/>
      <c r="Y153" s="378"/>
      <c r="Z153" s="314"/>
      <c r="AA153" s="314"/>
      <c r="AB153" s="314"/>
      <c r="AC153" s="314"/>
      <c r="AD153" s="314"/>
      <c r="AE153" s="314"/>
      <c r="AF153" s="314"/>
      <c r="AG153" s="314"/>
      <c r="AH153" s="314"/>
      <c r="AI153" s="357" t="str">
        <f>IF(AND(入力フォームDSPA!AB147="○ あり",入力フォームDSPA!AR147&lt;&gt;"更新"),入力フォームDSPA!BV147,"")</f>
        <v/>
      </c>
      <c r="AJ153" s="314"/>
      <c r="AK153" s="314"/>
      <c r="AL153" s="314"/>
      <c r="AM153" s="314"/>
      <c r="AN153" s="314"/>
      <c r="AO153" s="314"/>
      <c r="AP153" s="314"/>
      <c r="AQ153" s="314"/>
      <c r="AR153" s="314"/>
      <c r="AS153" s="314"/>
      <c r="AT153" s="314"/>
      <c r="AU153" s="314"/>
      <c r="AV153" s="314"/>
      <c r="AW153" s="314"/>
      <c r="AX153" s="314"/>
      <c r="AY153" s="314"/>
      <c r="AZ153" s="314"/>
      <c r="BA153" s="314"/>
      <c r="BB153" s="314"/>
    </row>
    <row r="154" spans="1:54">
      <c r="A154" s="536" t="s">
        <v>586</v>
      </c>
      <c r="B154" s="536" t="s">
        <v>634</v>
      </c>
      <c r="C154" s="537" t="s">
        <v>620</v>
      </c>
      <c r="D154" s="536" t="s">
        <v>621</v>
      </c>
      <c r="E154" s="536" t="s">
        <v>622</v>
      </c>
      <c r="F154" s="536" t="s">
        <v>614</v>
      </c>
      <c r="G154" s="536" t="s">
        <v>623</v>
      </c>
      <c r="H154" s="536" t="s">
        <v>624</v>
      </c>
      <c r="I154" s="536" t="s">
        <v>625</v>
      </c>
      <c r="J154" s="536" t="s">
        <v>626</v>
      </c>
      <c r="K154" s="536" t="s">
        <v>627</v>
      </c>
      <c r="L154" s="536" t="s">
        <v>628</v>
      </c>
      <c r="M154" s="536" t="s">
        <v>629</v>
      </c>
      <c r="N154" s="536" t="s">
        <v>630</v>
      </c>
      <c r="O154" s="536" t="s">
        <v>631</v>
      </c>
      <c r="P154" s="536" t="s">
        <v>632</v>
      </c>
      <c r="Q154" s="536" t="s">
        <v>633</v>
      </c>
      <c r="R154" s="536" t="s">
        <v>1116</v>
      </c>
      <c r="S154" s="536" t="s">
        <v>701</v>
      </c>
      <c r="T154" s="536" t="s">
        <v>702</v>
      </c>
      <c r="U154" s="536" t="s">
        <v>699</v>
      </c>
      <c r="V154" s="536" t="s">
        <v>700</v>
      </c>
      <c r="W154" s="536" t="s">
        <v>822</v>
      </c>
      <c r="X154" s="536" t="s">
        <v>880</v>
      </c>
      <c r="Y154" s="536" t="s">
        <v>1118</v>
      </c>
      <c r="Z154" s="536" t="s">
        <v>1124</v>
      </c>
      <c r="AA154" s="536" t="s">
        <v>1125</v>
      </c>
      <c r="AB154" s="536" t="s">
        <v>1126</v>
      </c>
      <c r="AC154" s="536" t="s">
        <v>1127</v>
      </c>
      <c r="AD154" s="536" t="s">
        <v>1128</v>
      </c>
      <c r="AE154" s="536" t="s">
        <v>737</v>
      </c>
      <c r="AF154" s="536" t="s">
        <v>741</v>
      </c>
      <c r="AG154" s="536" t="s">
        <v>745</v>
      </c>
      <c r="AH154" s="536" t="s">
        <v>746</v>
      </c>
      <c r="AI154" s="536" t="s">
        <v>748</v>
      </c>
      <c r="AJ154" s="536" t="s">
        <v>747</v>
      </c>
      <c r="AK154" s="536" t="s">
        <v>1096</v>
      </c>
      <c r="AL154" s="536" t="s">
        <v>1140</v>
      </c>
      <c r="AM154" s="536" t="s">
        <v>1141</v>
      </c>
      <c r="AN154" s="536" t="s">
        <v>1142</v>
      </c>
      <c r="AO154" s="536" t="s">
        <v>1143</v>
      </c>
      <c r="AP154" s="536" t="s">
        <v>1144</v>
      </c>
      <c r="AQ154" s="536" t="s">
        <v>1145</v>
      </c>
      <c r="AR154" s="536" t="s">
        <v>1146</v>
      </c>
      <c r="AS154" s="536" t="s">
        <v>1147</v>
      </c>
      <c r="AT154" s="536" t="s">
        <v>1176</v>
      </c>
      <c r="AU154" s="536" t="s">
        <v>1247</v>
      </c>
      <c r="AV154" s="536" t="s">
        <v>1293</v>
      </c>
      <c r="AW154" s="536" t="s">
        <v>1291</v>
      </c>
      <c r="AX154" s="536" t="s">
        <v>1294</v>
      </c>
      <c r="AY154" s="536" t="s">
        <v>1295</v>
      </c>
      <c r="AZ154" s="536" t="s">
        <v>1372</v>
      </c>
      <c r="BA154" s="536" t="s">
        <v>1373</v>
      </c>
      <c r="BB154" s="536" t="s">
        <v>1481</v>
      </c>
    </row>
    <row r="155" spans="1:54">
      <c r="A155" s="536" t="s">
        <v>612</v>
      </c>
      <c r="B155" s="278" t="str">
        <f>IF(AND(お客様情報!$E$2="通常DSPA",COUNTIF(お客様情報!$R$34:$R$38,"D-SPAソフトウェアオプション2")&gt;0),4,"")</f>
        <v/>
      </c>
      <c r="C155" s="279" t="str">
        <f>IFERROR(VLOOKUP("D-SPAソフトウェアオプション"&amp;2,お客様情報!$R$34:$U$38,4,FALSE),"")</f>
        <v/>
      </c>
      <c r="D155" s="278" t="str">
        <f>D$153</f>
        <v/>
      </c>
      <c r="E155" s="278" t="str">
        <f>E$153</f>
        <v/>
      </c>
      <c r="F155" s="278" t="str">
        <f>F$153</f>
        <v>2000/0/1</v>
      </c>
      <c r="G155" s="278" t="e">
        <f>G$153</f>
        <v>#VALUE!</v>
      </c>
      <c r="H155" s="314"/>
      <c r="I155" s="314"/>
      <c r="J155" s="556" t="str">
        <f>J$153</f>
        <v/>
      </c>
      <c r="K155" s="556" t="str">
        <f>K$153</f>
        <v/>
      </c>
      <c r="L155" s="314"/>
      <c r="M155" s="279">
        <f>M$153</f>
        <v>0</v>
      </c>
      <c r="N155" s="314"/>
      <c r="O155" s="314"/>
      <c r="P155" s="314"/>
      <c r="Q155" s="539"/>
      <c r="R155" s="314"/>
      <c r="S155" s="279" t="e">
        <f>S$143</f>
        <v>#N/A</v>
      </c>
      <c r="T155" s="279" t="e">
        <f>T$143</f>
        <v>#N/A</v>
      </c>
      <c r="U155" s="364" t="str">
        <f>$U$153</f>
        <v/>
      </c>
      <c r="V155" s="279" t="str">
        <f>V$153</f>
        <v/>
      </c>
      <c r="W155" s="540"/>
      <c r="X155" s="278"/>
      <c r="Y155" s="378"/>
      <c r="Z155" s="314"/>
      <c r="AA155" s="314"/>
      <c r="AB155" s="314"/>
      <c r="AC155" s="314"/>
      <c r="AD155" s="314"/>
      <c r="AE155" s="314"/>
      <c r="AF155" s="314"/>
      <c r="AG155" s="314"/>
      <c r="AH155" s="314"/>
      <c r="AI155" s="357" t="str">
        <f>AI$153</f>
        <v/>
      </c>
      <c r="AJ155" s="314"/>
      <c r="AK155" s="314"/>
      <c r="AL155" s="314"/>
      <c r="AM155" s="314"/>
      <c r="AN155" s="314"/>
      <c r="AO155" s="314"/>
      <c r="AP155" s="314"/>
      <c r="AQ155" s="314"/>
      <c r="AR155" s="314"/>
      <c r="AS155" s="314"/>
      <c r="AT155" s="314"/>
      <c r="AU155" s="314"/>
      <c r="AV155" s="314"/>
      <c r="AW155" s="314"/>
      <c r="AX155" s="314"/>
      <c r="AY155" s="314"/>
      <c r="AZ155" s="314"/>
      <c r="BA155" s="314"/>
      <c r="BB155" s="314"/>
    </row>
    <row r="156" spans="1:54">
      <c r="A156" s="536" t="s">
        <v>586</v>
      </c>
      <c r="B156" s="536" t="s">
        <v>634</v>
      </c>
      <c r="C156" s="537" t="s">
        <v>620</v>
      </c>
      <c r="D156" s="536" t="s">
        <v>621</v>
      </c>
      <c r="E156" s="536" t="s">
        <v>622</v>
      </c>
      <c r="F156" s="536" t="s">
        <v>614</v>
      </c>
      <c r="G156" s="536" t="s">
        <v>623</v>
      </c>
      <c r="H156" s="536" t="s">
        <v>624</v>
      </c>
      <c r="I156" s="536" t="s">
        <v>625</v>
      </c>
      <c r="J156" s="536" t="s">
        <v>626</v>
      </c>
      <c r="K156" s="536" t="s">
        <v>627</v>
      </c>
      <c r="L156" s="536" t="s">
        <v>628</v>
      </c>
      <c r="M156" s="536" t="s">
        <v>629</v>
      </c>
      <c r="N156" s="536" t="s">
        <v>630</v>
      </c>
      <c r="O156" s="536" t="s">
        <v>631</v>
      </c>
      <c r="P156" s="536" t="s">
        <v>632</v>
      </c>
      <c r="Q156" s="536" t="s">
        <v>633</v>
      </c>
      <c r="R156" s="536" t="s">
        <v>1116</v>
      </c>
      <c r="S156" s="536" t="s">
        <v>701</v>
      </c>
      <c r="T156" s="536" t="s">
        <v>702</v>
      </c>
      <c r="U156" s="536" t="s">
        <v>699</v>
      </c>
      <c r="V156" s="536" t="s">
        <v>700</v>
      </c>
      <c r="W156" s="536" t="s">
        <v>822</v>
      </c>
      <c r="X156" s="536" t="s">
        <v>880</v>
      </c>
      <c r="Y156" s="536" t="s">
        <v>1118</v>
      </c>
      <c r="Z156" s="536" t="s">
        <v>1124</v>
      </c>
      <c r="AA156" s="536" t="s">
        <v>1125</v>
      </c>
      <c r="AB156" s="536" t="s">
        <v>1126</v>
      </c>
      <c r="AC156" s="536" t="s">
        <v>1127</v>
      </c>
      <c r="AD156" s="536" t="s">
        <v>1128</v>
      </c>
      <c r="AE156" s="536" t="s">
        <v>737</v>
      </c>
      <c r="AF156" s="536" t="s">
        <v>741</v>
      </c>
      <c r="AG156" s="536" t="s">
        <v>745</v>
      </c>
      <c r="AH156" s="536" t="s">
        <v>746</v>
      </c>
      <c r="AI156" s="536" t="s">
        <v>748</v>
      </c>
      <c r="AJ156" s="536" t="s">
        <v>747</v>
      </c>
      <c r="AK156" s="536" t="s">
        <v>1096</v>
      </c>
      <c r="AL156" s="536" t="s">
        <v>1140</v>
      </c>
      <c r="AM156" s="536" t="s">
        <v>1141</v>
      </c>
      <c r="AN156" s="536" t="s">
        <v>1142</v>
      </c>
      <c r="AO156" s="536" t="s">
        <v>1143</v>
      </c>
      <c r="AP156" s="536" t="s">
        <v>1144</v>
      </c>
      <c r="AQ156" s="536" t="s">
        <v>1145</v>
      </c>
      <c r="AR156" s="536" t="s">
        <v>1146</v>
      </c>
      <c r="AS156" s="536" t="s">
        <v>1147</v>
      </c>
      <c r="AT156" s="536" t="s">
        <v>1176</v>
      </c>
      <c r="AU156" s="536" t="s">
        <v>1247</v>
      </c>
      <c r="AV156" s="536" t="s">
        <v>1293</v>
      </c>
      <c r="AW156" s="536" t="s">
        <v>1291</v>
      </c>
      <c r="AX156" s="536" t="s">
        <v>1294</v>
      </c>
      <c r="AY156" s="536" t="s">
        <v>1295</v>
      </c>
      <c r="AZ156" s="536" t="s">
        <v>1372</v>
      </c>
      <c r="BA156" s="536" t="s">
        <v>1373</v>
      </c>
      <c r="BB156" s="536" t="s">
        <v>1481</v>
      </c>
    </row>
    <row r="157" spans="1:54">
      <c r="A157" s="536" t="s">
        <v>612</v>
      </c>
      <c r="B157" s="278" t="str">
        <f>IF(AND(お客様情報!$E$2="通常DSPA",COUNTIF(お客様情報!$R$34:$R$38,"D-SPAソフトウェアオプション3")&gt;0),4,"")</f>
        <v/>
      </c>
      <c r="C157" s="279" t="str">
        <f>IFERROR(VLOOKUP("D-SPAソフトウェアオプション"&amp;3,お客様情報!$R$34:$U$38,4,FALSE),"")</f>
        <v/>
      </c>
      <c r="D157" s="278" t="str">
        <f>D$153</f>
        <v/>
      </c>
      <c r="E157" s="278" t="str">
        <f>E$153</f>
        <v/>
      </c>
      <c r="F157" s="278" t="str">
        <f>F$153</f>
        <v>2000/0/1</v>
      </c>
      <c r="G157" s="278" t="e">
        <f>G$153</f>
        <v>#VALUE!</v>
      </c>
      <c r="H157" s="314"/>
      <c r="I157" s="314"/>
      <c r="J157" s="556" t="str">
        <f>J$153</f>
        <v/>
      </c>
      <c r="K157" s="556" t="str">
        <f>K$153</f>
        <v/>
      </c>
      <c r="L157" s="314"/>
      <c r="M157" s="279">
        <f>M$153</f>
        <v>0</v>
      </c>
      <c r="N157" s="314"/>
      <c r="O157" s="314"/>
      <c r="P157" s="314"/>
      <c r="Q157" s="539"/>
      <c r="R157" s="314"/>
      <c r="S157" s="279" t="e">
        <f>S$143</f>
        <v>#N/A</v>
      </c>
      <c r="T157" s="279" t="e">
        <f>T$143</f>
        <v>#N/A</v>
      </c>
      <c r="U157" s="364" t="str">
        <f>$U$153</f>
        <v/>
      </c>
      <c r="V157" s="279" t="str">
        <f>V$153</f>
        <v/>
      </c>
      <c r="W157" s="540"/>
      <c r="X157" s="278"/>
      <c r="Y157" s="378"/>
      <c r="Z157" s="314"/>
      <c r="AA157" s="314"/>
      <c r="AB157" s="314"/>
      <c r="AC157" s="314"/>
      <c r="AD157" s="314"/>
      <c r="AE157" s="314"/>
      <c r="AF157" s="314"/>
      <c r="AG157" s="314"/>
      <c r="AH157" s="314"/>
      <c r="AI157" s="357" t="str">
        <f>AI$153</f>
        <v/>
      </c>
      <c r="AJ157" s="314"/>
      <c r="AK157" s="314"/>
      <c r="AL157" s="314"/>
      <c r="AM157" s="314"/>
      <c r="AN157" s="314"/>
      <c r="AO157" s="314"/>
      <c r="AP157" s="314"/>
      <c r="AQ157" s="314"/>
      <c r="AR157" s="314"/>
      <c r="AS157" s="314"/>
      <c r="AT157" s="314"/>
      <c r="AU157" s="314"/>
      <c r="AV157" s="314"/>
      <c r="AW157" s="314"/>
      <c r="AX157" s="314"/>
      <c r="AY157" s="314"/>
      <c r="AZ157" s="314"/>
      <c r="BA157" s="314"/>
      <c r="BB157" s="314"/>
    </row>
    <row r="158" spans="1:54">
      <c r="A158" s="536" t="s">
        <v>586</v>
      </c>
      <c r="B158" s="536" t="s">
        <v>634</v>
      </c>
      <c r="C158" s="537" t="s">
        <v>620</v>
      </c>
      <c r="D158" s="536" t="s">
        <v>621</v>
      </c>
      <c r="E158" s="536" t="s">
        <v>622</v>
      </c>
      <c r="F158" s="536" t="s">
        <v>614</v>
      </c>
      <c r="G158" s="536" t="s">
        <v>623</v>
      </c>
      <c r="H158" s="536" t="s">
        <v>624</v>
      </c>
      <c r="I158" s="536" t="s">
        <v>625</v>
      </c>
      <c r="J158" s="536" t="s">
        <v>626</v>
      </c>
      <c r="K158" s="536" t="s">
        <v>627</v>
      </c>
      <c r="L158" s="536" t="s">
        <v>628</v>
      </c>
      <c r="M158" s="536" t="s">
        <v>629</v>
      </c>
      <c r="N158" s="536" t="s">
        <v>630</v>
      </c>
      <c r="O158" s="536" t="s">
        <v>631</v>
      </c>
      <c r="P158" s="536" t="s">
        <v>632</v>
      </c>
      <c r="Q158" s="536" t="s">
        <v>633</v>
      </c>
      <c r="R158" s="536" t="s">
        <v>1116</v>
      </c>
      <c r="S158" s="536" t="s">
        <v>701</v>
      </c>
      <c r="T158" s="536" t="s">
        <v>702</v>
      </c>
      <c r="U158" s="536" t="s">
        <v>699</v>
      </c>
      <c r="V158" s="536" t="s">
        <v>700</v>
      </c>
      <c r="W158" s="536" t="s">
        <v>822</v>
      </c>
      <c r="X158" s="536" t="s">
        <v>880</v>
      </c>
      <c r="Y158" s="536" t="s">
        <v>1118</v>
      </c>
      <c r="Z158" s="536" t="s">
        <v>1124</v>
      </c>
      <c r="AA158" s="536" t="s">
        <v>1125</v>
      </c>
      <c r="AB158" s="536" t="s">
        <v>1126</v>
      </c>
      <c r="AC158" s="536" t="s">
        <v>1127</v>
      </c>
      <c r="AD158" s="536" t="s">
        <v>1128</v>
      </c>
      <c r="AE158" s="536" t="s">
        <v>737</v>
      </c>
      <c r="AF158" s="536" t="s">
        <v>741</v>
      </c>
      <c r="AG158" s="536" t="s">
        <v>745</v>
      </c>
      <c r="AH158" s="536" t="s">
        <v>746</v>
      </c>
      <c r="AI158" s="536" t="s">
        <v>748</v>
      </c>
      <c r="AJ158" s="536" t="s">
        <v>747</v>
      </c>
      <c r="AK158" s="536" t="s">
        <v>1096</v>
      </c>
      <c r="AL158" s="536" t="s">
        <v>1140</v>
      </c>
      <c r="AM158" s="536" t="s">
        <v>1141</v>
      </c>
      <c r="AN158" s="536" t="s">
        <v>1142</v>
      </c>
      <c r="AO158" s="536" t="s">
        <v>1143</v>
      </c>
      <c r="AP158" s="536" t="s">
        <v>1144</v>
      </c>
      <c r="AQ158" s="536" t="s">
        <v>1145</v>
      </c>
      <c r="AR158" s="536" t="s">
        <v>1146</v>
      </c>
      <c r="AS158" s="536" t="s">
        <v>1147</v>
      </c>
      <c r="AT158" s="536" t="s">
        <v>1176</v>
      </c>
      <c r="AU158" s="536" t="s">
        <v>1247</v>
      </c>
      <c r="AV158" s="536" t="s">
        <v>1293</v>
      </c>
      <c r="AW158" s="536" t="s">
        <v>1291</v>
      </c>
      <c r="AX158" s="536" t="s">
        <v>1294</v>
      </c>
      <c r="AY158" s="536" t="s">
        <v>1295</v>
      </c>
      <c r="AZ158" s="536" t="s">
        <v>1372</v>
      </c>
      <c r="BA158" s="536" t="s">
        <v>1373</v>
      </c>
      <c r="BB158" s="536" t="s">
        <v>1481</v>
      </c>
    </row>
    <row r="159" spans="1:54">
      <c r="A159" s="536" t="s">
        <v>612</v>
      </c>
      <c r="B159" s="278" t="str">
        <f>IF(AND(お客様情報!$E$2="通常DSPA",COUNTIF(お客様情報!$R$34:$R$38,"D-SPAソフトウェアオプション4")&gt;0),4,"")</f>
        <v/>
      </c>
      <c r="C159" s="279" t="str">
        <f>IFERROR(VLOOKUP("D-SPAソフトウェアオプション"&amp;4,お客様情報!$R$34:$U$38,4,FALSE),"")</f>
        <v/>
      </c>
      <c r="D159" s="278" t="str">
        <f>D$153</f>
        <v/>
      </c>
      <c r="E159" s="278" t="str">
        <f>E$153</f>
        <v/>
      </c>
      <c r="F159" s="278" t="str">
        <f>F$153</f>
        <v>2000/0/1</v>
      </c>
      <c r="G159" s="278" t="e">
        <f>G$153</f>
        <v>#VALUE!</v>
      </c>
      <c r="H159" s="314"/>
      <c r="I159" s="314"/>
      <c r="J159" s="556" t="str">
        <f>J$153</f>
        <v/>
      </c>
      <c r="K159" s="556" t="str">
        <f>K$153</f>
        <v/>
      </c>
      <c r="L159" s="314"/>
      <c r="M159" s="279">
        <f>M$153</f>
        <v>0</v>
      </c>
      <c r="N159" s="314"/>
      <c r="O159" s="314"/>
      <c r="P159" s="314"/>
      <c r="Q159" s="539"/>
      <c r="R159" s="314"/>
      <c r="S159" s="279" t="e">
        <f>S$143</f>
        <v>#N/A</v>
      </c>
      <c r="T159" s="279" t="e">
        <f>T$143</f>
        <v>#N/A</v>
      </c>
      <c r="U159" s="364" t="str">
        <f>$U$153</f>
        <v/>
      </c>
      <c r="V159" s="279" t="str">
        <f>V$153</f>
        <v/>
      </c>
      <c r="W159" s="540"/>
      <c r="X159" s="278"/>
      <c r="Y159" s="378"/>
      <c r="Z159" s="314"/>
      <c r="AA159" s="314"/>
      <c r="AB159" s="314"/>
      <c r="AC159" s="314"/>
      <c r="AD159" s="314"/>
      <c r="AE159" s="314"/>
      <c r="AF159" s="314"/>
      <c r="AG159" s="314"/>
      <c r="AH159" s="314"/>
      <c r="AI159" s="357" t="str">
        <f>AI$153</f>
        <v/>
      </c>
      <c r="AJ159" s="314"/>
      <c r="AK159" s="314"/>
      <c r="AL159" s="314"/>
      <c r="AM159" s="314"/>
      <c r="AN159" s="314"/>
      <c r="AO159" s="314"/>
      <c r="AP159" s="314"/>
      <c r="AQ159" s="314"/>
      <c r="AR159" s="314"/>
      <c r="AS159" s="314"/>
      <c r="AT159" s="314"/>
      <c r="AU159" s="314"/>
      <c r="AV159" s="314"/>
      <c r="AW159" s="314"/>
      <c r="AX159" s="314"/>
      <c r="AY159" s="314"/>
      <c r="AZ159" s="314"/>
      <c r="BA159" s="314"/>
      <c r="BB159" s="314"/>
    </row>
    <row r="160" spans="1:54">
      <c r="A160" s="536" t="s">
        <v>586</v>
      </c>
      <c r="B160" s="536" t="s">
        <v>634</v>
      </c>
      <c r="C160" s="537" t="s">
        <v>620</v>
      </c>
      <c r="D160" s="536" t="s">
        <v>621</v>
      </c>
      <c r="E160" s="536" t="s">
        <v>622</v>
      </c>
      <c r="F160" s="536" t="s">
        <v>614</v>
      </c>
      <c r="G160" s="536" t="s">
        <v>623</v>
      </c>
      <c r="H160" s="536" t="s">
        <v>624</v>
      </c>
      <c r="I160" s="536" t="s">
        <v>625</v>
      </c>
      <c r="J160" s="536" t="s">
        <v>626</v>
      </c>
      <c r="K160" s="536" t="s">
        <v>627</v>
      </c>
      <c r="L160" s="536" t="s">
        <v>628</v>
      </c>
      <c r="M160" s="536" t="s">
        <v>629</v>
      </c>
      <c r="N160" s="536" t="s">
        <v>630</v>
      </c>
      <c r="O160" s="536" t="s">
        <v>631</v>
      </c>
      <c r="P160" s="536" t="s">
        <v>632</v>
      </c>
      <c r="Q160" s="536" t="s">
        <v>633</v>
      </c>
      <c r="R160" s="536" t="s">
        <v>1116</v>
      </c>
      <c r="S160" s="536" t="s">
        <v>701</v>
      </c>
      <c r="T160" s="536" t="s">
        <v>702</v>
      </c>
      <c r="U160" s="536" t="s">
        <v>699</v>
      </c>
      <c r="V160" s="536" t="s">
        <v>700</v>
      </c>
      <c r="W160" s="536" t="s">
        <v>822</v>
      </c>
      <c r="X160" s="536" t="s">
        <v>880</v>
      </c>
      <c r="Y160" s="536" t="s">
        <v>1118</v>
      </c>
      <c r="Z160" s="536" t="s">
        <v>1124</v>
      </c>
      <c r="AA160" s="536" t="s">
        <v>1125</v>
      </c>
      <c r="AB160" s="536" t="s">
        <v>1126</v>
      </c>
      <c r="AC160" s="536" t="s">
        <v>1127</v>
      </c>
      <c r="AD160" s="536" t="s">
        <v>1128</v>
      </c>
      <c r="AE160" s="536" t="s">
        <v>737</v>
      </c>
      <c r="AF160" s="536" t="s">
        <v>741</v>
      </c>
      <c r="AG160" s="536" t="s">
        <v>745</v>
      </c>
      <c r="AH160" s="536" t="s">
        <v>746</v>
      </c>
      <c r="AI160" s="536" t="s">
        <v>748</v>
      </c>
      <c r="AJ160" s="536" t="s">
        <v>747</v>
      </c>
      <c r="AK160" s="536" t="s">
        <v>1096</v>
      </c>
      <c r="AL160" s="536" t="s">
        <v>1140</v>
      </c>
      <c r="AM160" s="536" t="s">
        <v>1141</v>
      </c>
      <c r="AN160" s="536" t="s">
        <v>1142</v>
      </c>
      <c r="AO160" s="536" t="s">
        <v>1143</v>
      </c>
      <c r="AP160" s="536" t="s">
        <v>1144</v>
      </c>
      <c r="AQ160" s="536" t="s">
        <v>1145</v>
      </c>
      <c r="AR160" s="536" t="s">
        <v>1146</v>
      </c>
      <c r="AS160" s="536" t="s">
        <v>1147</v>
      </c>
      <c r="AT160" s="536" t="s">
        <v>1176</v>
      </c>
      <c r="AU160" s="536" t="s">
        <v>1247</v>
      </c>
      <c r="AV160" s="536" t="s">
        <v>1293</v>
      </c>
      <c r="AW160" s="536" t="s">
        <v>1291</v>
      </c>
      <c r="AX160" s="536" t="s">
        <v>1294</v>
      </c>
      <c r="AY160" s="536" t="s">
        <v>1295</v>
      </c>
      <c r="AZ160" s="536" t="s">
        <v>1372</v>
      </c>
      <c r="BA160" s="536" t="s">
        <v>1373</v>
      </c>
      <c r="BB160" s="536" t="s">
        <v>1481</v>
      </c>
    </row>
    <row r="161" spans="1:54">
      <c r="A161" s="536" t="s">
        <v>612</v>
      </c>
      <c r="B161" s="278" t="str">
        <f>IF(AND(お客様情報!$E$2="通常DSPA",COUNTIF(お客様情報!$R$34:$R$38,"D-SPAソフトウェアオプション5")&gt;0),4,"")</f>
        <v/>
      </c>
      <c r="C161" s="356" t="str">
        <f>IFERROR(VLOOKUP("D-SPAソフトウェアオプション"&amp;5,お客様情報!$R$34:$U$38,4,FALSE),"")</f>
        <v/>
      </c>
      <c r="D161" s="278" t="str">
        <f>D$153</f>
        <v/>
      </c>
      <c r="E161" s="278" t="str">
        <f>E$153</f>
        <v/>
      </c>
      <c r="F161" s="278" t="str">
        <f>F$153</f>
        <v>2000/0/1</v>
      </c>
      <c r="G161" s="278" t="e">
        <f>G$153</f>
        <v>#VALUE!</v>
      </c>
      <c r="H161" s="314"/>
      <c r="I161" s="314"/>
      <c r="J161" s="556" t="str">
        <f>J$153</f>
        <v/>
      </c>
      <c r="K161" s="556" t="str">
        <f>K$153</f>
        <v/>
      </c>
      <c r="L161" s="314"/>
      <c r="M161" s="279">
        <f>M$153</f>
        <v>0</v>
      </c>
      <c r="N161" s="314"/>
      <c r="O161" s="314"/>
      <c r="P161" s="314"/>
      <c r="Q161" s="378"/>
      <c r="R161" s="314"/>
      <c r="S161" s="278" t="e">
        <f>S$143</f>
        <v>#N/A</v>
      </c>
      <c r="T161" s="278" t="e">
        <f>T$143</f>
        <v>#N/A</v>
      </c>
      <c r="U161" s="364" t="str">
        <f>$U$153</f>
        <v/>
      </c>
      <c r="V161" s="279" t="str">
        <f>V$153</f>
        <v/>
      </c>
      <c r="W161" s="540"/>
      <c r="X161" s="278"/>
      <c r="Y161" s="378"/>
      <c r="Z161" s="314"/>
      <c r="AA161" s="314"/>
      <c r="AB161" s="314"/>
      <c r="AC161" s="314"/>
      <c r="AD161" s="314"/>
      <c r="AE161" s="314"/>
      <c r="AF161" s="314"/>
      <c r="AG161" s="314"/>
      <c r="AH161" s="314"/>
      <c r="AI161" s="357" t="str">
        <f>AI$153</f>
        <v/>
      </c>
      <c r="AJ161" s="314"/>
      <c r="AK161" s="314"/>
      <c r="AL161" s="314"/>
      <c r="AM161" s="314"/>
      <c r="AN161" s="314"/>
      <c r="AO161" s="314"/>
      <c r="AP161" s="314"/>
      <c r="AQ161" s="314"/>
      <c r="AR161" s="314"/>
      <c r="AS161" s="314"/>
      <c r="AT161" s="314"/>
      <c r="AU161" s="314"/>
      <c r="AV161" s="314"/>
      <c r="AW161" s="314"/>
      <c r="AX161" s="314"/>
      <c r="AY161" s="314"/>
      <c r="AZ161" s="314"/>
      <c r="BA161" s="314"/>
      <c r="BB161" s="314"/>
    </row>
    <row r="162" spans="1:54" s="504" customFormat="1">
      <c r="A162" s="505" t="s">
        <v>586</v>
      </c>
      <c r="B162" s="505" t="s">
        <v>634</v>
      </c>
      <c r="C162" s="505" t="s">
        <v>620</v>
      </c>
      <c r="D162" s="505" t="s">
        <v>621</v>
      </c>
      <c r="E162" s="505" t="s">
        <v>622</v>
      </c>
      <c r="F162" s="505" t="s">
        <v>614</v>
      </c>
      <c r="G162" s="505" t="s">
        <v>623</v>
      </c>
      <c r="H162" s="505" t="s">
        <v>624</v>
      </c>
      <c r="I162" s="505" t="s">
        <v>625</v>
      </c>
      <c r="J162" s="505" t="s">
        <v>626</v>
      </c>
      <c r="K162" s="505" t="s">
        <v>627</v>
      </c>
      <c r="L162" s="505" t="s">
        <v>628</v>
      </c>
      <c r="M162" s="505" t="s">
        <v>629</v>
      </c>
      <c r="N162" s="505" t="s">
        <v>630</v>
      </c>
      <c r="O162" s="505" t="s">
        <v>631</v>
      </c>
      <c r="P162" s="505" t="s">
        <v>632</v>
      </c>
      <c r="Q162" s="505" t="s">
        <v>633</v>
      </c>
      <c r="R162" s="505" t="s">
        <v>1116</v>
      </c>
      <c r="S162" s="505" t="s">
        <v>738</v>
      </c>
      <c r="T162" s="505" t="s">
        <v>739</v>
      </c>
      <c r="U162" s="505" t="s">
        <v>699</v>
      </c>
      <c r="V162" s="505" t="s">
        <v>740</v>
      </c>
      <c r="W162" s="505" t="s">
        <v>823</v>
      </c>
      <c r="X162" s="505" t="s">
        <v>880</v>
      </c>
      <c r="Y162" s="505" t="s">
        <v>1118</v>
      </c>
      <c r="Z162" s="505" t="s">
        <v>1124</v>
      </c>
      <c r="AA162" s="505" t="s">
        <v>1125</v>
      </c>
      <c r="AB162" s="505" t="s">
        <v>1126</v>
      </c>
      <c r="AC162" s="505" t="s">
        <v>1127</v>
      </c>
      <c r="AD162" s="505" t="s">
        <v>1128</v>
      </c>
      <c r="AE162" s="505" t="s">
        <v>737</v>
      </c>
      <c r="AF162" s="505" t="s">
        <v>741</v>
      </c>
      <c r="AG162" s="505" t="s">
        <v>745</v>
      </c>
      <c r="AH162" s="505" t="s">
        <v>746</v>
      </c>
      <c r="AI162" s="505" t="s">
        <v>748</v>
      </c>
      <c r="AJ162" s="505" t="s">
        <v>747</v>
      </c>
      <c r="AK162" s="505" t="s">
        <v>1096</v>
      </c>
      <c r="AL162" s="505" t="s">
        <v>1140</v>
      </c>
      <c r="AM162" s="505" t="s">
        <v>1141</v>
      </c>
      <c r="AN162" s="505" t="s">
        <v>1142</v>
      </c>
      <c r="AO162" s="505" t="s">
        <v>1143</v>
      </c>
      <c r="AP162" s="505" t="s">
        <v>1144</v>
      </c>
      <c r="AQ162" s="505" t="s">
        <v>1145</v>
      </c>
      <c r="AR162" s="505" t="s">
        <v>1146</v>
      </c>
      <c r="AS162" s="505" t="s">
        <v>1147</v>
      </c>
      <c r="AT162" s="505" t="s">
        <v>1176</v>
      </c>
      <c r="AU162" s="505" t="s">
        <v>1247</v>
      </c>
      <c r="AV162" s="505" t="s">
        <v>1293</v>
      </c>
      <c r="AW162" s="505" t="s">
        <v>1291</v>
      </c>
      <c r="AX162" s="505" t="s">
        <v>1294</v>
      </c>
      <c r="AY162" s="505" t="s">
        <v>1295</v>
      </c>
      <c r="AZ162" s="505" t="s">
        <v>1372</v>
      </c>
      <c r="BA162" s="505" t="s">
        <v>1373</v>
      </c>
      <c r="BB162" s="505" t="s">
        <v>1481</v>
      </c>
    </row>
    <row r="163" spans="1:54">
      <c r="A163" s="505" t="s">
        <v>612</v>
      </c>
      <c r="B163" s="278" t="str">
        <f>IF(AND(お客様情報!$E$2="代ホ_オンプレ",COUNTIF(お客様情報!$R$42:$R$45,"i‐FILTER1")&gt;0),2,"")</f>
        <v/>
      </c>
      <c r="C163" s="278" t="str">
        <f>IFERROR(VLOOKUP("i‐FILTER"&amp;1,お客様情報!$R$42:$U$45,4,FALSE),"")</f>
        <v/>
      </c>
      <c r="D163" s="286" t="str">
        <f>IF(代ホ_入力フォームiF・mF・MA!$BH$80&lt;&gt;"",代ホ_入力フォームiF・mF・MA!$BH80,"")</f>
        <v/>
      </c>
      <c r="E163" s="278" t="str">
        <f>IF(代ホ_入力フォームiF・mF・MA!$BP$80&lt;&gt;"",代ホ_入力フォームiF・mF・MA!$BP$80,"")</f>
        <v/>
      </c>
      <c r="F163" s="278" t="str">
        <f>IF(OR(代ホ_入力フォームiF・mF・MA!$AL$80="新規",代ホ_入力フォームiF・mF・MA!$AL$80="乗換"),TEXT(中間データオンプレ!$I$15,"YYYY-MM-DD"),"")</f>
        <v/>
      </c>
      <c r="G163" s="278" t="str">
        <f>LEFT(代ホ_入力フォームiF・mF・MA!BU80,1)</f>
        <v/>
      </c>
      <c r="H163" s="314"/>
      <c r="I163" s="314"/>
      <c r="J163" s="556" t="str">
        <f>IF(代ホ_入力フォームiF・mF・MA!AX91="はい/お客様アドレス",代ホ_入力フォームiF・mF・MA!AG40,"")</f>
        <v/>
      </c>
      <c r="K163" s="556" t="str">
        <f>IF(代ホ_入力フォームiF・mF・MA!AX91="はい/通知先記入",代ホ_入力フォームiF・mF・MA!BP91,"")</f>
        <v/>
      </c>
      <c r="L163" s="314"/>
      <c r="M163" s="278">
        <f>IF(OR(代ホ_入力フォームiF・mF・MA!$AL$80="バージョンアップ",代ホ_入力フォームiF・mF・MA!$AL$80="更新(バージョンアップ同時)",代ホ_入力フォームiF・mF・MA!$AL$80="追加(バージョンアップ同時)",代ホ_入力フォームiF・mF・MA!$AL$80="追加(更新・バージョンアップ同時)"),"",代ホ_入力フォームiF・mF・MA!$CT$80)</f>
        <v>0</v>
      </c>
      <c r="N163" s="314"/>
      <c r="O163" s="314"/>
      <c r="P163" s="314"/>
      <c r="Q163" s="314"/>
      <c r="R163" s="314"/>
      <c r="S163" s="278" t="e">
        <f>IF(お客様情報!$N$64="","",お客様情報!$N$64)</f>
        <v>#N/A</v>
      </c>
      <c r="T163" s="278" t="e">
        <f>IF(お客様情報!$N$65="","",お客様情報!$N$65)</f>
        <v>#N/A</v>
      </c>
      <c r="U163" s="278" t="str">
        <f>IF(代ホ_入力フォームiF・mF・MA!$W$84="有",代ホ_入力フォームiF・mF・MA!$AB$84,"")</f>
        <v/>
      </c>
      <c r="V163" s="278" t="str">
        <f>IF(LEFT(代ホ_入力フォームiF・mF・MA!$AQ$84,1)="有",MID(代ホ_入力フォームiF・mF・MA!$AQ$84,3,3),"")</f>
        <v/>
      </c>
      <c r="W163" s="278" t="str">
        <f>IF(代ホ_入力フォームiF・mF・MA!$BR$84="有","子ども見守り","")</f>
        <v/>
      </c>
      <c r="X163" s="278"/>
      <c r="Y163" s="314"/>
      <c r="Z163" s="314"/>
      <c r="AA163" s="314"/>
      <c r="AB163" s="314"/>
      <c r="AC163" s="314"/>
      <c r="AD163" s="314"/>
      <c r="AE163" s="278" t="str">
        <f>IF(OR(代ホ_入力フォームiF・mF・MA!$AL$80="バージョンアップ",代ホ_入力フォームiF・mF・MA!$AL$80="更新(バージョンアップ同時)",代ホ_入力フォームiF・mF・MA!$AL$80="追加(バージョンアップ同時)",代ホ_入力フォームiF・mF・MA!$AL$80="追加(更新・バージョンアップ同時)",代ホ_入力フォームiF・mF・MA!$AL$80="エディション移行，バージョンアップ",代ホ_入力フォームiF・mF・MA!$AL$80="更新(エディション移行，バージョンアップ同時)",代ホ_入力フォームiF・mF・MA!$AL$80="追加(エディション移行，バージョンアップ同時)",代ホ_入力フォームiF・mF・MA!$AL$80="追加(更新・エディション移行，バージョンアップ同時)"),代ホ_入力フォームiF・mF・MA!$CT$80,"")</f>
        <v/>
      </c>
      <c r="AF163" s="314"/>
      <c r="AG163" s="314"/>
      <c r="AH163" s="314"/>
      <c r="AI163" s="278" t="str">
        <f>IF(代ホ_入力フォームiF・mF・MA!$H$84="有",代ホ_入力フォームiF・mF・MA!$N$84,"")</f>
        <v/>
      </c>
      <c r="AJ163" s="314"/>
      <c r="AK163" s="314"/>
      <c r="AL163" s="314"/>
      <c r="AM163" s="314"/>
      <c r="AN163" s="314"/>
      <c r="AO163" s="314"/>
      <c r="AP163" s="314"/>
      <c r="AQ163" s="314"/>
      <c r="AR163" s="314"/>
      <c r="AS163" s="314"/>
      <c r="AT163" s="314"/>
      <c r="AU163" s="314"/>
      <c r="AV163" s="314"/>
      <c r="AW163" s="314"/>
      <c r="AX163" s="314"/>
      <c r="AY163" s="314"/>
      <c r="AZ163" s="314"/>
      <c r="BA163" s="314"/>
      <c r="BB163" s="314"/>
    </row>
    <row r="164" spans="1:54" s="504" customFormat="1">
      <c r="A164" s="505" t="s">
        <v>586</v>
      </c>
      <c r="B164" s="505" t="s">
        <v>634</v>
      </c>
      <c r="C164" s="505" t="s">
        <v>620</v>
      </c>
      <c r="D164" s="505" t="s">
        <v>621</v>
      </c>
      <c r="E164" s="505" t="s">
        <v>622</v>
      </c>
      <c r="F164" s="505" t="s">
        <v>614</v>
      </c>
      <c r="G164" s="505" t="s">
        <v>623</v>
      </c>
      <c r="H164" s="505" t="s">
        <v>624</v>
      </c>
      <c r="I164" s="505" t="s">
        <v>625</v>
      </c>
      <c r="J164" s="505" t="s">
        <v>626</v>
      </c>
      <c r="K164" s="505" t="s">
        <v>627</v>
      </c>
      <c r="L164" s="505" t="s">
        <v>628</v>
      </c>
      <c r="M164" s="505" t="s">
        <v>629</v>
      </c>
      <c r="N164" s="505" t="s">
        <v>630</v>
      </c>
      <c r="O164" s="505" t="s">
        <v>631</v>
      </c>
      <c r="P164" s="505" t="s">
        <v>632</v>
      </c>
      <c r="Q164" s="505" t="s">
        <v>633</v>
      </c>
      <c r="R164" s="505" t="s">
        <v>1116</v>
      </c>
      <c r="S164" s="505" t="s">
        <v>738</v>
      </c>
      <c r="T164" s="505" t="s">
        <v>739</v>
      </c>
      <c r="U164" s="505" t="s">
        <v>699</v>
      </c>
      <c r="V164" s="505" t="s">
        <v>740</v>
      </c>
      <c r="W164" s="505" t="s">
        <v>823</v>
      </c>
      <c r="X164" s="505" t="s">
        <v>880</v>
      </c>
      <c r="Y164" s="505" t="s">
        <v>1118</v>
      </c>
      <c r="Z164" s="505" t="s">
        <v>1124</v>
      </c>
      <c r="AA164" s="505" t="s">
        <v>1125</v>
      </c>
      <c r="AB164" s="505" t="s">
        <v>1126</v>
      </c>
      <c r="AC164" s="505" t="s">
        <v>1127</v>
      </c>
      <c r="AD164" s="505" t="s">
        <v>1128</v>
      </c>
      <c r="AE164" s="505" t="s">
        <v>737</v>
      </c>
      <c r="AF164" s="505" t="s">
        <v>741</v>
      </c>
      <c r="AG164" s="505" t="s">
        <v>745</v>
      </c>
      <c r="AH164" s="505" t="s">
        <v>746</v>
      </c>
      <c r="AI164" s="505" t="s">
        <v>748</v>
      </c>
      <c r="AJ164" s="505" t="s">
        <v>747</v>
      </c>
      <c r="AK164" s="505" t="s">
        <v>1096</v>
      </c>
      <c r="AL164" s="505" t="s">
        <v>1140</v>
      </c>
      <c r="AM164" s="505" t="s">
        <v>1141</v>
      </c>
      <c r="AN164" s="505" t="s">
        <v>1142</v>
      </c>
      <c r="AO164" s="505" t="s">
        <v>1143</v>
      </c>
      <c r="AP164" s="505" t="s">
        <v>1144</v>
      </c>
      <c r="AQ164" s="505" t="s">
        <v>1145</v>
      </c>
      <c r="AR164" s="505" t="s">
        <v>1146</v>
      </c>
      <c r="AS164" s="505" t="s">
        <v>1147</v>
      </c>
      <c r="AT164" s="505" t="s">
        <v>1176</v>
      </c>
      <c r="AU164" s="505" t="s">
        <v>1247</v>
      </c>
      <c r="AV164" s="505" t="s">
        <v>1293</v>
      </c>
      <c r="AW164" s="505" t="s">
        <v>1291</v>
      </c>
      <c r="AX164" s="505" t="s">
        <v>1294</v>
      </c>
      <c r="AY164" s="505" t="s">
        <v>1295</v>
      </c>
      <c r="AZ164" s="505" t="s">
        <v>1372</v>
      </c>
      <c r="BA164" s="505" t="s">
        <v>1373</v>
      </c>
      <c r="BB164" s="505" t="s">
        <v>1481</v>
      </c>
    </row>
    <row r="165" spans="1:54">
      <c r="A165" s="505" t="s">
        <v>612</v>
      </c>
      <c r="B165" s="278" t="str">
        <f>IF(AND(お客様情報!$E$2="代ホ_オンプレ",COUNTIF(お客様情報!$R$42:$R$45,"i‐FILTER2")&gt;0),2,"")</f>
        <v/>
      </c>
      <c r="C165" s="278" t="str">
        <f>IFERROR(VLOOKUP("i‐FILTER"&amp;2,お客様情報!$R$42:$U$45,4,FALSE),"")</f>
        <v/>
      </c>
      <c r="D165" s="286" t="str">
        <f>$D$163</f>
        <v/>
      </c>
      <c r="E165" s="286" t="str">
        <f>$E$163</f>
        <v/>
      </c>
      <c r="F165" s="286" t="str">
        <f>$F$163</f>
        <v/>
      </c>
      <c r="G165" s="286" t="str">
        <f>$G$163</f>
        <v/>
      </c>
      <c r="H165" s="314"/>
      <c r="I165" s="314"/>
      <c r="J165" s="556" t="str">
        <f>J$163</f>
        <v/>
      </c>
      <c r="K165" s="556" t="str">
        <f>K$163</f>
        <v/>
      </c>
      <c r="L165" s="314"/>
      <c r="M165" s="286">
        <f>$M$163</f>
        <v>0</v>
      </c>
      <c r="N165" s="314"/>
      <c r="O165" s="314"/>
      <c r="P165" s="314"/>
      <c r="Q165" s="314"/>
      <c r="R165" s="314"/>
      <c r="S165" s="286" t="e">
        <f>$S$163</f>
        <v>#N/A</v>
      </c>
      <c r="T165" s="286" t="e">
        <f>$T$163</f>
        <v>#N/A</v>
      </c>
      <c r="U165" s="286" t="str">
        <f>$U$163</f>
        <v/>
      </c>
      <c r="V165" s="286" t="str">
        <f>$V$163</f>
        <v/>
      </c>
      <c r="W165" s="286" t="str">
        <f>$W$163</f>
        <v/>
      </c>
      <c r="X165" s="286"/>
      <c r="Y165" s="314"/>
      <c r="Z165" s="314"/>
      <c r="AA165" s="314"/>
      <c r="AB165" s="314"/>
      <c r="AC165" s="314"/>
      <c r="AD165" s="314"/>
      <c r="AE165" s="286" t="str">
        <f>$AE$163</f>
        <v/>
      </c>
      <c r="AF165" s="314"/>
      <c r="AG165" s="314"/>
      <c r="AH165" s="314"/>
      <c r="AI165" s="286" t="str">
        <f>$AI$163</f>
        <v/>
      </c>
      <c r="AJ165" s="314"/>
      <c r="AK165" s="314"/>
      <c r="AL165" s="314"/>
      <c r="AM165" s="314"/>
      <c r="AN165" s="314"/>
      <c r="AO165" s="314"/>
      <c r="AP165" s="314"/>
      <c r="AQ165" s="314"/>
      <c r="AR165" s="314"/>
      <c r="AS165" s="314"/>
      <c r="AT165" s="314"/>
      <c r="AU165" s="314"/>
      <c r="AV165" s="314"/>
      <c r="AW165" s="314"/>
      <c r="AX165" s="314"/>
      <c r="AY165" s="314"/>
      <c r="AZ165" s="314"/>
      <c r="BA165" s="314"/>
      <c r="BB165" s="314"/>
    </row>
    <row r="166" spans="1:54" s="504" customFormat="1">
      <c r="A166" s="505" t="s">
        <v>586</v>
      </c>
      <c r="B166" s="505" t="s">
        <v>634</v>
      </c>
      <c r="C166" s="505" t="s">
        <v>620</v>
      </c>
      <c r="D166" s="505" t="s">
        <v>621</v>
      </c>
      <c r="E166" s="505" t="s">
        <v>622</v>
      </c>
      <c r="F166" s="505" t="s">
        <v>614</v>
      </c>
      <c r="G166" s="505" t="s">
        <v>623</v>
      </c>
      <c r="H166" s="505" t="s">
        <v>624</v>
      </c>
      <c r="I166" s="505" t="s">
        <v>625</v>
      </c>
      <c r="J166" s="505" t="s">
        <v>626</v>
      </c>
      <c r="K166" s="505" t="s">
        <v>627</v>
      </c>
      <c r="L166" s="505" t="s">
        <v>628</v>
      </c>
      <c r="M166" s="505" t="s">
        <v>629</v>
      </c>
      <c r="N166" s="505" t="s">
        <v>630</v>
      </c>
      <c r="O166" s="505" t="s">
        <v>631</v>
      </c>
      <c r="P166" s="505" t="s">
        <v>632</v>
      </c>
      <c r="Q166" s="505" t="s">
        <v>633</v>
      </c>
      <c r="R166" s="505" t="s">
        <v>1116</v>
      </c>
      <c r="S166" s="505" t="s">
        <v>738</v>
      </c>
      <c r="T166" s="505" t="s">
        <v>739</v>
      </c>
      <c r="U166" s="505" t="s">
        <v>699</v>
      </c>
      <c r="V166" s="505" t="s">
        <v>740</v>
      </c>
      <c r="W166" s="505" t="s">
        <v>823</v>
      </c>
      <c r="X166" s="505" t="s">
        <v>880</v>
      </c>
      <c r="Y166" s="505" t="s">
        <v>1118</v>
      </c>
      <c r="Z166" s="505" t="s">
        <v>1124</v>
      </c>
      <c r="AA166" s="505" t="s">
        <v>1125</v>
      </c>
      <c r="AB166" s="505" t="s">
        <v>1126</v>
      </c>
      <c r="AC166" s="505" t="s">
        <v>1127</v>
      </c>
      <c r="AD166" s="505" t="s">
        <v>1128</v>
      </c>
      <c r="AE166" s="505" t="s">
        <v>737</v>
      </c>
      <c r="AF166" s="505" t="s">
        <v>741</v>
      </c>
      <c r="AG166" s="505" t="s">
        <v>745</v>
      </c>
      <c r="AH166" s="505" t="s">
        <v>746</v>
      </c>
      <c r="AI166" s="505" t="s">
        <v>748</v>
      </c>
      <c r="AJ166" s="505" t="s">
        <v>747</v>
      </c>
      <c r="AK166" s="505" t="s">
        <v>1096</v>
      </c>
      <c r="AL166" s="505" t="s">
        <v>1140</v>
      </c>
      <c r="AM166" s="505" t="s">
        <v>1141</v>
      </c>
      <c r="AN166" s="505" t="s">
        <v>1142</v>
      </c>
      <c r="AO166" s="505" t="s">
        <v>1143</v>
      </c>
      <c r="AP166" s="505" t="s">
        <v>1144</v>
      </c>
      <c r="AQ166" s="505" t="s">
        <v>1145</v>
      </c>
      <c r="AR166" s="505" t="s">
        <v>1146</v>
      </c>
      <c r="AS166" s="505" t="s">
        <v>1147</v>
      </c>
      <c r="AT166" s="505" t="s">
        <v>1176</v>
      </c>
      <c r="AU166" s="505" t="s">
        <v>1247</v>
      </c>
      <c r="AV166" s="505" t="s">
        <v>1293</v>
      </c>
      <c r="AW166" s="505" t="s">
        <v>1291</v>
      </c>
      <c r="AX166" s="505" t="s">
        <v>1294</v>
      </c>
      <c r="AY166" s="505" t="s">
        <v>1295</v>
      </c>
      <c r="AZ166" s="505" t="s">
        <v>1372</v>
      </c>
      <c r="BA166" s="505" t="s">
        <v>1373</v>
      </c>
      <c r="BB166" s="505" t="s">
        <v>1481</v>
      </c>
    </row>
    <row r="167" spans="1:54">
      <c r="A167" s="505" t="s">
        <v>612</v>
      </c>
      <c r="B167" s="278" t="str">
        <f>IF(AND(お客様情報!$E$2="代ホ_オンプレ",COUNTIF(お客様情報!$R$42:$R$45,"i‐FILTER3")&gt;0),2,"")</f>
        <v/>
      </c>
      <c r="C167" s="278" t="str">
        <f>IFERROR(VLOOKUP("i‐FILTER"&amp;3,お客様情報!$R$42:$U$45,4,FALSE),"")</f>
        <v/>
      </c>
      <c r="D167" s="286" t="str">
        <f>$D$163</f>
        <v/>
      </c>
      <c r="E167" s="286" t="str">
        <f>$E$163</f>
        <v/>
      </c>
      <c r="F167" s="286" t="str">
        <f>$F$163</f>
        <v/>
      </c>
      <c r="G167" s="286" t="str">
        <f>$G$163</f>
        <v/>
      </c>
      <c r="H167" s="314"/>
      <c r="I167" s="314"/>
      <c r="J167" s="556" t="str">
        <f>J$163</f>
        <v/>
      </c>
      <c r="K167" s="556" t="str">
        <f>K$163</f>
        <v/>
      </c>
      <c r="L167" s="314"/>
      <c r="M167" s="286">
        <f>$M$163</f>
        <v>0</v>
      </c>
      <c r="N167" s="314"/>
      <c r="O167" s="314"/>
      <c r="P167" s="314"/>
      <c r="Q167" s="314"/>
      <c r="R167" s="314"/>
      <c r="S167" s="286" t="e">
        <f>$S$163</f>
        <v>#N/A</v>
      </c>
      <c r="T167" s="286" t="e">
        <f>$T$163</f>
        <v>#N/A</v>
      </c>
      <c r="U167" s="286" t="str">
        <f>$U$163</f>
        <v/>
      </c>
      <c r="V167" s="286" t="str">
        <f>$V$163</f>
        <v/>
      </c>
      <c r="W167" s="286" t="str">
        <f>$W$163</f>
        <v/>
      </c>
      <c r="X167" s="286"/>
      <c r="Y167" s="314"/>
      <c r="Z167" s="314"/>
      <c r="AA167" s="314"/>
      <c r="AB167" s="314"/>
      <c r="AC167" s="314"/>
      <c r="AD167" s="314"/>
      <c r="AE167" s="286" t="str">
        <f>$AE$163</f>
        <v/>
      </c>
      <c r="AF167" s="314"/>
      <c r="AG167" s="314"/>
      <c r="AH167" s="314"/>
      <c r="AI167" s="286" t="str">
        <f>$AI$163</f>
        <v/>
      </c>
      <c r="AJ167" s="314"/>
      <c r="AK167" s="314"/>
      <c r="AL167" s="314"/>
      <c r="AM167" s="314"/>
      <c r="AN167" s="314"/>
      <c r="AO167" s="314"/>
      <c r="AP167" s="314"/>
      <c r="AQ167" s="314"/>
      <c r="AR167" s="314"/>
      <c r="AS167" s="314"/>
      <c r="AT167" s="314"/>
      <c r="AU167" s="314"/>
      <c r="AV167" s="314"/>
      <c r="AW167" s="314"/>
      <c r="AX167" s="314"/>
      <c r="AY167" s="314"/>
      <c r="AZ167" s="314"/>
      <c r="BA167" s="314"/>
      <c r="BB167" s="314"/>
    </row>
    <row r="168" spans="1:54" s="504" customFormat="1">
      <c r="A168" s="505" t="s">
        <v>586</v>
      </c>
      <c r="B168" s="505" t="s">
        <v>634</v>
      </c>
      <c r="C168" s="505" t="s">
        <v>620</v>
      </c>
      <c r="D168" s="505" t="s">
        <v>621</v>
      </c>
      <c r="E168" s="505" t="s">
        <v>622</v>
      </c>
      <c r="F168" s="505" t="s">
        <v>614</v>
      </c>
      <c r="G168" s="505" t="s">
        <v>623</v>
      </c>
      <c r="H168" s="505" t="s">
        <v>624</v>
      </c>
      <c r="I168" s="505" t="s">
        <v>625</v>
      </c>
      <c r="J168" s="505" t="s">
        <v>626</v>
      </c>
      <c r="K168" s="505" t="s">
        <v>627</v>
      </c>
      <c r="L168" s="505" t="s">
        <v>628</v>
      </c>
      <c r="M168" s="505" t="s">
        <v>629</v>
      </c>
      <c r="N168" s="505" t="s">
        <v>630</v>
      </c>
      <c r="O168" s="505" t="s">
        <v>631</v>
      </c>
      <c r="P168" s="505" t="s">
        <v>632</v>
      </c>
      <c r="Q168" s="505" t="s">
        <v>633</v>
      </c>
      <c r="R168" s="505" t="s">
        <v>1116</v>
      </c>
      <c r="S168" s="505" t="s">
        <v>738</v>
      </c>
      <c r="T168" s="505" t="s">
        <v>739</v>
      </c>
      <c r="U168" s="505" t="s">
        <v>699</v>
      </c>
      <c r="V168" s="505" t="s">
        <v>740</v>
      </c>
      <c r="W168" s="505" t="s">
        <v>823</v>
      </c>
      <c r="X168" s="505" t="s">
        <v>880</v>
      </c>
      <c r="Y168" s="505" t="s">
        <v>1118</v>
      </c>
      <c r="Z168" s="505" t="s">
        <v>1124</v>
      </c>
      <c r="AA168" s="505" t="s">
        <v>1125</v>
      </c>
      <c r="AB168" s="505" t="s">
        <v>1126</v>
      </c>
      <c r="AC168" s="505" t="s">
        <v>1127</v>
      </c>
      <c r="AD168" s="505" t="s">
        <v>1128</v>
      </c>
      <c r="AE168" s="505" t="s">
        <v>737</v>
      </c>
      <c r="AF168" s="505" t="s">
        <v>741</v>
      </c>
      <c r="AG168" s="505" t="s">
        <v>745</v>
      </c>
      <c r="AH168" s="505" t="s">
        <v>746</v>
      </c>
      <c r="AI168" s="505" t="s">
        <v>748</v>
      </c>
      <c r="AJ168" s="505" t="s">
        <v>747</v>
      </c>
      <c r="AK168" s="505" t="s">
        <v>1096</v>
      </c>
      <c r="AL168" s="505" t="s">
        <v>1140</v>
      </c>
      <c r="AM168" s="505" t="s">
        <v>1141</v>
      </c>
      <c r="AN168" s="505" t="s">
        <v>1142</v>
      </c>
      <c r="AO168" s="505" t="s">
        <v>1143</v>
      </c>
      <c r="AP168" s="505" t="s">
        <v>1144</v>
      </c>
      <c r="AQ168" s="505" t="s">
        <v>1145</v>
      </c>
      <c r="AR168" s="505" t="s">
        <v>1146</v>
      </c>
      <c r="AS168" s="505" t="s">
        <v>1147</v>
      </c>
      <c r="AT168" s="505" t="s">
        <v>1176</v>
      </c>
      <c r="AU168" s="505" t="s">
        <v>1247</v>
      </c>
      <c r="AV168" s="505" t="s">
        <v>1293</v>
      </c>
      <c r="AW168" s="505" t="s">
        <v>1291</v>
      </c>
      <c r="AX168" s="505" t="s">
        <v>1294</v>
      </c>
      <c r="AY168" s="505" t="s">
        <v>1295</v>
      </c>
      <c r="AZ168" s="505" t="s">
        <v>1372</v>
      </c>
      <c r="BA168" s="505" t="s">
        <v>1373</v>
      </c>
      <c r="BB168" s="505" t="s">
        <v>1481</v>
      </c>
    </row>
    <row r="169" spans="1:54">
      <c r="A169" s="505" t="s">
        <v>612</v>
      </c>
      <c r="B169" s="278" t="str">
        <f>IF(AND(お客様情報!$E$2="代ホ_オンプレ",COUNTIF(お客様情報!$R$42:$R$45,"i‐FILTER4")&gt;0),2,"")</f>
        <v/>
      </c>
      <c r="C169" s="278" t="str">
        <f>IFERROR(VLOOKUP("i‐FILTER"&amp;4,お客様情報!$R$42:$U$45,4,FALSE),"")</f>
        <v/>
      </c>
      <c r="D169" s="286" t="str">
        <f>$D$163</f>
        <v/>
      </c>
      <c r="E169" s="286" t="str">
        <f>$E$163</f>
        <v/>
      </c>
      <c r="F169" s="286" t="str">
        <f>$F$163</f>
        <v/>
      </c>
      <c r="G169" s="286" t="str">
        <f>$G$163</f>
        <v/>
      </c>
      <c r="H169" s="314"/>
      <c r="I169" s="314"/>
      <c r="J169" s="556" t="str">
        <f>J$163</f>
        <v/>
      </c>
      <c r="K169" s="556" t="str">
        <f>K$163</f>
        <v/>
      </c>
      <c r="L169" s="314"/>
      <c r="M169" s="286">
        <f>$M$163</f>
        <v>0</v>
      </c>
      <c r="N169" s="314"/>
      <c r="O169" s="314"/>
      <c r="P169" s="314"/>
      <c r="Q169" s="314"/>
      <c r="R169" s="314"/>
      <c r="S169" s="286" t="e">
        <f>$S$163</f>
        <v>#N/A</v>
      </c>
      <c r="T169" s="286" t="e">
        <f>$T$163</f>
        <v>#N/A</v>
      </c>
      <c r="U169" s="286" t="str">
        <f>$U$163</f>
        <v/>
      </c>
      <c r="V169" s="286" t="str">
        <f>$V$163</f>
        <v/>
      </c>
      <c r="W169" s="286" t="str">
        <f>$W$163</f>
        <v/>
      </c>
      <c r="X169" s="286"/>
      <c r="Y169" s="314"/>
      <c r="Z169" s="314"/>
      <c r="AA169" s="314"/>
      <c r="AB169" s="314"/>
      <c r="AC169" s="314"/>
      <c r="AD169" s="314"/>
      <c r="AE169" s="286" t="str">
        <f>$AE$163</f>
        <v/>
      </c>
      <c r="AF169" s="314"/>
      <c r="AG169" s="314"/>
      <c r="AH169" s="314"/>
      <c r="AI169" s="286" t="str">
        <f>$AI$163</f>
        <v/>
      </c>
      <c r="AJ169" s="314"/>
      <c r="AK169" s="314"/>
      <c r="AL169" s="314"/>
      <c r="AM169" s="314"/>
      <c r="AN169" s="314"/>
      <c r="AO169" s="314"/>
      <c r="AP169" s="314"/>
      <c r="AQ169" s="314"/>
      <c r="AR169" s="314"/>
      <c r="AS169" s="314"/>
      <c r="AT169" s="314"/>
      <c r="AU169" s="314"/>
      <c r="AV169" s="314"/>
      <c r="AW169" s="314"/>
      <c r="AX169" s="314"/>
      <c r="AY169" s="314"/>
      <c r="AZ169" s="314"/>
      <c r="BA169" s="314"/>
      <c r="BB169" s="314"/>
    </row>
    <row r="170" spans="1:54" s="504" customFormat="1">
      <c r="A170" s="503" t="s">
        <v>586</v>
      </c>
      <c r="B170" s="503" t="s">
        <v>634</v>
      </c>
      <c r="C170" s="503" t="s">
        <v>620</v>
      </c>
      <c r="D170" s="503" t="s">
        <v>621</v>
      </c>
      <c r="E170" s="503" t="s">
        <v>622</v>
      </c>
      <c r="F170" s="503" t="s">
        <v>614</v>
      </c>
      <c r="G170" s="503" t="s">
        <v>623</v>
      </c>
      <c r="H170" s="503" t="s">
        <v>624</v>
      </c>
      <c r="I170" s="503" t="s">
        <v>625</v>
      </c>
      <c r="J170" s="503" t="s">
        <v>626</v>
      </c>
      <c r="K170" s="503" t="s">
        <v>627</v>
      </c>
      <c r="L170" s="503" t="s">
        <v>628</v>
      </c>
      <c r="M170" s="503" t="s">
        <v>629</v>
      </c>
      <c r="N170" s="503" t="s">
        <v>630</v>
      </c>
      <c r="O170" s="503" t="s">
        <v>631</v>
      </c>
      <c r="P170" s="503" t="s">
        <v>632</v>
      </c>
      <c r="Q170" s="503" t="s">
        <v>633</v>
      </c>
      <c r="R170" s="503" t="s">
        <v>1116</v>
      </c>
      <c r="S170" s="503" t="s">
        <v>701</v>
      </c>
      <c r="T170" s="503" t="s">
        <v>702</v>
      </c>
      <c r="U170" s="503" t="s">
        <v>699</v>
      </c>
      <c r="V170" s="503" t="s">
        <v>700</v>
      </c>
      <c r="W170" s="503" t="s">
        <v>823</v>
      </c>
      <c r="X170" s="503" t="s">
        <v>880</v>
      </c>
      <c r="Y170" s="503" t="s">
        <v>1118</v>
      </c>
      <c r="Z170" s="503" t="s">
        <v>1124</v>
      </c>
      <c r="AA170" s="503" t="s">
        <v>1125</v>
      </c>
      <c r="AB170" s="503" t="s">
        <v>1126</v>
      </c>
      <c r="AC170" s="503" t="s">
        <v>1127</v>
      </c>
      <c r="AD170" s="503" t="s">
        <v>1128</v>
      </c>
      <c r="AE170" s="503" t="s">
        <v>737</v>
      </c>
      <c r="AF170" s="503" t="s">
        <v>741</v>
      </c>
      <c r="AG170" s="503" t="s">
        <v>745</v>
      </c>
      <c r="AH170" s="503" t="s">
        <v>746</v>
      </c>
      <c r="AI170" s="503" t="s">
        <v>748</v>
      </c>
      <c r="AJ170" s="503" t="s">
        <v>747</v>
      </c>
      <c r="AK170" s="503" t="s">
        <v>1096</v>
      </c>
      <c r="AL170" s="503" t="s">
        <v>1140</v>
      </c>
      <c r="AM170" s="503" t="s">
        <v>1141</v>
      </c>
      <c r="AN170" s="503" t="s">
        <v>1142</v>
      </c>
      <c r="AO170" s="503" t="s">
        <v>1143</v>
      </c>
      <c r="AP170" s="503" t="s">
        <v>1144</v>
      </c>
      <c r="AQ170" s="503" t="s">
        <v>1145</v>
      </c>
      <c r="AR170" s="503" t="s">
        <v>1146</v>
      </c>
      <c r="AS170" s="503" t="s">
        <v>1147</v>
      </c>
      <c r="AT170" s="503" t="s">
        <v>1176</v>
      </c>
      <c r="AU170" s="503" t="s">
        <v>1247</v>
      </c>
      <c r="AV170" s="503" t="s">
        <v>1293</v>
      </c>
      <c r="AW170" s="503" t="s">
        <v>1291</v>
      </c>
      <c r="AX170" s="503" t="s">
        <v>1294</v>
      </c>
      <c r="AY170" s="503" t="s">
        <v>1295</v>
      </c>
      <c r="AZ170" s="503" t="s">
        <v>1372</v>
      </c>
      <c r="BA170" s="503" t="s">
        <v>1373</v>
      </c>
      <c r="BB170" s="503" t="s">
        <v>1481</v>
      </c>
    </row>
    <row r="171" spans="1:54">
      <c r="A171" s="503" t="s">
        <v>612</v>
      </c>
      <c r="B171" s="279" t="str">
        <f>IF(AND(お客様情報!$E$2="代ホ_オンプレ",COUNTIF(お客様情報!$R$42:$R$45,"m‐FILTER1")&gt;0),6,"")</f>
        <v/>
      </c>
      <c r="C171" s="278" t="str">
        <f>IFERROR(VLOOKUP("m‐FILTER"&amp;1,お客様情報!$R$42:$U$45,4,FALSE),"")</f>
        <v/>
      </c>
      <c r="D171" s="286" t="str">
        <f>IF(代ホ_入力フォームiF・mF・MA!$BH$98&lt;&gt;"",代ホ_入力フォームiF・mF・MA!$BH$98,"")</f>
        <v/>
      </c>
      <c r="E171" s="278" t="str">
        <f>IF(代ホ_入力フォームiF・mF・MA!$BP$98&lt;&gt;"",代ホ_入力フォームiF・mF・MA!$BP$98,"")</f>
        <v/>
      </c>
      <c r="F171" s="278" t="str">
        <f>IF(OR(代ホ_入力フォームiF・mF・MA!$AL$98="新規",代ホ_入力フォームiF・mF・MA!$AL$98="新規+保守",代ホ_入力フォームiF・mF・MA!$AL$98="乗換+保守"),TEXT(中間データオンプレ!$R$16,"YYYY-MM-DD"),"")</f>
        <v/>
      </c>
      <c r="G171" s="278" t="str">
        <f>LEFT(代ホ_入力フォームiF・mF・MA!$BU$98,1)</f>
        <v/>
      </c>
      <c r="H171" s="278" t="str">
        <f>IF(代ホ_入力フォームiF・mF・MA!H105="有/暗号化強固OP保有なし",代ホ_入力フォームiF・mF・MA!AP105,"")</f>
        <v/>
      </c>
      <c r="I171" s="314"/>
      <c r="J171" s="556" t="str">
        <f>IF(代ホ_入力フォームiF・mF・MA!AX91="はい/お客様アドレス",代ホ_入力フォームiF・mF・MA!AG40,"")</f>
        <v/>
      </c>
      <c r="K171" s="556" t="str">
        <f>IF(代ホ_入力フォームiF・mF・MA!AX91="はい/通知先記入",代ホ_入力フォームiF・mF・MA!BP91,"")</f>
        <v/>
      </c>
      <c r="L171" s="278" t="str">
        <f>IF(代ホ_入力フォームiF・mF・MA!$AK$102="有/FinalCode保有",IF(代ホ_入力フォームiF・mF・MA!$BQ$102&lt;&gt;"",代ホ_入力フォームiF・mF・MA!$BQ$102,""),"")</f>
        <v/>
      </c>
      <c r="M171" s="278" t="str">
        <f>IF(代ホ_入力フォームiF・mF・MA!$CT$98&lt;&gt;"",代ホ_入力フォームiF・mF・MA!$CT$98,"")</f>
        <v/>
      </c>
      <c r="N171" s="314"/>
      <c r="O171" s="314"/>
      <c r="P171" s="314"/>
      <c r="Q171" s="314"/>
      <c r="R171" s="314"/>
      <c r="S171" s="278" t="e">
        <f>IF(お客様情報!$N$64="","",お客様情報!$N$64)</f>
        <v>#N/A</v>
      </c>
      <c r="T171" s="278" t="e">
        <f>IF(お客様情報!$N$65="","",お客様情報!$N$65)</f>
        <v>#N/A</v>
      </c>
      <c r="U171" s="314"/>
      <c r="V171" s="314"/>
      <c r="W171" s="314"/>
      <c r="X171" s="314"/>
      <c r="Y171" s="314" t="str">
        <f>IF(代ホ_入力フォームiF・mF・MA!DC105&gt;=1,"OPSWAT台数："&amp;代ホ_入力フォームiF・mF・MA!DC105,"")</f>
        <v/>
      </c>
      <c r="Z171" s="314"/>
      <c r="AA171" s="314"/>
      <c r="AB171" s="314"/>
      <c r="AC171" s="314"/>
      <c r="AD171" s="314"/>
      <c r="AE171" s="314"/>
      <c r="AF171" s="567" t="str">
        <f>IF(代ホ_入力フォームiF・mF・MA!BS105="","",代ホ_入力フォームiF・mF・MA!CK105)</f>
        <v/>
      </c>
      <c r="AG171" s="278" t="str">
        <f>IF(LEFT(代ホ_入力フォームiF・mF・MA!$AK$102,1)="有",代ホ_入力フォームiF・mF・MA!$BF$102,"")</f>
        <v/>
      </c>
      <c r="AH171" s="314"/>
      <c r="AI171" s="314"/>
      <c r="AJ171" s="278" t="str">
        <f>IF(代ホ_入力フォームiF・mF・MA!$BS$105="有",代ホ_入力フォームiF・mF・MA!#REF!,"")</f>
        <v/>
      </c>
      <c r="AK171" s="314"/>
      <c r="AL171" s="314"/>
      <c r="AM171" s="314"/>
      <c r="AN171" s="314"/>
      <c r="AO171" s="314"/>
      <c r="AP171" s="314"/>
      <c r="AQ171" s="314"/>
      <c r="AR171" s="314"/>
      <c r="AS171" s="314"/>
      <c r="AT171" s="278" t="str">
        <f>IF(代ホ_入力フォームiF・mF・MA!H105="有/暗号化強固OP保有あり",代ホ_入力フォームiF・mF・MA!BQ102,"")</f>
        <v/>
      </c>
      <c r="AU171" s="278"/>
      <c r="AV171" s="378"/>
      <c r="AW171" s="378"/>
      <c r="AX171" s="378"/>
      <c r="AY171" s="378"/>
      <c r="AZ171" s="378"/>
      <c r="BA171" s="378"/>
      <c r="BB171" s="378"/>
    </row>
    <row r="172" spans="1:54" s="504" customFormat="1">
      <c r="A172" s="503" t="s">
        <v>586</v>
      </c>
      <c r="B172" s="503" t="s">
        <v>634</v>
      </c>
      <c r="C172" s="503" t="s">
        <v>620</v>
      </c>
      <c r="D172" s="503" t="s">
        <v>621</v>
      </c>
      <c r="E172" s="503" t="s">
        <v>622</v>
      </c>
      <c r="F172" s="503" t="s">
        <v>614</v>
      </c>
      <c r="G172" s="503" t="s">
        <v>623</v>
      </c>
      <c r="H172" s="503" t="s">
        <v>624</v>
      </c>
      <c r="I172" s="503" t="s">
        <v>625</v>
      </c>
      <c r="J172" s="503" t="s">
        <v>626</v>
      </c>
      <c r="K172" s="503" t="s">
        <v>627</v>
      </c>
      <c r="L172" s="503" t="s">
        <v>628</v>
      </c>
      <c r="M172" s="503" t="s">
        <v>629</v>
      </c>
      <c r="N172" s="503" t="s">
        <v>630</v>
      </c>
      <c r="O172" s="503" t="s">
        <v>631</v>
      </c>
      <c r="P172" s="503" t="s">
        <v>632</v>
      </c>
      <c r="Q172" s="503" t="s">
        <v>633</v>
      </c>
      <c r="R172" s="503" t="s">
        <v>1116</v>
      </c>
      <c r="S172" s="503" t="s">
        <v>701</v>
      </c>
      <c r="T172" s="503" t="s">
        <v>702</v>
      </c>
      <c r="U172" s="503" t="s">
        <v>699</v>
      </c>
      <c r="V172" s="503" t="s">
        <v>700</v>
      </c>
      <c r="W172" s="503" t="s">
        <v>823</v>
      </c>
      <c r="X172" s="503" t="s">
        <v>880</v>
      </c>
      <c r="Y172" s="503" t="s">
        <v>1118</v>
      </c>
      <c r="Z172" s="503" t="s">
        <v>1124</v>
      </c>
      <c r="AA172" s="503" t="s">
        <v>1125</v>
      </c>
      <c r="AB172" s="503" t="s">
        <v>1126</v>
      </c>
      <c r="AC172" s="503" t="s">
        <v>1127</v>
      </c>
      <c r="AD172" s="503" t="s">
        <v>1128</v>
      </c>
      <c r="AE172" s="503" t="s">
        <v>737</v>
      </c>
      <c r="AF172" s="503" t="s">
        <v>741</v>
      </c>
      <c r="AG172" s="503" t="s">
        <v>745</v>
      </c>
      <c r="AH172" s="503" t="s">
        <v>746</v>
      </c>
      <c r="AI172" s="503" t="s">
        <v>748</v>
      </c>
      <c r="AJ172" s="503" t="s">
        <v>747</v>
      </c>
      <c r="AK172" s="503" t="s">
        <v>1096</v>
      </c>
      <c r="AL172" s="503" t="s">
        <v>1140</v>
      </c>
      <c r="AM172" s="503" t="s">
        <v>1141</v>
      </c>
      <c r="AN172" s="503" t="s">
        <v>1142</v>
      </c>
      <c r="AO172" s="503" t="s">
        <v>1143</v>
      </c>
      <c r="AP172" s="503" t="s">
        <v>1144</v>
      </c>
      <c r="AQ172" s="503" t="s">
        <v>1145</v>
      </c>
      <c r="AR172" s="503" t="s">
        <v>1146</v>
      </c>
      <c r="AS172" s="503" t="s">
        <v>1147</v>
      </c>
      <c r="AT172" s="503" t="s">
        <v>1176</v>
      </c>
      <c r="AU172" s="503" t="s">
        <v>1247</v>
      </c>
      <c r="AV172" s="503" t="s">
        <v>1293</v>
      </c>
      <c r="AW172" s="503" t="s">
        <v>1291</v>
      </c>
      <c r="AX172" s="503" t="s">
        <v>1294</v>
      </c>
      <c r="AY172" s="503" t="s">
        <v>1295</v>
      </c>
      <c r="AZ172" s="503" t="s">
        <v>1372</v>
      </c>
      <c r="BA172" s="503" t="s">
        <v>1373</v>
      </c>
      <c r="BB172" s="503" t="s">
        <v>1481</v>
      </c>
    </row>
    <row r="173" spans="1:54">
      <c r="A173" s="503" t="s">
        <v>612</v>
      </c>
      <c r="B173" s="279" t="str">
        <f>IF(AND(お客様情報!$E$2="代ホ_オンプレ",COUNTIF(お客様情報!$R$42:$R$45,"m‐FILTER2")&gt;0),6,"")</f>
        <v/>
      </c>
      <c r="C173" s="278" t="str">
        <f>IFERROR(VLOOKUP("m‐FILTER"&amp;2,お客様情報!$R$42:$U$45,4,FALSE),"")</f>
        <v/>
      </c>
      <c r="D173" s="286" t="str">
        <f>$D$171</f>
        <v/>
      </c>
      <c r="E173" s="286" t="str">
        <f>$E$171</f>
        <v/>
      </c>
      <c r="F173" s="286" t="str">
        <f>$F$171</f>
        <v/>
      </c>
      <c r="G173" s="286" t="str">
        <f>$G$171</f>
        <v/>
      </c>
      <c r="H173" s="278" t="str">
        <f>H$171</f>
        <v/>
      </c>
      <c r="I173" s="314"/>
      <c r="J173" s="556" t="str">
        <f>J$171</f>
        <v/>
      </c>
      <c r="K173" s="556" t="str">
        <f>K$171</f>
        <v/>
      </c>
      <c r="L173" s="286" t="str">
        <f>$L$171</f>
        <v/>
      </c>
      <c r="M173" s="286" t="str">
        <f>$M$171</f>
        <v/>
      </c>
      <c r="N173" s="314"/>
      <c r="O173" s="314"/>
      <c r="P173" s="314"/>
      <c r="Q173" s="314"/>
      <c r="R173" s="314"/>
      <c r="S173" s="286" t="e">
        <f>$S$171</f>
        <v>#N/A</v>
      </c>
      <c r="T173" s="286" t="e">
        <f>$T$171</f>
        <v>#N/A</v>
      </c>
      <c r="U173" s="314"/>
      <c r="V173" s="314"/>
      <c r="W173" s="314"/>
      <c r="X173" s="314"/>
      <c r="Y173" s="314" t="str">
        <f>$Y$171</f>
        <v/>
      </c>
      <c r="Z173" s="314"/>
      <c r="AA173" s="314"/>
      <c r="AB173" s="314"/>
      <c r="AC173" s="314"/>
      <c r="AD173" s="314"/>
      <c r="AE173" s="314"/>
      <c r="AF173" s="278" t="str">
        <f>$AF$171</f>
        <v/>
      </c>
      <c r="AG173" s="286" t="str">
        <f>$AG$171</f>
        <v/>
      </c>
      <c r="AH173" s="314"/>
      <c r="AI173" s="314"/>
      <c r="AJ173" s="286" t="str">
        <f>$AJ$171</f>
        <v/>
      </c>
      <c r="AK173" s="314"/>
      <c r="AL173" s="314"/>
      <c r="AM173" s="314"/>
      <c r="AN173" s="314"/>
      <c r="AO173" s="314"/>
      <c r="AP173" s="314"/>
      <c r="AQ173" s="314"/>
      <c r="AR173" s="314"/>
      <c r="AS173" s="314"/>
      <c r="AT173" s="278" t="str">
        <f>AT$171</f>
        <v/>
      </c>
      <c r="AU173" s="278"/>
      <c r="AV173" s="378"/>
      <c r="AW173" s="378"/>
      <c r="AX173" s="378"/>
      <c r="AY173" s="378"/>
      <c r="AZ173" s="378"/>
      <c r="BA173" s="378"/>
      <c r="BB173" s="378"/>
    </row>
    <row r="174" spans="1:54" s="504" customFormat="1">
      <c r="A174" s="503" t="s">
        <v>586</v>
      </c>
      <c r="B174" s="503" t="s">
        <v>634</v>
      </c>
      <c r="C174" s="503" t="s">
        <v>620</v>
      </c>
      <c r="D174" s="503" t="s">
        <v>621</v>
      </c>
      <c r="E174" s="503" t="s">
        <v>622</v>
      </c>
      <c r="F174" s="503" t="s">
        <v>614</v>
      </c>
      <c r="G174" s="503" t="s">
        <v>623</v>
      </c>
      <c r="H174" s="503" t="s">
        <v>624</v>
      </c>
      <c r="I174" s="503" t="s">
        <v>625</v>
      </c>
      <c r="J174" s="503" t="s">
        <v>626</v>
      </c>
      <c r="K174" s="503" t="s">
        <v>627</v>
      </c>
      <c r="L174" s="503" t="s">
        <v>628</v>
      </c>
      <c r="M174" s="503" t="s">
        <v>629</v>
      </c>
      <c r="N174" s="503" t="s">
        <v>630</v>
      </c>
      <c r="O174" s="503" t="s">
        <v>631</v>
      </c>
      <c r="P174" s="503" t="s">
        <v>632</v>
      </c>
      <c r="Q174" s="503" t="s">
        <v>633</v>
      </c>
      <c r="R174" s="503" t="s">
        <v>1116</v>
      </c>
      <c r="S174" s="503" t="s">
        <v>701</v>
      </c>
      <c r="T174" s="503" t="s">
        <v>702</v>
      </c>
      <c r="U174" s="503" t="s">
        <v>699</v>
      </c>
      <c r="V174" s="503" t="s">
        <v>700</v>
      </c>
      <c r="W174" s="503" t="s">
        <v>823</v>
      </c>
      <c r="X174" s="503" t="s">
        <v>880</v>
      </c>
      <c r="Y174" s="503" t="s">
        <v>1118</v>
      </c>
      <c r="Z174" s="503" t="s">
        <v>1124</v>
      </c>
      <c r="AA174" s="503" t="s">
        <v>1125</v>
      </c>
      <c r="AB174" s="503" t="s">
        <v>1126</v>
      </c>
      <c r="AC174" s="503" t="s">
        <v>1127</v>
      </c>
      <c r="AD174" s="503" t="s">
        <v>1128</v>
      </c>
      <c r="AE174" s="503" t="s">
        <v>737</v>
      </c>
      <c r="AF174" s="503" t="s">
        <v>741</v>
      </c>
      <c r="AG174" s="503" t="s">
        <v>745</v>
      </c>
      <c r="AH174" s="503" t="s">
        <v>746</v>
      </c>
      <c r="AI174" s="503" t="s">
        <v>748</v>
      </c>
      <c r="AJ174" s="503" t="s">
        <v>747</v>
      </c>
      <c r="AK174" s="503" t="s">
        <v>1096</v>
      </c>
      <c r="AL174" s="503" t="s">
        <v>1140</v>
      </c>
      <c r="AM174" s="503" t="s">
        <v>1141</v>
      </c>
      <c r="AN174" s="503" t="s">
        <v>1142</v>
      </c>
      <c r="AO174" s="503" t="s">
        <v>1143</v>
      </c>
      <c r="AP174" s="503" t="s">
        <v>1144</v>
      </c>
      <c r="AQ174" s="503" t="s">
        <v>1145</v>
      </c>
      <c r="AR174" s="503" t="s">
        <v>1146</v>
      </c>
      <c r="AS174" s="503" t="s">
        <v>1147</v>
      </c>
      <c r="AT174" s="503" t="s">
        <v>1176</v>
      </c>
      <c r="AU174" s="503" t="s">
        <v>1247</v>
      </c>
      <c r="AV174" s="503" t="s">
        <v>1293</v>
      </c>
      <c r="AW174" s="503" t="s">
        <v>1291</v>
      </c>
      <c r="AX174" s="503" t="s">
        <v>1294</v>
      </c>
      <c r="AY174" s="503" t="s">
        <v>1295</v>
      </c>
      <c r="AZ174" s="503" t="s">
        <v>1372</v>
      </c>
      <c r="BA174" s="503" t="s">
        <v>1373</v>
      </c>
      <c r="BB174" s="503" t="s">
        <v>1481</v>
      </c>
    </row>
    <row r="175" spans="1:54">
      <c r="A175" s="503" t="s">
        <v>612</v>
      </c>
      <c r="B175" s="279" t="str">
        <f>IF(AND(お客様情報!$E$2="代ホ_オンプレ",COUNTIF(お客様情報!$R$42:$R$45,"m‐FILTER3")&gt;0),6,"")</f>
        <v/>
      </c>
      <c r="C175" s="278" t="str">
        <f>IFERROR(VLOOKUP("m‐FILTER"&amp;3,お客様情報!$R$42:$U$45,4,FALSE),"")</f>
        <v/>
      </c>
      <c r="D175" s="286" t="str">
        <f>$D$171</f>
        <v/>
      </c>
      <c r="E175" s="286" t="str">
        <f>$E$171</f>
        <v/>
      </c>
      <c r="F175" s="286" t="str">
        <f>$F$171</f>
        <v/>
      </c>
      <c r="G175" s="286" t="str">
        <f>$G$171</f>
        <v/>
      </c>
      <c r="H175" s="278" t="str">
        <f>H$171</f>
        <v/>
      </c>
      <c r="I175" s="314"/>
      <c r="J175" s="556" t="str">
        <f>J$171</f>
        <v/>
      </c>
      <c r="K175" s="556" t="str">
        <f>K$171</f>
        <v/>
      </c>
      <c r="L175" s="286" t="str">
        <f>$L$171</f>
        <v/>
      </c>
      <c r="M175" s="286" t="str">
        <f>$M$171</f>
        <v/>
      </c>
      <c r="N175" s="314"/>
      <c r="O175" s="314"/>
      <c r="P175" s="314"/>
      <c r="Q175" s="314"/>
      <c r="R175" s="314"/>
      <c r="S175" s="286" t="e">
        <f>$S$171</f>
        <v>#N/A</v>
      </c>
      <c r="T175" s="286" t="e">
        <f>$T$171</f>
        <v>#N/A</v>
      </c>
      <c r="U175" s="314"/>
      <c r="V175" s="314"/>
      <c r="W175" s="314"/>
      <c r="X175" s="314"/>
      <c r="Y175" s="314" t="str">
        <f>$Y$171</f>
        <v/>
      </c>
      <c r="Z175" s="314"/>
      <c r="AA175" s="314"/>
      <c r="AB175" s="314"/>
      <c r="AC175" s="314"/>
      <c r="AD175" s="314"/>
      <c r="AE175" s="314"/>
      <c r="AF175" s="278" t="str">
        <f>$AF$171</f>
        <v/>
      </c>
      <c r="AG175" s="286" t="str">
        <f>$AG$171</f>
        <v/>
      </c>
      <c r="AH175" s="314"/>
      <c r="AI175" s="314"/>
      <c r="AJ175" s="286" t="str">
        <f>$AJ$171</f>
        <v/>
      </c>
      <c r="AK175" s="314"/>
      <c r="AL175" s="314"/>
      <c r="AM175" s="314"/>
      <c r="AN175" s="314"/>
      <c r="AO175" s="314"/>
      <c r="AP175" s="314"/>
      <c r="AQ175" s="314"/>
      <c r="AR175" s="314"/>
      <c r="AS175" s="314"/>
      <c r="AT175" s="278" t="str">
        <f>AT$171</f>
        <v/>
      </c>
      <c r="AU175" s="278"/>
      <c r="AV175" s="378"/>
      <c r="AW175" s="378"/>
      <c r="AX175" s="378"/>
      <c r="AY175" s="378"/>
      <c r="AZ175" s="378"/>
      <c r="BA175" s="378"/>
      <c r="BB175" s="378"/>
    </row>
    <row r="176" spans="1:54" s="504" customFormat="1">
      <c r="A176" s="503" t="s">
        <v>586</v>
      </c>
      <c r="B176" s="503" t="s">
        <v>634</v>
      </c>
      <c r="C176" s="503" t="s">
        <v>620</v>
      </c>
      <c r="D176" s="503" t="s">
        <v>621</v>
      </c>
      <c r="E176" s="503" t="s">
        <v>622</v>
      </c>
      <c r="F176" s="503" t="s">
        <v>614</v>
      </c>
      <c r="G176" s="503" t="s">
        <v>623</v>
      </c>
      <c r="H176" s="503" t="s">
        <v>1175</v>
      </c>
      <c r="I176" s="503" t="s">
        <v>625</v>
      </c>
      <c r="J176" s="503" t="s">
        <v>626</v>
      </c>
      <c r="K176" s="503" t="s">
        <v>627</v>
      </c>
      <c r="L176" s="503" t="s">
        <v>628</v>
      </c>
      <c r="M176" s="503" t="s">
        <v>629</v>
      </c>
      <c r="N176" s="503" t="s">
        <v>630</v>
      </c>
      <c r="O176" s="503" t="s">
        <v>631</v>
      </c>
      <c r="P176" s="503" t="s">
        <v>632</v>
      </c>
      <c r="Q176" s="503" t="s">
        <v>633</v>
      </c>
      <c r="R176" s="503" t="s">
        <v>1116</v>
      </c>
      <c r="S176" s="503" t="s">
        <v>701</v>
      </c>
      <c r="T176" s="503" t="s">
        <v>702</v>
      </c>
      <c r="U176" s="503" t="s">
        <v>699</v>
      </c>
      <c r="V176" s="503" t="s">
        <v>700</v>
      </c>
      <c r="W176" s="503" t="s">
        <v>823</v>
      </c>
      <c r="X176" s="503" t="s">
        <v>880</v>
      </c>
      <c r="Y176" s="503" t="s">
        <v>1118</v>
      </c>
      <c r="Z176" s="503" t="s">
        <v>1124</v>
      </c>
      <c r="AA176" s="503" t="s">
        <v>1125</v>
      </c>
      <c r="AB176" s="503" t="s">
        <v>1126</v>
      </c>
      <c r="AC176" s="503" t="s">
        <v>1127</v>
      </c>
      <c r="AD176" s="503" t="s">
        <v>1128</v>
      </c>
      <c r="AE176" s="503" t="s">
        <v>737</v>
      </c>
      <c r="AF176" s="503" t="s">
        <v>741</v>
      </c>
      <c r="AG176" s="503" t="s">
        <v>745</v>
      </c>
      <c r="AH176" s="503" t="s">
        <v>746</v>
      </c>
      <c r="AI176" s="503" t="s">
        <v>748</v>
      </c>
      <c r="AJ176" s="503" t="s">
        <v>747</v>
      </c>
      <c r="AK176" s="503" t="s">
        <v>1096</v>
      </c>
      <c r="AL176" s="503" t="s">
        <v>1140</v>
      </c>
      <c r="AM176" s="503" t="s">
        <v>1141</v>
      </c>
      <c r="AN176" s="503" t="s">
        <v>1142</v>
      </c>
      <c r="AO176" s="503" t="s">
        <v>1143</v>
      </c>
      <c r="AP176" s="503" t="s">
        <v>1144</v>
      </c>
      <c r="AQ176" s="503" t="s">
        <v>1145</v>
      </c>
      <c r="AR176" s="503" t="s">
        <v>1146</v>
      </c>
      <c r="AS176" s="503" t="s">
        <v>1147</v>
      </c>
      <c r="AT176" s="503" t="s">
        <v>1176</v>
      </c>
      <c r="AU176" s="503" t="s">
        <v>1247</v>
      </c>
      <c r="AV176" s="503" t="s">
        <v>1293</v>
      </c>
      <c r="AW176" s="503" t="s">
        <v>1291</v>
      </c>
      <c r="AX176" s="503" t="s">
        <v>1294</v>
      </c>
      <c r="AY176" s="503" t="s">
        <v>1295</v>
      </c>
      <c r="AZ176" s="503" t="s">
        <v>1372</v>
      </c>
      <c r="BA176" s="503" t="s">
        <v>1373</v>
      </c>
      <c r="BB176" s="503" t="s">
        <v>1481</v>
      </c>
    </row>
    <row r="177" spans="1:54">
      <c r="A177" s="503" t="s">
        <v>612</v>
      </c>
      <c r="B177" s="279" t="str">
        <f>IF(AND(お客様情報!$E$2="代ホ_オンプレ",COUNTIF(お客様情報!$R$42:$R$45,"m‐FILTER4")&gt;0),6,"")</f>
        <v/>
      </c>
      <c r="C177" s="278" t="str">
        <f>IFERROR(VLOOKUP("m‐FILTER"&amp;4,お客様情報!$R$42:$U$45,4,FALSE),"")</f>
        <v/>
      </c>
      <c r="D177" s="286" t="str">
        <f>$D$171</f>
        <v/>
      </c>
      <c r="E177" s="286" t="str">
        <f>$E$171</f>
        <v/>
      </c>
      <c r="F177" s="286" t="str">
        <f>$F$171</f>
        <v/>
      </c>
      <c r="G177" s="286" t="str">
        <f>$G$171</f>
        <v/>
      </c>
      <c r="H177" s="278" t="str">
        <f>H$171</f>
        <v/>
      </c>
      <c r="I177" s="314"/>
      <c r="J177" s="556" t="str">
        <f>J$171</f>
        <v/>
      </c>
      <c r="K177" s="556" t="str">
        <f>K$171</f>
        <v/>
      </c>
      <c r="L177" s="286" t="str">
        <f>$L$171</f>
        <v/>
      </c>
      <c r="M177" s="286" t="str">
        <f>$M$171</f>
        <v/>
      </c>
      <c r="N177" s="314"/>
      <c r="O177" s="314"/>
      <c r="P177" s="314"/>
      <c r="Q177" s="314"/>
      <c r="R177" s="314"/>
      <c r="S177" s="286" t="e">
        <f>$S$171</f>
        <v>#N/A</v>
      </c>
      <c r="T177" s="286" t="e">
        <f>$T$171</f>
        <v>#N/A</v>
      </c>
      <c r="U177" s="314"/>
      <c r="V177" s="314"/>
      <c r="W177" s="314"/>
      <c r="X177" s="314"/>
      <c r="Y177" s="314" t="str">
        <f>$Y$171</f>
        <v/>
      </c>
      <c r="Z177" s="314"/>
      <c r="AA177" s="314"/>
      <c r="AB177" s="314"/>
      <c r="AC177" s="314"/>
      <c r="AD177" s="314"/>
      <c r="AE177" s="314"/>
      <c r="AF177" s="278" t="str">
        <f>$AF$171</f>
        <v/>
      </c>
      <c r="AG177" s="286" t="str">
        <f>$AG$171</f>
        <v/>
      </c>
      <c r="AH177" s="314"/>
      <c r="AI177" s="314"/>
      <c r="AJ177" s="286" t="str">
        <f>$AJ$171</f>
        <v/>
      </c>
      <c r="AK177" s="314"/>
      <c r="AL177" s="314"/>
      <c r="AM177" s="314"/>
      <c r="AN177" s="314"/>
      <c r="AO177" s="314"/>
      <c r="AP177" s="314"/>
      <c r="AQ177" s="314"/>
      <c r="AR177" s="314"/>
      <c r="AS177" s="314"/>
      <c r="AT177" s="278" t="str">
        <f>AT$171</f>
        <v/>
      </c>
      <c r="AU177" s="278"/>
      <c r="AV177" s="378"/>
      <c r="AW177" s="378"/>
      <c r="AX177" s="378"/>
      <c r="AY177" s="378"/>
      <c r="AZ177" s="378"/>
      <c r="BA177" s="378"/>
      <c r="BB177" s="378"/>
    </row>
    <row r="178" spans="1:54">
      <c r="A178" s="341" t="s">
        <v>586</v>
      </c>
      <c r="B178" s="341" t="s">
        <v>634</v>
      </c>
      <c r="C178" s="341" t="s">
        <v>620</v>
      </c>
      <c r="D178" s="341" t="s">
        <v>621</v>
      </c>
      <c r="E178" s="341" t="s">
        <v>622</v>
      </c>
      <c r="F178" s="341" t="s">
        <v>614</v>
      </c>
      <c r="G178" s="341" t="s">
        <v>623</v>
      </c>
      <c r="H178" s="341" t="s">
        <v>624</v>
      </c>
      <c r="I178" s="341" t="s">
        <v>625</v>
      </c>
      <c r="J178" s="341" t="s">
        <v>626</v>
      </c>
      <c r="K178" s="341" t="s">
        <v>627</v>
      </c>
      <c r="L178" s="341" t="s">
        <v>628</v>
      </c>
      <c r="M178" s="341" t="s">
        <v>629</v>
      </c>
      <c r="N178" s="341" t="s">
        <v>630</v>
      </c>
      <c r="O178" s="341" t="s">
        <v>631</v>
      </c>
      <c r="P178" s="341" t="s">
        <v>632</v>
      </c>
      <c r="Q178" s="341" t="s">
        <v>633</v>
      </c>
      <c r="R178" s="341" t="s">
        <v>1116</v>
      </c>
      <c r="S178" s="341" t="s">
        <v>701</v>
      </c>
      <c r="T178" s="341" t="s">
        <v>702</v>
      </c>
      <c r="U178" s="341" t="s">
        <v>699</v>
      </c>
      <c r="V178" s="341" t="s">
        <v>700</v>
      </c>
      <c r="W178" s="341" t="s">
        <v>822</v>
      </c>
      <c r="X178" s="341" t="s">
        <v>880</v>
      </c>
      <c r="Y178" s="341" t="s">
        <v>1118</v>
      </c>
      <c r="Z178" s="341" t="s">
        <v>1124</v>
      </c>
      <c r="AA178" s="341" t="s">
        <v>1125</v>
      </c>
      <c r="AB178" s="341" t="s">
        <v>1126</v>
      </c>
      <c r="AC178" s="341" t="s">
        <v>1127</v>
      </c>
      <c r="AD178" s="341" t="s">
        <v>1128</v>
      </c>
      <c r="AE178" s="341" t="s">
        <v>737</v>
      </c>
      <c r="AF178" s="341" t="s">
        <v>741</v>
      </c>
      <c r="AG178" s="341" t="s">
        <v>745</v>
      </c>
      <c r="AH178" s="341" t="s">
        <v>746</v>
      </c>
      <c r="AI178" s="341" t="s">
        <v>748</v>
      </c>
      <c r="AJ178" s="341" t="s">
        <v>747</v>
      </c>
      <c r="AK178" s="341" t="s">
        <v>1096</v>
      </c>
      <c r="AL178" s="341" t="s">
        <v>1140</v>
      </c>
      <c r="AM178" s="341" t="s">
        <v>1141</v>
      </c>
      <c r="AN178" s="341" t="s">
        <v>1142</v>
      </c>
      <c r="AO178" s="341" t="s">
        <v>1143</v>
      </c>
      <c r="AP178" s="341" t="s">
        <v>1144</v>
      </c>
      <c r="AQ178" s="341" t="s">
        <v>1145</v>
      </c>
      <c r="AR178" s="341" t="s">
        <v>1146</v>
      </c>
      <c r="AS178" s="341" t="s">
        <v>1147</v>
      </c>
      <c r="AT178" s="341" t="s">
        <v>1176</v>
      </c>
      <c r="AU178" s="341" t="s">
        <v>1247</v>
      </c>
      <c r="AV178" s="341" t="s">
        <v>1293</v>
      </c>
      <c r="AW178" s="341" t="s">
        <v>1291</v>
      </c>
      <c r="AX178" s="341" t="s">
        <v>1294</v>
      </c>
      <c r="AY178" s="341" t="s">
        <v>1295</v>
      </c>
      <c r="AZ178" s="341" t="s">
        <v>1372</v>
      </c>
      <c r="BA178" s="341" t="s">
        <v>1373</v>
      </c>
      <c r="BB178" s="341" t="s">
        <v>1481</v>
      </c>
    </row>
    <row r="179" spans="1:54">
      <c r="A179" s="342" t="s">
        <v>612</v>
      </c>
      <c r="B179" s="279" t="str">
        <f>IF(AND(お客様情報!$E$2="代ホ_オンプレ",COUNTIF(お客様情報!$R$42:$R$45,"m-FILTER MailAdviser1")&gt;0),7,"")</f>
        <v/>
      </c>
      <c r="C179" s="278" t="str">
        <f>IFERROR(VLOOKUP("m-FILTER MailAdviser"&amp;1,お客様情報!$R$42:$U$45,4,FALSE),"")</f>
        <v/>
      </c>
      <c r="D179" s="286" t="str">
        <f>IF(代ホ_入力フォームiF・mF・MA!$AR$151&lt;&gt;"",代ホ_入力フォームiF・mF・MA!$AR$151,"")</f>
        <v/>
      </c>
      <c r="E179" s="314"/>
      <c r="F179" s="278" t="str">
        <f>IF(代ホ_入力フォームiF・mF・MA!$X$151="新規",TEXT(中間データオンプレ!$U$13,"YYYY-MM-DD"),"")</f>
        <v/>
      </c>
      <c r="G179" s="278" t="str">
        <f>LEFT(代ホ_入力フォームiF・mF・MA!$AY$151,1)</f>
        <v/>
      </c>
      <c r="H179" s="278" t="str">
        <f>IF(代ホ_入力フォームiF・mF・MA!I155="有/暗号化強固OP保有なし",代ホ_入力フォームiF・mF・MA!BP155,"")</f>
        <v/>
      </c>
      <c r="I179" s="314"/>
      <c r="J179" s="314"/>
      <c r="K179" s="314"/>
      <c r="L179" s="278" t="str">
        <f>IF(代ホ_入力フォームiF・mF・MA!$CP$155="有/FinalCode保有",IF(代ホ_入力フォームiF・mF・MA!$AE$155&lt;&gt;"",代ホ_入力フォームiF・mF・MA!$AE$155,""),"")</f>
        <v/>
      </c>
      <c r="M179" s="278" t="str">
        <f>IF(代ホ_入力フォームiF・mF・MA!$BX$151&lt;&gt;"",代ホ_入力フォームiF・mF・MA!$BX$151,"")</f>
        <v/>
      </c>
      <c r="N179" s="314"/>
      <c r="O179" s="314"/>
      <c r="P179" s="314"/>
      <c r="Q179" s="314"/>
      <c r="R179" s="314"/>
      <c r="S179" s="278" t="e">
        <f>IF(お客様情報!$N$64="","",お客様情報!$N$64)</f>
        <v>#N/A</v>
      </c>
      <c r="T179" s="278" t="e">
        <f>IF(お客様情報!$N$65="","",お客様情報!$N$65)</f>
        <v>#N/A</v>
      </c>
      <c r="U179" s="314"/>
      <c r="V179" s="314"/>
      <c r="W179" s="314"/>
      <c r="X179" s="314"/>
      <c r="Y179" s="314"/>
      <c r="Z179" s="314"/>
      <c r="AA179" s="314"/>
      <c r="AB179" s="314"/>
      <c r="AC179" s="314"/>
      <c r="AD179" s="314"/>
      <c r="AE179" s="314"/>
      <c r="AF179" s="314"/>
      <c r="AG179" s="314"/>
      <c r="AH179" s="278" t="str">
        <f>IF(LEFT(代ホ_入力フォームiF・mF・MA!$CP155,1)="有",代ホ_入力フォームiF・mF・MA!$DI$155,"")</f>
        <v/>
      </c>
      <c r="AI179" s="314"/>
      <c r="AJ179" s="314"/>
      <c r="AK179" s="314"/>
      <c r="AL179" s="314"/>
      <c r="AM179" s="314"/>
      <c r="AN179" s="314"/>
      <c r="AO179" s="314"/>
      <c r="AP179" s="314"/>
      <c r="AQ179" s="314"/>
      <c r="AR179" s="314"/>
      <c r="AS179" s="314"/>
      <c r="AT179" s="278" t="str">
        <f>IF(代ホ_入力フォームiF・mF・MA!I155="有/暗号化強固OP保有あり",代ホ_入力フォームiF・mF・MA!AE155,"")</f>
        <v/>
      </c>
      <c r="AU179" s="278"/>
      <c r="AV179" s="378"/>
      <c r="AW179" s="378"/>
      <c r="AX179" s="378"/>
      <c r="AY179" s="378"/>
      <c r="AZ179" s="378"/>
      <c r="BA179" s="378"/>
      <c r="BB179" s="378"/>
    </row>
    <row r="180" spans="1:54">
      <c r="A180" s="341" t="s">
        <v>586</v>
      </c>
      <c r="B180" s="341" t="s">
        <v>634</v>
      </c>
      <c r="C180" s="341" t="s">
        <v>620</v>
      </c>
      <c r="D180" s="341" t="s">
        <v>621</v>
      </c>
      <c r="E180" s="341" t="s">
        <v>622</v>
      </c>
      <c r="F180" s="341" t="s">
        <v>614</v>
      </c>
      <c r="G180" s="341" t="s">
        <v>623</v>
      </c>
      <c r="H180" s="341" t="s">
        <v>624</v>
      </c>
      <c r="I180" s="341" t="s">
        <v>625</v>
      </c>
      <c r="J180" s="341" t="s">
        <v>626</v>
      </c>
      <c r="K180" s="341" t="s">
        <v>627</v>
      </c>
      <c r="L180" s="341" t="s">
        <v>628</v>
      </c>
      <c r="M180" s="341" t="s">
        <v>629</v>
      </c>
      <c r="N180" s="341" t="s">
        <v>630</v>
      </c>
      <c r="O180" s="341" t="s">
        <v>631</v>
      </c>
      <c r="P180" s="341" t="s">
        <v>632</v>
      </c>
      <c r="Q180" s="341" t="s">
        <v>633</v>
      </c>
      <c r="R180" s="341" t="s">
        <v>1116</v>
      </c>
      <c r="S180" s="341" t="s">
        <v>701</v>
      </c>
      <c r="T180" s="341" t="s">
        <v>702</v>
      </c>
      <c r="U180" s="341" t="s">
        <v>699</v>
      </c>
      <c r="V180" s="341" t="s">
        <v>700</v>
      </c>
      <c r="W180" s="341" t="s">
        <v>822</v>
      </c>
      <c r="X180" s="341" t="s">
        <v>880</v>
      </c>
      <c r="Y180" s="341" t="s">
        <v>1118</v>
      </c>
      <c r="Z180" s="341" t="s">
        <v>1124</v>
      </c>
      <c r="AA180" s="341" t="s">
        <v>1125</v>
      </c>
      <c r="AB180" s="341" t="s">
        <v>1126</v>
      </c>
      <c r="AC180" s="341" t="s">
        <v>1127</v>
      </c>
      <c r="AD180" s="341" t="s">
        <v>1128</v>
      </c>
      <c r="AE180" s="341" t="s">
        <v>737</v>
      </c>
      <c r="AF180" s="341" t="s">
        <v>741</v>
      </c>
      <c r="AG180" s="341" t="s">
        <v>745</v>
      </c>
      <c r="AH180" s="341" t="s">
        <v>746</v>
      </c>
      <c r="AI180" s="341" t="s">
        <v>748</v>
      </c>
      <c r="AJ180" s="341" t="s">
        <v>747</v>
      </c>
      <c r="AK180" s="341" t="s">
        <v>1096</v>
      </c>
      <c r="AL180" s="341" t="s">
        <v>1140</v>
      </c>
      <c r="AM180" s="341" t="s">
        <v>1141</v>
      </c>
      <c r="AN180" s="341" t="s">
        <v>1142</v>
      </c>
      <c r="AO180" s="341" t="s">
        <v>1143</v>
      </c>
      <c r="AP180" s="341" t="s">
        <v>1144</v>
      </c>
      <c r="AQ180" s="341" t="s">
        <v>1145</v>
      </c>
      <c r="AR180" s="341" t="s">
        <v>1146</v>
      </c>
      <c r="AS180" s="341" t="s">
        <v>1147</v>
      </c>
      <c r="AT180" s="341" t="s">
        <v>1176</v>
      </c>
      <c r="AU180" s="341" t="s">
        <v>1247</v>
      </c>
      <c r="AV180" s="341" t="s">
        <v>1293</v>
      </c>
      <c r="AW180" s="341" t="s">
        <v>1291</v>
      </c>
      <c r="AX180" s="341" t="s">
        <v>1294</v>
      </c>
      <c r="AY180" s="341" t="s">
        <v>1295</v>
      </c>
      <c r="AZ180" s="341" t="s">
        <v>1372</v>
      </c>
      <c r="BA180" s="341" t="s">
        <v>1373</v>
      </c>
      <c r="BB180" s="341" t="s">
        <v>1481</v>
      </c>
    </row>
    <row r="181" spans="1:54">
      <c r="A181" s="342" t="s">
        <v>612</v>
      </c>
      <c r="B181" s="279" t="str">
        <f>IF(AND(お客様情報!$E$2="代ホ_オンプレ",COUNTIF(お客様情報!$R$42:$R$45,"m-FILTER MailAdviser2")&gt;0),7,"")</f>
        <v/>
      </c>
      <c r="C181" s="278" t="str">
        <f>IFERROR(VLOOKUP("m-FILTER MailAdviser"&amp;2,お客様情報!$R$42:$U$45,4,FALSE),"")</f>
        <v/>
      </c>
      <c r="D181" s="286" t="str">
        <f>$D$179</f>
        <v/>
      </c>
      <c r="E181" s="314"/>
      <c r="F181" s="286" t="str">
        <f>$F$179</f>
        <v/>
      </c>
      <c r="G181" s="286" t="str">
        <f>$G$179</f>
        <v/>
      </c>
      <c r="H181" s="278" t="str">
        <f>H$179</f>
        <v/>
      </c>
      <c r="I181" s="314"/>
      <c r="J181" s="314"/>
      <c r="K181" s="314"/>
      <c r="L181" s="286" t="str">
        <f>$L$179</f>
        <v/>
      </c>
      <c r="M181" s="286" t="str">
        <f>$M$179</f>
        <v/>
      </c>
      <c r="N181" s="314"/>
      <c r="O181" s="314"/>
      <c r="P181" s="314"/>
      <c r="Q181" s="314"/>
      <c r="R181" s="314"/>
      <c r="S181" s="286" t="e">
        <f>$S$179</f>
        <v>#N/A</v>
      </c>
      <c r="T181" s="286" t="e">
        <f>$T$179</f>
        <v>#N/A</v>
      </c>
      <c r="U181" s="314"/>
      <c r="V181" s="314"/>
      <c r="W181" s="314"/>
      <c r="X181" s="314"/>
      <c r="Y181" s="314"/>
      <c r="Z181" s="314"/>
      <c r="AA181" s="314"/>
      <c r="AB181" s="314"/>
      <c r="AC181" s="314"/>
      <c r="AD181" s="314"/>
      <c r="AE181" s="314"/>
      <c r="AF181" s="314"/>
      <c r="AG181" s="314"/>
      <c r="AH181" s="286" t="str">
        <f>AH$179</f>
        <v/>
      </c>
      <c r="AI181" s="314"/>
      <c r="AJ181" s="314"/>
      <c r="AK181" s="314"/>
      <c r="AL181" s="314"/>
      <c r="AM181" s="314"/>
      <c r="AN181" s="314"/>
      <c r="AO181" s="314"/>
      <c r="AP181" s="314"/>
      <c r="AQ181" s="314"/>
      <c r="AR181" s="314"/>
      <c r="AS181" s="314"/>
      <c r="AT181" s="278" t="str">
        <f>AT$179</f>
        <v/>
      </c>
      <c r="AU181" s="278"/>
      <c r="AV181" s="378"/>
      <c r="AW181" s="378"/>
      <c r="AX181" s="378"/>
      <c r="AY181" s="378"/>
      <c r="AZ181" s="378"/>
      <c r="BA181" s="378"/>
      <c r="BB181" s="378"/>
    </row>
    <row r="182" spans="1:54">
      <c r="A182" s="341" t="s">
        <v>586</v>
      </c>
      <c r="B182" s="341" t="s">
        <v>634</v>
      </c>
      <c r="C182" s="341" t="s">
        <v>620</v>
      </c>
      <c r="D182" s="341" t="s">
        <v>621</v>
      </c>
      <c r="E182" s="341" t="s">
        <v>622</v>
      </c>
      <c r="F182" s="341" t="s">
        <v>614</v>
      </c>
      <c r="G182" s="341" t="s">
        <v>623</v>
      </c>
      <c r="H182" s="341" t="s">
        <v>624</v>
      </c>
      <c r="I182" s="341" t="s">
        <v>625</v>
      </c>
      <c r="J182" s="341" t="s">
        <v>626</v>
      </c>
      <c r="K182" s="341" t="s">
        <v>627</v>
      </c>
      <c r="L182" s="341" t="s">
        <v>628</v>
      </c>
      <c r="M182" s="341" t="s">
        <v>629</v>
      </c>
      <c r="N182" s="341" t="s">
        <v>630</v>
      </c>
      <c r="O182" s="341" t="s">
        <v>631</v>
      </c>
      <c r="P182" s="341" t="s">
        <v>632</v>
      </c>
      <c r="Q182" s="341" t="s">
        <v>633</v>
      </c>
      <c r="R182" s="341" t="s">
        <v>1116</v>
      </c>
      <c r="S182" s="341" t="s">
        <v>701</v>
      </c>
      <c r="T182" s="341" t="s">
        <v>702</v>
      </c>
      <c r="U182" s="341" t="s">
        <v>699</v>
      </c>
      <c r="V182" s="341" t="s">
        <v>700</v>
      </c>
      <c r="W182" s="341" t="s">
        <v>822</v>
      </c>
      <c r="X182" s="341" t="s">
        <v>880</v>
      </c>
      <c r="Y182" s="341" t="s">
        <v>1118</v>
      </c>
      <c r="Z182" s="341" t="s">
        <v>1124</v>
      </c>
      <c r="AA182" s="341" t="s">
        <v>1125</v>
      </c>
      <c r="AB182" s="341" t="s">
        <v>1126</v>
      </c>
      <c r="AC182" s="341" t="s">
        <v>1127</v>
      </c>
      <c r="AD182" s="341" t="s">
        <v>1128</v>
      </c>
      <c r="AE182" s="341" t="s">
        <v>737</v>
      </c>
      <c r="AF182" s="341" t="s">
        <v>741</v>
      </c>
      <c r="AG182" s="341" t="s">
        <v>745</v>
      </c>
      <c r="AH182" s="341" t="s">
        <v>746</v>
      </c>
      <c r="AI182" s="341" t="s">
        <v>748</v>
      </c>
      <c r="AJ182" s="341" t="s">
        <v>747</v>
      </c>
      <c r="AK182" s="341" t="s">
        <v>1096</v>
      </c>
      <c r="AL182" s="341" t="s">
        <v>1140</v>
      </c>
      <c r="AM182" s="341" t="s">
        <v>1141</v>
      </c>
      <c r="AN182" s="341" t="s">
        <v>1142</v>
      </c>
      <c r="AO182" s="341" t="s">
        <v>1143</v>
      </c>
      <c r="AP182" s="341" t="s">
        <v>1144</v>
      </c>
      <c r="AQ182" s="341" t="s">
        <v>1145</v>
      </c>
      <c r="AR182" s="341" t="s">
        <v>1146</v>
      </c>
      <c r="AS182" s="341" t="s">
        <v>1147</v>
      </c>
      <c r="AT182" s="341" t="s">
        <v>1176</v>
      </c>
      <c r="AU182" s="341" t="s">
        <v>1247</v>
      </c>
      <c r="AV182" s="341" t="s">
        <v>1293</v>
      </c>
      <c r="AW182" s="341" t="s">
        <v>1291</v>
      </c>
      <c r="AX182" s="341" t="s">
        <v>1294</v>
      </c>
      <c r="AY182" s="341" t="s">
        <v>1295</v>
      </c>
      <c r="AZ182" s="341" t="s">
        <v>1372</v>
      </c>
      <c r="BA182" s="341" t="s">
        <v>1373</v>
      </c>
      <c r="BB182" s="341" t="s">
        <v>1481</v>
      </c>
    </row>
    <row r="183" spans="1:54">
      <c r="A183" s="342" t="s">
        <v>612</v>
      </c>
      <c r="B183" s="279" t="str">
        <f>IF(AND(お客様情報!$E$2="代ホ_オンプレ",COUNTIF(お客様情報!$R$42:$R$45,"m-FILTER MailAdviser3")&gt;0),7,"")</f>
        <v/>
      </c>
      <c r="C183" s="278" t="str">
        <f>IFERROR(VLOOKUP("m-FILTER MailAdviser"&amp;3,お客様情報!$R$42:$U$45,4,FALSE),"")</f>
        <v/>
      </c>
      <c r="D183" s="286" t="str">
        <f>$D$179</f>
        <v/>
      </c>
      <c r="E183" s="314"/>
      <c r="F183" s="286" t="str">
        <f>$F$179</f>
        <v/>
      </c>
      <c r="G183" s="286" t="str">
        <f>$G$179</f>
        <v/>
      </c>
      <c r="H183" s="278" t="str">
        <f>H$179</f>
        <v/>
      </c>
      <c r="I183" s="314"/>
      <c r="J183" s="314"/>
      <c r="K183" s="314"/>
      <c r="L183" s="286" t="str">
        <f>$L$179</f>
        <v/>
      </c>
      <c r="M183" s="286" t="str">
        <f>$M$179</f>
        <v/>
      </c>
      <c r="N183" s="314"/>
      <c r="O183" s="314"/>
      <c r="P183" s="314"/>
      <c r="Q183" s="314"/>
      <c r="R183" s="314"/>
      <c r="S183" s="286" t="e">
        <f>$S$179</f>
        <v>#N/A</v>
      </c>
      <c r="T183" s="286" t="e">
        <f>$T$179</f>
        <v>#N/A</v>
      </c>
      <c r="U183" s="314"/>
      <c r="V183" s="314"/>
      <c r="W183" s="314"/>
      <c r="X183" s="314"/>
      <c r="Y183" s="314"/>
      <c r="Z183" s="314"/>
      <c r="AA183" s="314"/>
      <c r="AB183" s="314"/>
      <c r="AC183" s="314"/>
      <c r="AD183" s="314"/>
      <c r="AE183" s="314"/>
      <c r="AF183" s="314"/>
      <c r="AG183" s="314"/>
      <c r="AH183" s="286" t="str">
        <f>AH$179</f>
        <v/>
      </c>
      <c r="AI183" s="314"/>
      <c r="AJ183" s="314"/>
      <c r="AK183" s="314"/>
      <c r="AL183" s="314"/>
      <c r="AM183" s="314"/>
      <c r="AN183" s="314"/>
      <c r="AO183" s="314"/>
      <c r="AP183" s="314"/>
      <c r="AQ183" s="314"/>
      <c r="AR183" s="314"/>
      <c r="AS183" s="314"/>
      <c r="AT183" s="278" t="str">
        <f>AT$179</f>
        <v/>
      </c>
      <c r="AU183" s="278"/>
      <c r="AV183" s="378"/>
      <c r="AW183" s="378"/>
      <c r="AX183" s="378"/>
      <c r="AY183" s="378"/>
      <c r="AZ183" s="378"/>
      <c r="BA183" s="378"/>
      <c r="BB183" s="378"/>
    </row>
    <row r="184" spans="1:54">
      <c r="A184" s="341" t="s">
        <v>586</v>
      </c>
      <c r="B184" s="341" t="s">
        <v>634</v>
      </c>
      <c r="C184" s="341" t="s">
        <v>620</v>
      </c>
      <c r="D184" s="341" t="s">
        <v>621</v>
      </c>
      <c r="E184" s="341" t="s">
        <v>622</v>
      </c>
      <c r="F184" s="341" t="s">
        <v>614</v>
      </c>
      <c r="G184" s="341" t="s">
        <v>623</v>
      </c>
      <c r="H184" s="341" t="s">
        <v>624</v>
      </c>
      <c r="I184" s="341" t="s">
        <v>625</v>
      </c>
      <c r="J184" s="341" t="s">
        <v>626</v>
      </c>
      <c r="K184" s="341" t="s">
        <v>627</v>
      </c>
      <c r="L184" s="341" t="s">
        <v>628</v>
      </c>
      <c r="M184" s="341" t="s">
        <v>629</v>
      </c>
      <c r="N184" s="341" t="s">
        <v>630</v>
      </c>
      <c r="O184" s="341" t="s">
        <v>631</v>
      </c>
      <c r="P184" s="341" t="s">
        <v>632</v>
      </c>
      <c r="Q184" s="341" t="s">
        <v>633</v>
      </c>
      <c r="R184" s="341" t="s">
        <v>1116</v>
      </c>
      <c r="S184" s="341" t="s">
        <v>701</v>
      </c>
      <c r="T184" s="341" t="s">
        <v>702</v>
      </c>
      <c r="U184" s="341" t="s">
        <v>699</v>
      </c>
      <c r="V184" s="341" t="s">
        <v>700</v>
      </c>
      <c r="W184" s="341" t="s">
        <v>822</v>
      </c>
      <c r="X184" s="341" t="s">
        <v>880</v>
      </c>
      <c r="Y184" s="341" t="s">
        <v>1118</v>
      </c>
      <c r="Z184" s="341" t="s">
        <v>1124</v>
      </c>
      <c r="AA184" s="341" t="s">
        <v>1125</v>
      </c>
      <c r="AB184" s="341" t="s">
        <v>1126</v>
      </c>
      <c r="AC184" s="341" t="s">
        <v>1127</v>
      </c>
      <c r="AD184" s="341" t="s">
        <v>1128</v>
      </c>
      <c r="AE184" s="341" t="s">
        <v>737</v>
      </c>
      <c r="AF184" s="341" t="s">
        <v>741</v>
      </c>
      <c r="AG184" s="341" t="s">
        <v>745</v>
      </c>
      <c r="AH184" s="341" t="s">
        <v>746</v>
      </c>
      <c r="AI184" s="341" t="s">
        <v>748</v>
      </c>
      <c r="AJ184" s="341" t="s">
        <v>747</v>
      </c>
      <c r="AK184" s="341" t="s">
        <v>1096</v>
      </c>
      <c r="AL184" s="341" t="s">
        <v>1140</v>
      </c>
      <c r="AM184" s="341" t="s">
        <v>1141</v>
      </c>
      <c r="AN184" s="341" t="s">
        <v>1142</v>
      </c>
      <c r="AO184" s="341" t="s">
        <v>1143</v>
      </c>
      <c r="AP184" s="341" t="s">
        <v>1144</v>
      </c>
      <c r="AQ184" s="341" t="s">
        <v>1145</v>
      </c>
      <c r="AR184" s="341" t="s">
        <v>1146</v>
      </c>
      <c r="AS184" s="341" t="s">
        <v>1147</v>
      </c>
      <c r="AT184" s="341" t="s">
        <v>1176</v>
      </c>
      <c r="AU184" s="341" t="s">
        <v>1247</v>
      </c>
      <c r="AV184" s="341" t="s">
        <v>1293</v>
      </c>
      <c r="AW184" s="341" t="s">
        <v>1291</v>
      </c>
      <c r="AX184" s="341" t="s">
        <v>1294</v>
      </c>
      <c r="AY184" s="341" t="s">
        <v>1295</v>
      </c>
      <c r="AZ184" s="341" t="s">
        <v>1372</v>
      </c>
      <c r="BA184" s="341" t="s">
        <v>1373</v>
      </c>
      <c r="BB184" s="341" t="s">
        <v>1481</v>
      </c>
    </row>
    <row r="185" spans="1:54">
      <c r="A185" s="342" t="s">
        <v>612</v>
      </c>
      <c r="B185" s="279" t="str">
        <f>IF(AND(お客様情報!$E$2="代ホ_オンプレ",COUNTIF(お客様情報!$R$42:$R$45,"m-FILTER MailAdviser4")&gt;0),7,"")</f>
        <v/>
      </c>
      <c r="C185" s="278" t="str">
        <f>IFERROR(VLOOKUP("m-FILTER MailAdviser"&amp;4,お客様情報!$R$42:$U$45,4,FALSE),"")</f>
        <v/>
      </c>
      <c r="D185" s="286" t="str">
        <f>$D$179</f>
        <v/>
      </c>
      <c r="E185" s="314"/>
      <c r="F185" s="286" t="str">
        <f>$F$179</f>
        <v/>
      </c>
      <c r="G185" s="286" t="str">
        <f>$G$179</f>
        <v/>
      </c>
      <c r="H185" s="278" t="str">
        <f>H$179</f>
        <v/>
      </c>
      <c r="I185" s="314"/>
      <c r="J185" s="314"/>
      <c r="K185" s="314"/>
      <c r="L185" s="286" t="str">
        <f>$L$179</f>
        <v/>
      </c>
      <c r="M185" s="286" t="str">
        <f>$M$179</f>
        <v/>
      </c>
      <c r="N185" s="314"/>
      <c r="O185" s="314"/>
      <c r="P185" s="314"/>
      <c r="Q185" s="314"/>
      <c r="R185" s="314"/>
      <c r="S185" s="286" t="e">
        <f>$S$179</f>
        <v>#N/A</v>
      </c>
      <c r="T185" s="286" t="e">
        <f>$T$179</f>
        <v>#N/A</v>
      </c>
      <c r="U185" s="314"/>
      <c r="V185" s="314"/>
      <c r="W185" s="314"/>
      <c r="X185" s="314"/>
      <c r="Y185" s="314"/>
      <c r="Z185" s="314"/>
      <c r="AA185" s="314"/>
      <c r="AB185" s="314"/>
      <c r="AC185" s="314"/>
      <c r="AD185" s="314"/>
      <c r="AE185" s="314"/>
      <c r="AF185" s="314"/>
      <c r="AG185" s="314"/>
      <c r="AH185" s="286" t="str">
        <f>AH$179</f>
        <v/>
      </c>
      <c r="AI185" s="314"/>
      <c r="AJ185" s="314"/>
      <c r="AK185" s="314"/>
      <c r="AL185" s="314"/>
      <c r="AM185" s="314"/>
      <c r="AN185" s="314"/>
      <c r="AO185" s="314"/>
      <c r="AP185" s="314"/>
      <c r="AQ185" s="314"/>
      <c r="AR185" s="314"/>
      <c r="AS185" s="314"/>
      <c r="AT185" s="278" t="str">
        <f>AT$179</f>
        <v/>
      </c>
      <c r="AU185" s="278"/>
      <c r="AV185" s="378"/>
      <c r="AW185" s="378"/>
      <c r="AX185" s="378"/>
      <c r="AY185" s="378"/>
      <c r="AZ185" s="378"/>
      <c r="BA185" s="378"/>
      <c r="BB185" s="378"/>
    </row>
    <row r="186" spans="1:54">
      <c r="A186" s="382" t="s">
        <v>586</v>
      </c>
      <c r="B186" s="382" t="s">
        <v>634</v>
      </c>
      <c r="C186" s="382" t="s">
        <v>620</v>
      </c>
      <c r="D186" s="382" t="s">
        <v>621</v>
      </c>
      <c r="E186" s="382" t="s">
        <v>622</v>
      </c>
      <c r="F186" s="382" t="s">
        <v>614</v>
      </c>
      <c r="G186" s="382" t="s">
        <v>623</v>
      </c>
      <c r="H186" s="382" t="s">
        <v>624</v>
      </c>
      <c r="I186" s="382" t="s">
        <v>625</v>
      </c>
      <c r="J186" s="382" t="s">
        <v>626</v>
      </c>
      <c r="K186" s="382" t="s">
        <v>627</v>
      </c>
      <c r="L186" s="382" t="s">
        <v>628</v>
      </c>
      <c r="M186" s="382" t="s">
        <v>629</v>
      </c>
      <c r="N186" s="382" t="s">
        <v>630</v>
      </c>
      <c r="O186" s="382" t="s">
        <v>631</v>
      </c>
      <c r="P186" s="382" t="s">
        <v>632</v>
      </c>
      <c r="Q186" s="382" t="s">
        <v>633</v>
      </c>
      <c r="R186" s="382" t="s">
        <v>1116</v>
      </c>
      <c r="S186" s="382" t="s">
        <v>701</v>
      </c>
      <c r="T186" s="382" t="s">
        <v>702</v>
      </c>
      <c r="U186" s="382" t="s">
        <v>699</v>
      </c>
      <c r="V186" s="382" t="s">
        <v>700</v>
      </c>
      <c r="W186" s="382" t="s">
        <v>822</v>
      </c>
      <c r="X186" s="382" t="s">
        <v>880</v>
      </c>
      <c r="Y186" s="382" t="s">
        <v>1118</v>
      </c>
      <c r="Z186" s="382" t="s">
        <v>1124</v>
      </c>
      <c r="AA186" s="382" t="s">
        <v>1125</v>
      </c>
      <c r="AB186" s="382" t="s">
        <v>1126</v>
      </c>
      <c r="AC186" s="382" t="s">
        <v>1127</v>
      </c>
      <c r="AD186" s="382" t="s">
        <v>1128</v>
      </c>
      <c r="AE186" s="382" t="s">
        <v>737</v>
      </c>
      <c r="AF186" s="382" t="s">
        <v>741</v>
      </c>
      <c r="AG186" s="382" t="s">
        <v>745</v>
      </c>
      <c r="AH186" s="382" t="s">
        <v>746</v>
      </c>
      <c r="AI186" s="382" t="s">
        <v>748</v>
      </c>
      <c r="AJ186" s="382" t="s">
        <v>747</v>
      </c>
      <c r="AK186" s="382" t="s">
        <v>1096</v>
      </c>
      <c r="AL186" s="382" t="s">
        <v>1140</v>
      </c>
      <c r="AM186" s="382" t="s">
        <v>1141</v>
      </c>
      <c r="AN186" s="382" t="s">
        <v>1142</v>
      </c>
      <c r="AO186" s="382" t="s">
        <v>1143</v>
      </c>
      <c r="AP186" s="382" t="s">
        <v>1144</v>
      </c>
      <c r="AQ186" s="382" t="s">
        <v>1145</v>
      </c>
      <c r="AR186" s="382" t="s">
        <v>1146</v>
      </c>
      <c r="AS186" s="382" t="s">
        <v>1147</v>
      </c>
      <c r="AT186" s="382" t="s">
        <v>1176</v>
      </c>
      <c r="AU186" s="382" t="s">
        <v>1247</v>
      </c>
      <c r="AV186" s="382" t="s">
        <v>1293</v>
      </c>
      <c r="AW186" s="382" t="s">
        <v>1291</v>
      </c>
      <c r="AX186" s="382" t="s">
        <v>1294</v>
      </c>
      <c r="AY186" s="382" t="s">
        <v>1295</v>
      </c>
      <c r="AZ186" s="382" t="s">
        <v>1372</v>
      </c>
      <c r="BA186" s="382" t="s">
        <v>1373</v>
      </c>
      <c r="BB186" s="382" t="s">
        <v>1481</v>
      </c>
    </row>
    <row r="187" spans="1:54">
      <c r="A187" s="382" t="s">
        <v>612</v>
      </c>
      <c r="B187" s="279" t="str">
        <f>IF(AND(お客様情報!$E$2="代ホ_DSPA",代ホ_入力フォームDSPA!$D$107&lt;&gt;"",COUNTIF(お客様情報!$R$49:$R$53,"D-SPA1")&gt;0),4,"")</f>
        <v/>
      </c>
      <c r="C187" s="567" t="str">
        <f>IFERROR(VLOOKUP("D-SPA"&amp;1,お客様情報!$R$49:$U$53,4,FALSE),"")</f>
        <v/>
      </c>
      <c r="D187" s="278">
        <v>1</v>
      </c>
      <c r="E187" s="278">
        <v>1</v>
      </c>
      <c r="F187" s="278" t="str">
        <f>IF(代ホ_入力フォームDSPA!$AG$107="初年度",TEXT(中間データDSPA!$G$9,"YYYY-MM-DD"),"")</f>
        <v/>
      </c>
      <c r="G187" s="278" t="str">
        <f>LEFT(代ホ_入力フォームDSPA!$BJ$107,1)</f>
        <v/>
      </c>
      <c r="H187" s="314"/>
      <c r="I187" s="314"/>
      <c r="J187" s="556" t="str">
        <f>IF(代ホ_入力フォームDSPA!BA164="はい/お客様アドレス",代ホ_入力フォームDSPA!AG40,"")</f>
        <v/>
      </c>
      <c r="K187" s="556" t="str">
        <f>IF(代ホ_入力フォームDSPA!BA164="はい/通知先記入",代ホ_入力フォームDSPA!BT164,"")</f>
        <v/>
      </c>
      <c r="L187" s="314"/>
      <c r="M187" s="278" t="str">
        <f>IF(代ホ_入力フォームDSPA!$AL$107&lt;&gt;"",代ホ_入力フォームDSPA!$AL$107,"")</f>
        <v/>
      </c>
      <c r="N187" s="314"/>
      <c r="O187" s="314"/>
      <c r="P187" s="314"/>
      <c r="Q187" s="278" t="str">
        <f>IF(代ホ_入力フォームDSPA!$R$126="A表に同じ",代ホ_入力フォームDSPA!$M$33&amp;代ホ_入力フォームDSPA!$AD$33&amp;代ホ_入力フォームDSPA!$AU$33&amp;代ホ_入力フォームDSPA!$M$35&amp;代ホ_入力フォームDSPA!$AM$35&amp;"（"&amp;お客様情報!M8&amp;"内）",IF(代ホ_入力フォームDSPA!$R$126="A表と異なる",代ホ_入力フォームDSPA!$BI$126&amp;代ホ_入力フォームDSPA!$BN$126&amp;代ホ_入力フォームDSPA!$BS$126&amp;代ホ_入力フォームDSPA!$CA$126&amp;代ホ_入力フォームDSPA!$CM$126&amp;"（"&amp;代ホ_入力フォームDSPA!Z126&amp;"内）",""))</f>
        <v/>
      </c>
      <c r="R187" s="278" t="str">
        <f>IF(ISBLANK(代ホ_入力フォームDSPA!L107),"",IF(代ホ_入力フォームDSPA!W107="コールドスタンバイ",代ホ_入力フォームDSPA!L107&amp;" (コールドスタンバイ)",代ホ_入力フォームDSPA!L107))</f>
        <v/>
      </c>
      <c r="S187" s="278" t="e">
        <f>IF(お客様情報!$N$64="","",お客様情報!$N$64)</f>
        <v>#N/A</v>
      </c>
      <c r="T187" s="278" t="e">
        <f>IF(お客様情報!$N$65="","",お客様情報!$N$65)</f>
        <v>#N/A</v>
      </c>
      <c r="U187" s="278"/>
      <c r="V187" s="278" t="str">
        <f>IF(OR(代ホ_入力フォームDSPA!AE88="",代ホ_入力フォームDSPA!AE88="なし"),"",IF(COUNTIF(代ホ_入力フォームDSPA!AE88,"*倍量*")&gt;0,"HDD拡充倍量オプション","HDD拡充オプション"))</f>
        <v/>
      </c>
      <c r="W187" s="278" t="str">
        <f>IF(OR(代ホ_入力フォームDSPA!BM88="",代ホ_入力フォームDSPA!BM88="なし"),"","追加ﾈｯﾄﾜｰｸ・ｲﾝﾀｰﾌｪｰｽ・ｵﾌﾟｼｮﾝ")</f>
        <v/>
      </c>
      <c r="X187" s="278" t="str">
        <f>IF(OR(代ホ_入力フォームDSPA!CD88="",代ホ_入力フォームDSPA!CD88="なし"),"","電源冗長化オプション")</f>
        <v/>
      </c>
      <c r="Y187" s="278" t="str">
        <f>IF(OR(代ホ_入力フォームDSPA!CU88="",代ホ_入力フォームDSPA!CU88="なし"),"",VLOOKUP(代ホ_入力フォームDSPA!CU88,中間データDSPA!$B$93:$C$97,2,FALSE))</f>
        <v/>
      </c>
      <c r="Z187" s="314"/>
      <c r="AA187" s="314"/>
      <c r="AB187" s="314"/>
      <c r="AC187" s="314"/>
      <c r="AD187" s="314"/>
      <c r="AE187" s="314"/>
      <c r="AF187" s="314"/>
      <c r="AG187" s="314"/>
      <c r="AH187" s="314"/>
      <c r="AI187" s="314"/>
      <c r="AJ187" s="314"/>
      <c r="AK187" s="314"/>
      <c r="AL187" s="314"/>
      <c r="AM187" s="314"/>
      <c r="AN187" s="314"/>
      <c r="AO187" s="314"/>
      <c r="AP187" s="314"/>
      <c r="AQ187" s="314"/>
      <c r="AR187" s="314"/>
      <c r="AS187" s="314"/>
      <c r="AT187" s="314"/>
      <c r="AU187" s="314"/>
      <c r="AV187" s="314"/>
      <c r="AW187" s="314"/>
      <c r="AX187" s="314"/>
      <c r="AY187" s="314"/>
      <c r="AZ187" s="314"/>
      <c r="BA187" s="314"/>
      <c r="BB187" s="314"/>
    </row>
    <row r="188" spans="1:54">
      <c r="A188" s="382" t="s">
        <v>586</v>
      </c>
      <c r="B188" s="382" t="s">
        <v>634</v>
      </c>
      <c r="C188" s="382" t="s">
        <v>620</v>
      </c>
      <c r="D188" s="382" t="s">
        <v>621</v>
      </c>
      <c r="E188" s="382" t="s">
        <v>622</v>
      </c>
      <c r="F188" s="382" t="s">
        <v>614</v>
      </c>
      <c r="G188" s="382" t="s">
        <v>623</v>
      </c>
      <c r="H188" s="382" t="s">
        <v>624</v>
      </c>
      <c r="I188" s="382" t="s">
        <v>625</v>
      </c>
      <c r="J188" s="382" t="s">
        <v>1205</v>
      </c>
      <c r="K188" s="382" t="s">
        <v>627</v>
      </c>
      <c r="L188" s="382" t="s">
        <v>628</v>
      </c>
      <c r="M188" s="382" t="s">
        <v>629</v>
      </c>
      <c r="N188" s="382" t="s">
        <v>630</v>
      </c>
      <c r="O188" s="382" t="s">
        <v>631</v>
      </c>
      <c r="P188" s="382" t="s">
        <v>632</v>
      </c>
      <c r="Q188" s="382" t="s">
        <v>633</v>
      </c>
      <c r="R188" s="382" t="s">
        <v>1116</v>
      </c>
      <c r="S188" s="382" t="s">
        <v>701</v>
      </c>
      <c r="T188" s="382" t="s">
        <v>702</v>
      </c>
      <c r="U188" s="382" t="s">
        <v>699</v>
      </c>
      <c r="V188" s="382" t="s">
        <v>700</v>
      </c>
      <c r="W188" s="382" t="s">
        <v>822</v>
      </c>
      <c r="X188" s="382" t="s">
        <v>880</v>
      </c>
      <c r="Y188" s="382" t="s">
        <v>1118</v>
      </c>
      <c r="Z188" s="382" t="s">
        <v>1124</v>
      </c>
      <c r="AA188" s="382" t="s">
        <v>1125</v>
      </c>
      <c r="AB188" s="382" t="s">
        <v>1126</v>
      </c>
      <c r="AC188" s="382" t="s">
        <v>1127</v>
      </c>
      <c r="AD188" s="382" t="s">
        <v>1128</v>
      </c>
      <c r="AE188" s="382" t="s">
        <v>737</v>
      </c>
      <c r="AF188" s="382" t="s">
        <v>741</v>
      </c>
      <c r="AG188" s="382" t="s">
        <v>745</v>
      </c>
      <c r="AH188" s="382" t="s">
        <v>746</v>
      </c>
      <c r="AI188" s="382" t="s">
        <v>748</v>
      </c>
      <c r="AJ188" s="382" t="s">
        <v>747</v>
      </c>
      <c r="AK188" s="382" t="s">
        <v>1096</v>
      </c>
      <c r="AL188" s="382" t="s">
        <v>1140</v>
      </c>
      <c r="AM188" s="382" t="s">
        <v>1141</v>
      </c>
      <c r="AN188" s="382" t="s">
        <v>1142</v>
      </c>
      <c r="AO188" s="382" t="s">
        <v>1143</v>
      </c>
      <c r="AP188" s="382" t="s">
        <v>1144</v>
      </c>
      <c r="AQ188" s="382" t="s">
        <v>1145</v>
      </c>
      <c r="AR188" s="382" t="s">
        <v>1146</v>
      </c>
      <c r="AS188" s="382" t="s">
        <v>1147</v>
      </c>
      <c r="AT188" s="382" t="s">
        <v>1176</v>
      </c>
      <c r="AU188" s="382" t="s">
        <v>1247</v>
      </c>
      <c r="AV188" s="382" t="s">
        <v>1293</v>
      </c>
      <c r="AW188" s="382" t="s">
        <v>1291</v>
      </c>
      <c r="AX188" s="382" t="s">
        <v>1294</v>
      </c>
      <c r="AY188" s="382" t="s">
        <v>1295</v>
      </c>
      <c r="AZ188" s="382" t="s">
        <v>1372</v>
      </c>
      <c r="BA188" s="382" t="s">
        <v>1373</v>
      </c>
      <c r="BB188" s="382" t="s">
        <v>1481</v>
      </c>
    </row>
    <row r="189" spans="1:54">
      <c r="A189" s="382" t="s">
        <v>612</v>
      </c>
      <c r="B189" s="539"/>
      <c r="C189" s="278" t="str">
        <f>IFERROR(VLOOKUP("D-SPA"&amp;2,お客様情報!$R$49:$U$53,4,FALSE),"")</f>
        <v/>
      </c>
      <c r="D189" s="278">
        <f>D$187</f>
        <v>1</v>
      </c>
      <c r="E189" s="278">
        <f>E$187</f>
        <v>1</v>
      </c>
      <c r="F189" s="278" t="str">
        <f>$F$187</f>
        <v/>
      </c>
      <c r="G189" s="278" t="str">
        <f>$G$187</f>
        <v/>
      </c>
      <c r="H189" s="314"/>
      <c r="I189" s="314"/>
      <c r="J189" s="556" t="str">
        <f>J$187</f>
        <v/>
      </c>
      <c r="K189" s="556" t="str">
        <f>K$187</f>
        <v/>
      </c>
      <c r="L189" s="314"/>
      <c r="M189" s="278" t="str">
        <f>$M$187</f>
        <v/>
      </c>
      <c r="N189" s="314"/>
      <c r="O189" s="314"/>
      <c r="P189" s="314"/>
      <c r="Q189" s="278" t="str">
        <f>$Q$187</f>
        <v/>
      </c>
      <c r="R189" s="278" t="str">
        <f>R$187</f>
        <v/>
      </c>
      <c r="S189" s="278" t="e">
        <f>$S$187</f>
        <v>#N/A</v>
      </c>
      <c r="T189" s="278" t="e">
        <f>$T$187</f>
        <v>#N/A</v>
      </c>
      <c r="U189" s="278"/>
      <c r="V189" s="278" t="str">
        <f>$V$187</f>
        <v/>
      </c>
      <c r="W189" s="286" t="str">
        <f>W$187</f>
        <v/>
      </c>
      <c r="X189" s="278" t="str">
        <f>$X$187</f>
        <v/>
      </c>
      <c r="Y189" s="278" t="str">
        <f>Y$187</f>
        <v/>
      </c>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row>
    <row r="190" spans="1:54">
      <c r="A190" s="382" t="s">
        <v>586</v>
      </c>
      <c r="B190" s="382" t="s">
        <v>634</v>
      </c>
      <c r="C190" s="382" t="s">
        <v>946</v>
      </c>
      <c r="D190" s="382" t="s">
        <v>621</v>
      </c>
      <c r="E190" s="382" t="s">
        <v>622</v>
      </c>
      <c r="F190" s="382" t="s">
        <v>614</v>
      </c>
      <c r="G190" s="382" t="s">
        <v>623</v>
      </c>
      <c r="H190" s="382" t="s">
        <v>624</v>
      </c>
      <c r="I190" s="382" t="s">
        <v>625</v>
      </c>
      <c r="J190" s="382" t="s">
        <v>626</v>
      </c>
      <c r="K190" s="382" t="s">
        <v>627</v>
      </c>
      <c r="L190" s="382" t="s">
        <v>628</v>
      </c>
      <c r="M190" s="382" t="s">
        <v>629</v>
      </c>
      <c r="N190" s="382" t="s">
        <v>630</v>
      </c>
      <c r="O190" s="382" t="s">
        <v>631</v>
      </c>
      <c r="P190" s="382" t="s">
        <v>632</v>
      </c>
      <c r="Q190" s="382" t="s">
        <v>633</v>
      </c>
      <c r="R190" s="382" t="s">
        <v>1116</v>
      </c>
      <c r="S190" s="382" t="s">
        <v>701</v>
      </c>
      <c r="T190" s="382" t="s">
        <v>702</v>
      </c>
      <c r="U190" s="382" t="s">
        <v>699</v>
      </c>
      <c r="V190" s="382" t="s">
        <v>700</v>
      </c>
      <c r="W190" s="382" t="s">
        <v>822</v>
      </c>
      <c r="X190" s="382" t="s">
        <v>880</v>
      </c>
      <c r="Y190" s="382" t="s">
        <v>1118</v>
      </c>
      <c r="Z190" s="382" t="s">
        <v>1124</v>
      </c>
      <c r="AA190" s="382" t="s">
        <v>1125</v>
      </c>
      <c r="AB190" s="382" t="s">
        <v>1126</v>
      </c>
      <c r="AC190" s="382" t="s">
        <v>1127</v>
      </c>
      <c r="AD190" s="382" t="s">
        <v>1128</v>
      </c>
      <c r="AE190" s="382" t="s">
        <v>737</v>
      </c>
      <c r="AF190" s="382" t="s">
        <v>741</v>
      </c>
      <c r="AG190" s="382" t="s">
        <v>745</v>
      </c>
      <c r="AH190" s="382" t="s">
        <v>746</v>
      </c>
      <c r="AI190" s="382" t="s">
        <v>748</v>
      </c>
      <c r="AJ190" s="382" t="s">
        <v>747</v>
      </c>
      <c r="AK190" s="382" t="s">
        <v>1096</v>
      </c>
      <c r="AL190" s="382" t="s">
        <v>1140</v>
      </c>
      <c r="AM190" s="382" t="s">
        <v>1141</v>
      </c>
      <c r="AN190" s="382" t="s">
        <v>1142</v>
      </c>
      <c r="AO190" s="382" t="s">
        <v>1143</v>
      </c>
      <c r="AP190" s="382" t="s">
        <v>1144</v>
      </c>
      <c r="AQ190" s="382" t="s">
        <v>1145</v>
      </c>
      <c r="AR190" s="382" t="s">
        <v>1146</v>
      </c>
      <c r="AS190" s="382" t="s">
        <v>1147</v>
      </c>
      <c r="AT190" s="382" t="s">
        <v>1176</v>
      </c>
      <c r="AU190" s="382" t="s">
        <v>1247</v>
      </c>
      <c r="AV190" s="382" t="s">
        <v>1293</v>
      </c>
      <c r="AW190" s="382" t="s">
        <v>1291</v>
      </c>
      <c r="AX190" s="382" t="s">
        <v>1294</v>
      </c>
      <c r="AY190" s="382" t="s">
        <v>1295</v>
      </c>
      <c r="AZ190" s="382" t="s">
        <v>1372</v>
      </c>
      <c r="BA190" s="382" t="s">
        <v>1373</v>
      </c>
      <c r="BB190" s="382" t="s">
        <v>1481</v>
      </c>
    </row>
    <row r="191" spans="1:54">
      <c r="A191" s="382" t="s">
        <v>612</v>
      </c>
      <c r="B191" s="539"/>
      <c r="C191" s="278" t="str">
        <f>IFERROR(VLOOKUP("D-SPA"&amp;3,お客様情報!$R$49:$U$53,4,FALSE),"")</f>
        <v/>
      </c>
      <c r="D191" s="278">
        <f>D$187</f>
        <v>1</v>
      </c>
      <c r="E191" s="278">
        <f>E$187</f>
        <v>1</v>
      </c>
      <c r="F191" s="278" t="str">
        <f>$F$187</f>
        <v/>
      </c>
      <c r="G191" s="278" t="str">
        <f>$G$187</f>
        <v/>
      </c>
      <c r="H191" s="314"/>
      <c r="I191" s="314"/>
      <c r="J191" s="556" t="str">
        <f>J$187</f>
        <v/>
      </c>
      <c r="K191" s="556" t="str">
        <f>K$187</f>
        <v/>
      </c>
      <c r="L191" s="314"/>
      <c r="M191" s="278" t="str">
        <f>$M$187</f>
        <v/>
      </c>
      <c r="N191" s="314"/>
      <c r="O191" s="314"/>
      <c r="P191" s="314"/>
      <c r="Q191" s="278" t="str">
        <f>$Q$187</f>
        <v/>
      </c>
      <c r="R191" s="278" t="str">
        <f>R$187</f>
        <v/>
      </c>
      <c r="S191" s="278" t="e">
        <f>$S$187</f>
        <v>#N/A</v>
      </c>
      <c r="T191" s="278" t="e">
        <f>$T$187</f>
        <v>#N/A</v>
      </c>
      <c r="U191" s="278"/>
      <c r="V191" s="278" t="str">
        <f>$V$187</f>
        <v/>
      </c>
      <c r="W191" s="286" t="str">
        <f>W$187</f>
        <v/>
      </c>
      <c r="X191" s="278" t="str">
        <f>$X$187</f>
        <v/>
      </c>
      <c r="Y191" s="278" t="str">
        <f>Y$187</f>
        <v/>
      </c>
      <c r="Z191" s="314"/>
      <c r="AA191" s="314"/>
      <c r="AB191" s="314"/>
      <c r="AC191" s="314"/>
      <c r="AD191" s="314"/>
      <c r="AE191" s="314"/>
      <c r="AF191" s="314"/>
      <c r="AG191" s="314"/>
      <c r="AH191" s="314"/>
      <c r="AI191" s="314"/>
      <c r="AJ191" s="314"/>
      <c r="AK191" s="314"/>
      <c r="AL191" s="314"/>
      <c r="AM191" s="314"/>
      <c r="AN191" s="314"/>
      <c r="AO191" s="314"/>
      <c r="AP191" s="314"/>
      <c r="AQ191" s="314"/>
      <c r="AR191" s="314"/>
      <c r="AS191" s="314"/>
      <c r="AT191" s="314"/>
      <c r="AU191" s="314"/>
      <c r="AV191" s="314"/>
      <c r="AW191" s="314"/>
      <c r="AX191" s="314"/>
      <c r="AY191" s="314"/>
      <c r="AZ191" s="314"/>
      <c r="BA191" s="314"/>
      <c r="BB191" s="314"/>
    </row>
    <row r="192" spans="1:54">
      <c r="A192" s="382" t="s">
        <v>586</v>
      </c>
      <c r="B192" s="382" t="s">
        <v>634</v>
      </c>
      <c r="C192" s="382" t="s">
        <v>620</v>
      </c>
      <c r="D192" s="382" t="s">
        <v>621</v>
      </c>
      <c r="E192" s="382" t="s">
        <v>622</v>
      </c>
      <c r="F192" s="382" t="s">
        <v>614</v>
      </c>
      <c r="G192" s="382" t="s">
        <v>623</v>
      </c>
      <c r="H192" s="382" t="s">
        <v>624</v>
      </c>
      <c r="I192" s="382" t="s">
        <v>625</v>
      </c>
      <c r="J192" s="382" t="s">
        <v>626</v>
      </c>
      <c r="K192" s="382" t="s">
        <v>627</v>
      </c>
      <c r="L192" s="382" t="s">
        <v>628</v>
      </c>
      <c r="M192" s="382" t="s">
        <v>629</v>
      </c>
      <c r="N192" s="382" t="s">
        <v>630</v>
      </c>
      <c r="O192" s="382" t="s">
        <v>631</v>
      </c>
      <c r="P192" s="382" t="s">
        <v>632</v>
      </c>
      <c r="Q192" s="382" t="s">
        <v>633</v>
      </c>
      <c r="R192" s="382" t="s">
        <v>1116</v>
      </c>
      <c r="S192" s="382" t="s">
        <v>701</v>
      </c>
      <c r="T192" s="382" t="s">
        <v>702</v>
      </c>
      <c r="U192" s="382" t="s">
        <v>699</v>
      </c>
      <c r="V192" s="382" t="s">
        <v>700</v>
      </c>
      <c r="W192" s="382" t="s">
        <v>822</v>
      </c>
      <c r="X192" s="382" t="s">
        <v>880</v>
      </c>
      <c r="Y192" s="382" t="s">
        <v>1118</v>
      </c>
      <c r="Z192" s="382" t="s">
        <v>1124</v>
      </c>
      <c r="AA192" s="382" t="s">
        <v>1125</v>
      </c>
      <c r="AB192" s="382" t="s">
        <v>1126</v>
      </c>
      <c r="AC192" s="382" t="s">
        <v>1127</v>
      </c>
      <c r="AD192" s="382" t="s">
        <v>1128</v>
      </c>
      <c r="AE192" s="382" t="s">
        <v>737</v>
      </c>
      <c r="AF192" s="382" t="s">
        <v>741</v>
      </c>
      <c r="AG192" s="382" t="s">
        <v>745</v>
      </c>
      <c r="AH192" s="382" t="s">
        <v>746</v>
      </c>
      <c r="AI192" s="382" t="s">
        <v>748</v>
      </c>
      <c r="AJ192" s="382" t="s">
        <v>747</v>
      </c>
      <c r="AK192" s="382" t="s">
        <v>1096</v>
      </c>
      <c r="AL192" s="382" t="s">
        <v>1140</v>
      </c>
      <c r="AM192" s="382" t="s">
        <v>1141</v>
      </c>
      <c r="AN192" s="382" t="s">
        <v>1142</v>
      </c>
      <c r="AO192" s="382" t="s">
        <v>1143</v>
      </c>
      <c r="AP192" s="382" t="s">
        <v>1144</v>
      </c>
      <c r="AQ192" s="382" t="s">
        <v>1145</v>
      </c>
      <c r="AR192" s="382" t="s">
        <v>1146</v>
      </c>
      <c r="AS192" s="382" t="s">
        <v>1147</v>
      </c>
      <c r="AT192" s="382" t="s">
        <v>1176</v>
      </c>
      <c r="AU192" s="382" t="s">
        <v>1247</v>
      </c>
      <c r="AV192" s="382" t="s">
        <v>1293</v>
      </c>
      <c r="AW192" s="382" t="s">
        <v>1291</v>
      </c>
      <c r="AX192" s="382" t="s">
        <v>1294</v>
      </c>
      <c r="AY192" s="382" t="s">
        <v>1295</v>
      </c>
      <c r="AZ192" s="382" t="s">
        <v>1372</v>
      </c>
      <c r="BA192" s="382" t="s">
        <v>1373</v>
      </c>
      <c r="BB192" s="382" t="s">
        <v>1481</v>
      </c>
    </row>
    <row r="193" spans="1:54">
      <c r="A193" s="382" t="s">
        <v>612</v>
      </c>
      <c r="B193" s="539"/>
      <c r="C193" s="278" t="str">
        <f>IFERROR(VLOOKUP("D-SPA"&amp;4,お客様情報!$R$49:$U$53,4,FALSE),"")</f>
        <v/>
      </c>
      <c r="D193" s="278">
        <f>D$187</f>
        <v>1</v>
      </c>
      <c r="E193" s="278">
        <f>E$187</f>
        <v>1</v>
      </c>
      <c r="F193" s="278" t="str">
        <f>$F$187</f>
        <v/>
      </c>
      <c r="G193" s="278" t="str">
        <f>$G$187</f>
        <v/>
      </c>
      <c r="H193" s="314"/>
      <c r="I193" s="314"/>
      <c r="J193" s="556" t="str">
        <f>J$187</f>
        <v/>
      </c>
      <c r="K193" s="556" t="str">
        <f>K$187</f>
        <v/>
      </c>
      <c r="L193" s="314"/>
      <c r="M193" s="278" t="str">
        <f>$M$187</f>
        <v/>
      </c>
      <c r="N193" s="314"/>
      <c r="O193" s="314"/>
      <c r="P193" s="314"/>
      <c r="Q193" s="278" t="str">
        <f>$Q$187</f>
        <v/>
      </c>
      <c r="R193" s="278" t="str">
        <f>R$187</f>
        <v/>
      </c>
      <c r="S193" s="278" t="e">
        <f>$S$187</f>
        <v>#N/A</v>
      </c>
      <c r="T193" s="278" t="e">
        <f>$T$187</f>
        <v>#N/A</v>
      </c>
      <c r="U193" s="278"/>
      <c r="V193" s="278" t="str">
        <f>$V$187</f>
        <v/>
      </c>
      <c r="W193" s="286" t="str">
        <f>W$187</f>
        <v/>
      </c>
      <c r="X193" s="278" t="str">
        <f>$X$187</f>
        <v/>
      </c>
      <c r="Y193" s="278" t="str">
        <f>Y$187</f>
        <v/>
      </c>
      <c r="Z193" s="314"/>
      <c r="AA193" s="314"/>
      <c r="AB193" s="314"/>
      <c r="AC193" s="314"/>
      <c r="AD193" s="314"/>
      <c r="AE193" s="314"/>
      <c r="AF193" s="314"/>
      <c r="AG193" s="314"/>
      <c r="AH193" s="314"/>
      <c r="AI193" s="314"/>
      <c r="AJ193" s="314"/>
      <c r="AK193" s="314"/>
      <c r="AL193" s="314"/>
      <c r="AM193" s="314"/>
      <c r="AN193" s="314"/>
      <c r="AO193" s="314"/>
      <c r="AP193" s="314"/>
      <c r="AQ193" s="314"/>
      <c r="AR193" s="314"/>
      <c r="AS193" s="314"/>
      <c r="AT193" s="314"/>
      <c r="AU193" s="314"/>
      <c r="AV193" s="314"/>
      <c r="AW193" s="314"/>
      <c r="AX193" s="314"/>
      <c r="AY193" s="314"/>
      <c r="AZ193" s="314"/>
      <c r="BA193" s="314"/>
      <c r="BB193" s="314"/>
    </row>
    <row r="194" spans="1:54">
      <c r="A194" s="382" t="s">
        <v>586</v>
      </c>
      <c r="B194" s="382" t="s">
        <v>634</v>
      </c>
      <c r="C194" s="382" t="s">
        <v>620</v>
      </c>
      <c r="D194" s="382" t="s">
        <v>621</v>
      </c>
      <c r="E194" s="382" t="s">
        <v>622</v>
      </c>
      <c r="F194" s="382" t="s">
        <v>614</v>
      </c>
      <c r="G194" s="382" t="s">
        <v>623</v>
      </c>
      <c r="H194" s="382" t="s">
        <v>624</v>
      </c>
      <c r="I194" s="382" t="s">
        <v>625</v>
      </c>
      <c r="J194" s="382" t="s">
        <v>626</v>
      </c>
      <c r="K194" s="382" t="s">
        <v>627</v>
      </c>
      <c r="L194" s="382" t="s">
        <v>628</v>
      </c>
      <c r="M194" s="382" t="s">
        <v>629</v>
      </c>
      <c r="N194" s="382" t="s">
        <v>630</v>
      </c>
      <c r="O194" s="382" t="s">
        <v>631</v>
      </c>
      <c r="P194" s="382" t="s">
        <v>632</v>
      </c>
      <c r="Q194" s="382" t="s">
        <v>633</v>
      </c>
      <c r="R194" s="382" t="s">
        <v>1116</v>
      </c>
      <c r="S194" s="382" t="s">
        <v>701</v>
      </c>
      <c r="T194" s="382" t="s">
        <v>702</v>
      </c>
      <c r="U194" s="382" t="s">
        <v>699</v>
      </c>
      <c r="V194" s="382" t="s">
        <v>700</v>
      </c>
      <c r="W194" s="382" t="s">
        <v>822</v>
      </c>
      <c r="X194" s="382" t="s">
        <v>880</v>
      </c>
      <c r="Y194" s="382" t="s">
        <v>1118</v>
      </c>
      <c r="Z194" s="382" t="s">
        <v>1124</v>
      </c>
      <c r="AA194" s="382" t="s">
        <v>1125</v>
      </c>
      <c r="AB194" s="382" t="s">
        <v>1126</v>
      </c>
      <c r="AC194" s="382" t="s">
        <v>1127</v>
      </c>
      <c r="AD194" s="382" t="s">
        <v>1128</v>
      </c>
      <c r="AE194" s="382" t="s">
        <v>737</v>
      </c>
      <c r="AF194" s="382" t="s">
        <v>741</v>
      </c>
      <c r="AG194" s="382" t="s">
        <v>745</v>
      </c>
      <c r="AH194" s="382" t="s">
        <v>746</v>
      </c>
      <c r="AI194" s="382" t="s">
        <v>748</v>
      </c>
      <c r="AJ194" s="382" t="s">
        <v>747</v>
      </c>
      <c r="AK194" s="382" t="s">
        <v>1096</v>
      </c>
      <c r="AL194" s="382" t="s">
        <v>1140</v>
      </c>
      <c r="AM194" s="382" t="s">
        <v>1141</v>
      </c>
      <c r="AN194" s="382" t="s">
        <v>1142</v>
      </c>
      <c r="AO194" s="382" t="s">
        <v>1143</v>
      </c>
      <c r="AP194" s="382" t="s">
        <v>1144</v>
      </c>
      <c r="AQ194" s="382" t="s">
        <v>1145</v>
      </c>
      <c r="AR194" s="382" t="s">
        <v>1146</v>
      </c>
      <c r="AS194" s="382" t="s">
        <v>1147</v>
      </c>
      <c r="AT194" s="382" t="s">
        <v>1176</v>
      </c>
      <c r="AU194" s="382" t="s">
        <v>1247</v>
      </c>
      <c r="AV194" s="382" t="s">
        <v>1293</v>
      </c>
      <c r="AW194" s="382" t="s">
        <v>1291</v>
      </c>
      <c r="AX194" s="382" t="s">
        <v>1294</v>
      </c>
      <c r="AY194" s="382" t="s">
        <v>1295</v>
      </c>
      <c r="AZ194" s="382" t="s">
        <v>1372</v>
      </c>
      <c r="BA194" s="382" t="s">
        <v>1373</v>
      </c>
      <c r="BB194" s="382" t="s">
        <v>1481</v>
      </c>
    </row>
    <row r="195" spans="1:54">
      <c r="A195" s="382" t="s">
        <v>612</v>
      </c>
      <c r="B195" s="539"/>
      <c r="C195" s="278" t="str">
        <f>IFERROR(VLOOKUP("D-SPA"&amp;5,お客様情報!$R$49:$U$53,4,FALSE),"")</f>
        <v/>
      </c>
      <c r="D195" s="278">
        <f>D$187</f>
        <v>1</v>
      </c>
      <c r="E195" s="278">
        <f>E$187</f>
        <v>1</v>
      </c>
      <c r="F195" s="278" t="str">
        <f>$F$187</f>
        <v/>
      </c>
      <c r="G195" s="278" t="str">
        <f>$G$187</f>
        <v/>
      </c>
      <c r="H195" s="314"/>
      <c r="I195" s="314"/>
      <c r="J195" s="556" t="str">
        <f>J$187</f>
        <v/>
      </c>
      <c r="K195" s="556" t="str">
        <f>K$187</f>
        <v/>
      </c>
      <c r="L195" s="314"/>
      <c r="M195" s="278" t="str">
        <f>$M$187</f>
        <v/>
      </c>
      <c r="N195" s="314"/>
      <c r="O195" s="314"/>
      <c r="P195" s="314"/>
      <c r="Q195" s="278" t="str">
        <f>$Q$187</f>
        <v/>
      </c>
      <c r="R195" s="278" t="str">
        <f>R$187</f>
        <v/>
      </c>
      <c r="S195" s="278" t="e">
        <f>$S$187</f>
        <v>#N/A</v>
      </c>
      <c r="T195" s="278" t="e">
        <f>$T$187</f>
        <v>#N/A</v>
      </c>
      <c r="U195" s="278"/>
      <c r="V195" s="278" t="str">
        <f>$V$187</f>
        <v/>
      </c>
      <c r="W195" s="286" t="str">
        <f>W$187</f>
        <v/>
      </c>
      <c r="X195" s="278" t="str">
        <f>$X$187</f>
        <v/>
      </c>
      <c r="Y195" s="278" t="str">
        <f>Y$187</f>
        <v/>
      </c>
      <c r="Z195" s="314"/>
      <c r="AA195" s="314"/>
      <c r="AB195" s="314"/>
      <c r="AC195" s="314"/>
      <c r="AD195" s="314"/>
      <c r="AE195" s="314"/>
      <c r="AF195" s="314"/>
      <c r="AG195" s="314"/>
      <c r="AH195" s="314"/>
      <c r="AI195" s="314"/>
      <c r="AJ195" s="314"/>
      <c r="AK195" s="314"/>
      <c r="AL195" s="314"/>
      <c r="AM195" s="314"/>
      <c r="AN195" s="314"/>
      <c r="AO195" s="314"/>
      <c r="AP195" s="314"/>
      <c r="AQ195" s="314"/>
      <c r="AR195" s="314"/>
      <c r="AS195" s="314"/>
      <c r="AT195" s="314"/>
      <c r="AU195" s="314"/>
      <c r="AV195" s="314"/>
      <c r="AW195" s="314"/>
      <c r="AX195" s="314"/>
      <c r="AY195" s="314"/>
      <c r="AZ195" s="314"/>
      <c r="BA195" s="314"/>
      <c r="BB195" s="314"/>
    </row>
    <row r="196" spans="1:54">
      <c r="A196" s="383" t="s">
        <v>586</v>
      </c>
      <c r="B196" s="383" t="s">
        <v>634</v>
      </c>
      <c r="C196" s="383" t="s">
        <v>620</v>
      </c>
      <c r="D196" s="383" t="s">
        <v>621</v>
      </c>
      <c r="E196" s="383" t="s">
        <v>622</v>
      </c>
      <c r="F196" s="383" t="s">
        <v>614</v>
      </c>
      <c r="G196" s="383" t="s">
        <v>623</v>
      </c>
      <c r="H196" s="383" t="s">
        <v>624</v>
      </c>
      <c r="I196" s="383" t="s">
        <v>625</v>
      </c>
      <c r="J196" s="383" t="s">
        <v>626</v>
      </c>
      <c r="K196" s="383" t="s">
        <v>627</v>
      </c>
      <c r="L196" s="383" t="s">
        <v>628</v>
      </c>
      <c r="M196" s="383" t="s">
        <v>629</v>
      </c>
      <c r="N196" s="383" t="s">
        <v>630</v>
      </c>
      <c r="O196" s="383" t="s">
        <v>631</v>
      </c>
      <c r="P196" s="383" t="s">
        <v>632</v>
      </c>
      <c r="Q196" s="383" t="s">
        <v>633</v>
      </c>
      <c r="R196" s="383" t="s">
        <v>1116</v>
      </c>
      <c r="S196" s="383" t="s">
        <v>701</v>
      </c>
      <c r="T196" s="383" t="s">
        <v>702</v>
      </c>
      <c r="U196" s="383" t="s">
        <v>699</v>
      </c>
      <c r="V196" s="383" t="s">
        <v>700</v>
      </c>
      <c r="W196" s="383" t="s">
        <v>822</v>
      </c>
      <c r="X196" s="383" t="s">
        <v>880</v>
      </c>
      <c r="Y196" s="383" t="s">
        <v>1118</v>
      </c>
      <c r="Z196" s="383" t="s">
        <v>1124</v>
      </c>
      <c r="AA196" s="383" t="s">
        <v>1125</v>
      </c>
      <c r="AB196" s="383" t="s">
        <v>1126</v>
      </c>
      <c r="AC196" s="383" t="s">
        <v>1127</v>
      </c>
      <c r="AD196" s="383" t="s">
        <v>1128</v>
      </c>
      <c r="AE196" s="383" t="s">
        <v>737</v>
      </c>
      <c r="AF196" s="383" t="s">
        <v>741</v>
      </c>
      <c r="AG196" s="383" t="s">
        <v>745</v>
      </c>
      <c r="AH196" s="383" t="s">
        <v>746</v>
      </c>
      <c r="AI196" s="383" t="s">
        <v>748</v>
      </c>
      <c r="AJ196" s="383" t="s">
        <v>747</v>
      </c>
      <c r="AK196" s="383" t="s">
        <v>1096</v>
      </c>
      <c r="AL196" s="383" t="s">
        <v>1140</v>
      </c>
      <c r="AM196" s="383" t="s">
        <v>1141</v>
      </c>
      <c r="AN196" s="383" t="s">
        <v>1142</v>
      </c>
      <c r="AO196" s="383" t="s">
        <v>1143</v>
      </c>
      <c r="AP196" s="383" t="s">
        <v>1144</v>
      </c>
      <c r="AQ196" s="383" t="s">
        <v>1145</v>
      </c>
      <c r="AR196" s="383" t="s">
        <v>1146</v>
      </c>
      <c r="AS196" s="383" t="s">
        <v>1147</v>
      </c>
      <c r="AT196" s="383" t="s">
        <v>1176</v>
      </c>
      <c r="AU196" s="383" t="s">
        <v>1247</v>
      </c>
      <c r="AV196" s="383" t="s">
        <v>1293</v>
      </c>
      <c r="AW196" s="383" t="s">
        <v>1291</v>
      </c>
      <c r="AX196" s="383" t="s">
        <v>1294</v>
      </c>
      <c r="AY196" s="383" t="s">
        <v>1295</v>
      </c>
      <c r="AZ196" s="383" t="s">
        <v>1372</v>
      </c>
      <c r="BA196" s="383" t="s">
        <v>1373</v>
      </c>
      <c r="BB196" s="383" t="s">
        <v>1481</v>
      </c>
    </row>
    <row r="197" spans="1:54">
      <c r="A197" s="383" t="s">
        <v>612</v>
      </c>
      <c r="B197" s="539"/>
      <c r="C197" s="278" t="str">
        <f>IFERROR(VLOOKUP("D-SPA"&amp;1,お客様情報!$R$49:$U$53,4,FALSE),"")</f>
        <v/>
      </c>
      <c r="D197" s="278">
        <v>1</v>
      </c>
      <c r="E197" s="278">
        <v>1</v>
      </c>
      <c r="F197" s="278" t="str">
        <f>IF(代ホ_入力フォームDSPA!$AG$107="初年度",TEXT(中間データDSPA!$G$9,"YYYY-MM-DD"),"")</f>
        <v/>
      </c>
      <c r="G197" s="278" t="str">
        <f>LEFT(代ホ_入力フォームDSPA!$BJ$107,1)</f>
        <v/>
      </c>
      <c r="H197" s="314"/>
      <c r="I197" s="314"/>
      <c r="J197" s="556" t="str">
        <f>IF(代ホ_入力フォームDSPA!BA164="はい/お客様アドレス",代ホ_入力フォームDSPA!AG40,"")</f>
        <v/>
      </c>
      <c r="K197" s="556" t="str">
        <f>IF(代ホ_入力フォームDSPA!BA164="はい/通知先記入",代ホ_入力フォームDSPA!BT164,"")</f>
        <v/>
      </c>
      <c r="L197" s="314"/>
      <c r="M197" s="278" t="str">
        <f>IF(代ホ_入力フォームDSPA!$AL$109&lt;&gt;"",代ホ_入力フォームDSPA!$AL$109,"")</f>
        <v/>
      </c>
      <c r="N197" s="314"/>
      <c r="O197" s="314"/>
      <c r="P197" s="314"/>
      <c r="Q197" s="278" t="str">
        <f>IF(代ホ_入力フォームDSPA!$R$128="A表に同じ",代ホ_入力フォームDSPA!$M$33&amp;代ホ_入力フォームDSPA!$AD$33&amp;代ホ_入力フォームDSPA!$AU$33&amp;代ホ_入力フォームDSPA!$M$35&amp;代ホ_入力フォームDSPA!$AM$35&amp;"（"&amp;お客様情報!M8&amp;"内）",IF(代ホ_入力フォームDSPA!$R$128="A表と異なる",代ホ_入力フォームDSPA!$BI$128&amp;代ホ_入力フォームDSPA!$BN$128&amp;代ホ_入力フォームDSPA!$BS$128&amp;代ホ_入力フォームDSPA!$CA$128&amp;代ホ_入力フォームDSPA!$CM$128&amp;"（"&amp;代ホ_入力フォームDSPA!Z128&amp;"内）",""))</f>
        <v/>
      </c>
      <c r="R197" s="278" t="str">
        <f>IF(ISBLANK(代ホ_入力フォームDSPA!L107),"",IF(代ホ_入力フォームDSPA!W109="コールドスタンバイ",代ホ_入力フォームDSPA!L107&amp;" (コールドスタンバイ)",代ホ_入力フォームDSPA!L107))</f>
        <v/>
      </c>
      <c r="S197" s="278" t="e">
        <f>IF(お客様情報!$N$64="","",お客様情報!$N$64)</f>
        <v>#N/A</v>
      </c>
      <c r="T197" s="278" t="e">
        <f>IF(お客様情報!$N$65="","",お客様情報!$N$65)</f>
        <v>#N/A</v>
      </c>
      <c r="U197" s="278"/>
      <c r="V197" s="278" t="str">
        <f>IF(OR(代ホ_入力フォームDSPA!AE90="",代ホ_入力フォームDSPA!AE90="なし"),"",IF(COUNTIF(代ホ_入力フォームDSPA!AE90,"*倍量*")&gt;0,"HDD拡充倍量オプション","HDD拡充オプション"))</f>
        <v/>
      </c>
      <c r="W197" s="278" t="str">
        <f>IF(OR(代ホ_入力フォームDSPA!BM90="",代ホ_入力フォームDSPA!BM90="なし"),"","追加ﾈｯﾄﾜｰｸ・ｲﾝﾀｰﾌｪｰｽ・ｵﾌﾟｼｮﾝ")</f>
        <v/>
      </c>
      <c r="X197" s="278" t="str">
        <f>IF(OR(代ホ_入力フォームDSPA!CD90="",代ホ_入力フォームDSPA!CD90="なし"),"","電源冗長化オプション")</f>
        <v/>
      </c>
      <c r="Y197" s="278" t="str">
        <f>IF(OR(代ホ_入力フォームDSPA!CU90="",代ホ_入力フォームDSPA!CU90="なし"),"",VLOOKUP(代ホ_入力フォームDSPA!CU90,中間データDSPA!$B$93:$C$97,2,FALSE))</f>
        <v/>
      </c>
      <c r="Z197" s="314"/>
      <c r="AA197" s="314"/>
      <c r="AB197" s="314"/>
      <c r="AC197" s="314"/>
      <c r="AD197" s="314"/>
      <c r="AE197" s="314"/>
      <c r="AF197" s="314"/>
      <c r="AG197" s="314"/>
      <c r="AH197" s="314"/>
      <c r="AI197" s="314"/>
      <c r="AJ197" s="314"/>
      <c r="AK197" s="314"/>
      <c r="AL197" s="314"/>
      <c r="AM197" s="314"/>
      <c r="AN197" s="314"/>
      <c r="AO197" s="314"/>
      <c r="AP197" s="314"/>
      <c r="AQ197" s="314"/>
      <c r="AR197" s="314"/>
      <c r="AS197" s="314"/>
      <c r="AT197" s="314"/>
      <c r="AU197" s="314"/>
      <c r="AV197" s="314"/>
      <c r="AW197" s="314"/>
      <c r="AX197" s="314"/>
      <c r="AY197" s="314"/>
      <c r="AZ197" s="314"/>
      <c r="BA197" s="314"/>
      <c r="BB197" s="314"/>
    </row>
    <row r="198" spans="1:54">
      <c r="A198" s="383" t="s">
        <v>586</v>
      </c>
      <c r="B198" s="383" t="s">
        <v>634</v>
      </c>
      <c r="C198" s="383" t="s">
        <v>620</v>
      </c>
      <c r="D198" s="383" t="s">
        <v>621</v>
      </c>
      <c r="E198" s="383" t="s">
        <v>622</v>
      </c>
      <c r="F198" s="383" t="s">
        <v>614</v>
      </c>
      <c r="G198" s="383" t="s">
        <v>623</v>
      </c>
      <c r="H198" s="383" t="s">
        <v>624</v>
      </c>
      <c r="I198" s="383" t="s">
        <v>625</v>
      </c>
      <c r="J198" s="383" t="s">
        <v>626</v>
      </c>
      <c r="K198" s="383" t="s">
        <v>627</v>
      </c>
      <c r="L198" s="383" t="s">
        <v>628</v>
      </c>
      <c r="M198" s="383" t="s">
        <v>629</v>
      </c>
      <c r="N198" s="383" t="s">
        <v>630</v>
      </c>
      <c r="O198" s="383" t="s">
        <v>631</v>
      </c>
      <c r="P198" s="383" t="s">
        <v>632</v>
      </c>
      <c r="Q198" s="383" t="s">
        <v>633</v>
      </c>
      <c r="R198" s="383" t="s">
        <v>1116</v>
      </c>
      <c r="S198" s="383" t="s">
        <v>701</v>
      </c>
      <c r="T198" s="383" t="s">
        <v>702</v>
      </c>
      <c r="U198" s="383" t="s">
        <v>699</v>
      </c>
      <c r="V198" s="383" t="s">
        <v>700</v>
      </c>
      <c r="W198" s="383" t="s">
        <v>822</v>
      </c>
      <c r="X198" s="383" t="s">
        <v>880</v>
      </c>
      <c r="Y198" s="383" t="s">
        <v>1118</v>
      </c>
      <c r="Z198" s="383" t="s">
        <v>1124</v>
      </c>
      <c r="AA198" s="383" t="s">
        <v>1125</v>
      </c>
      <c r="AB198" s="383" t="s">
        <v>1126</v>
      </c>
      <c r="AC198" s="383" t="s">
        <v>1127</v>
      </c>
      <c r="AD198" s="383" t="s">
        <v>1128</v>
      </c>
      <c r="AE198" s="383" t="s">
        <v>737</v>
      </c>
      <c r="AF198" s="383" t="s">
        <v>741</v>
      </c>
      <c r="AG198" s="383" t="s">
        <v>745</v>
      </c>
      <c r="AH198" s="383" t="s">
        <v>746</v>
      </c>
      <c r="AI198" s="383" t="s">
        <v>748</v>
      </c>
      <c r="AJ198" s="383" t="s">
        <v>747</v>
      </c>
      <c r="AK198" s="383" t="s">
        <v>1096</v>
      </c>
      <c r="AL198" s="383" t="s">
        <v>1140</v>
      </c>
      <c r="AM198" s="383" t="s">
        <v>1141</v>
      </c>
      <c r="AN198" s="383" t="s">
        <v>1142</v>
      </c>
      <c r="AO198" s="383" t="s">
        <v>1143</v>
      </c>
      <c r="AP198" s="383" t="s">
        <v>1144</v>
      </c>
      <c r="AQ198" s="383" t="s">
        <v>1145</v>
      </c>
      <c r="AR198" s="383" t="s">
        <v>1146</v>
      </c>
      <c r="AS198" s="383" t="s">
        <v>1147</v>
      </c>
      <c r="AT198" s="383" t="s">
        <v>1176</v>
      </c>
      <c r="AU198" s="383" t="s">
        <v>1247</v>
      </c>
      <c r="AV198" s="383" t="s">
        <v>1293</v>
      </c>
      <c r="AW198" s="383" t="s">
        <v>1291</v>
      </c>
      <c r="AX198" s="383" t="s">
        <v>1294</v>
      </c>
      <c r="AY198" s="383" t="s">
        <v>1295</v>
      </c>
      <c r="AZ198" s="383" t="s">
        <v>1372</v>
      </c>
      <c r="BA198" s="383" t="s">
        <v>1373</v>
      </c>
      <c r="BB198" s="383" t="s">
        <v>1481</v>
      </c>
    </row>
    <row r="199" spans="1:54">
      <c r="A199" s="383" t="s">
        <v>612</v>
      </c>
      <c r="B199" s="279" t="str">
        <f>IF(AND(お客様情報!$E$2="代ホ_DSPA",代ホ_入力フォームDSPA!$D$109&lt;&gt;"",COUNTIF(お客様情報!$R$49:$R$53,"D-SPA2")&gt;0),4,"")</f>
        <v/>
      </c>
      <c r="C199" s="278" t="str">
        <f>IFERROR(VLOOKUP("D-SPA"&amp;2,お客様情報!$R$49:$U$53,4,FALSE),"")</f>
        <v/>
      </c>
      <c r="D199" s="278">
        <f>D$197</f>
        <v>1</v>
      </c>
      <c r="E199" s="278">
        <f>E$197</f>
        <v>1</v>
      </c>
      <c r="F199" s="278" t="str">
        <f>$F$197</f>
        <v/>
      </c>
      <c r="G199" s="278" t="str">
        <f>$G$197</f>
        <v/>
      </c>
      <c r="H199" s="314"/>
      <c r="I199" s="314"/>
      <c r="J199" s="556" t="str">
        <f>J$197</f>
        <v/>
      </c>
      <c r="K199" s="556" t="str">
        <f>K$197</f>
        <v/>
      </c>
      <c r="L199" s="314"/>
      <c r="M199" s="278" t="str">
        <f>$M$197</f>
        <v/>
      </c>
      <c r="N199" s="314"/>
      <c r="O199" s="314"/>
      <c r="P199" s="314"/>
      <c r="Q199" s="278" t="str">
        <f>$Q$197</f>
        <v/>
      </c>
      <c r="R199" s="278" t="str">
        <f>R$197</f>
        <v/>
      </c>
      <c r="S199" s="278" t="e">
        <f>$S$197</f>
        <v>#N/A</v>
      </c>
      <c r="T199" s="278" t="e">
        <f>$T$197</f>
        <v>#N/A</v>
      </c>
      <c r="U199" s="278"/>
      <c r="V199" s="278" t="str">
        <f>$V$197</f>
        <v/>
      </c>
      <c r="W199" s="286" t="str">
        <f>$W$197</f>
        <v/>
      </c>
      <c r="X199" s="278" t="str">
        <f>$X$197</f>
        <v/>
      </c>
      <c r="Y199" s="278" t="str">
        <f>Y$197</f>
        <v/>
      </c>
      <c r="Z199" s="314"/>
      <c r="AA199" s="314"/>
      <c r="AB199" s="314"/>
      <c r="AC199" s="314"/>
      <c r="AD199" s="314"/>
      <c r="AE199" s="314"/>
      <c r="AF199" s="314"/>
      <c r="AG199" s="314"/>
      <c r="AH199" s="314"/>
      <c r="AI199" s="314"/>
      <c r="AJ199" s="314"/>
      <c r="AK199" s="314"/>
      <c r="AL199" s="314"/>
      <c r="AM199" s="314"/>
      <c r="AN199" s="314"/>
      <c r="AO199" s="314"/>
      <c r="AP199" s="314"/>
      <c r="AQ199" s="314"/>
      <c r="AR199" s="314"/>
      <c r="AS199" s="314"/>
      <c r="AT199" s="314"/>
      <c r="AU199" s="314"/>
      <c r="AV199" s="314"/>
      <c r="AW199" s="314"/>
      <c r="AX199" s="314"/>
      <c r="AY199" s="314"/>
      <c r="AZ199" s="314"/>
      <c r="BA199" s="314"/>
      <c r="BB199" s="314"/>
    </row>
    <row r="200" spans="1:54">
      <c r="A200" s="383" t="s">
        <v>586</v>
      </c>
      <c r="B200" s="383" t="s">
        <v>634</v>
      </c>
      <c r="C200" s="383" t="s">
        <v>946</v>
      </c>
      <c r="D200" s="383" t="s">
        <v>621</v>
      </c>
      <c r="E200" s="383" t="s">
        <v>622</v>
      </c>
      <c r="F200" s="383" t="s">
        <v>614</v>
      </c>
      <c r="G200" s="383" t="s">
        <v>623</v>
      </c>
      <c r="H200" s="383" t="s">
        <v>624</v>
      </c>
      <c r="I200" s="383" t="s">
        <v>625</v>
      </c>
      <c r="J200" s="383" t="s">
        <v>626</v>
      </c>
      <c r="K200" s="383" t="s">
        <v>627</v>
      </c>
      <c r="L200" s="383" t="s">
        <v>628</v>
      </c>
      <c r="M200" s="383" t="s">
        <v>629</v>
      </c>
      <c r="N200" s="383" t="s">
        <v>630</v>
      </c>
      <c r="O200" s="383" t="s">
        <v>631</v>
      </c>
      <c r="P200" s="383" t="s">
        <v>632</v>
      </c>
      <c r="Q200" s="383" t="s">
        <v>633</v>
      </c>
      <c r="R200" s="383" t="s">
        <v>1116</v>
      </c>
      <c r="S200" s="383" t="s">
        <v>701</v>
      </c>
      <c r="T200" s="383" t="s">
        <v>702</v>
      </c>
      <c r="U200" s="383" t="s">
        <v>699</v>
      </c>
      <c r="V200" s="383" t="s">
        <v>700</v>
      </c>
      <c r="W200" s="383" t="s">
        <v>822</v>
      </c>
      <c r="X200" s="383" t="s">
        <v>880</v>
      </c>
      <c r="Y200" s="383" t="s">
        <v>1118</v>
      </c>
      <c r="Z200" s="383" t="s">
        <v>1124</v>
      </c>
      <c r="AA200" s="383" t="s">
        <v>1125</v>
      </c>
      <c r="AB200" s="383" t="s">
        <v>1126</v>
      </c>
      <c r="AC200" s="383" t="s">
        <v>1127</v>
      </c>
      <c r="AD200" s="383" t="s">
        <v>1128</v>
      </c>
      <c r="AE200" s="383" t="s">
        <v>737</v>
      </c>
      <c r="AF200" s="383" t="s">
        <v>741</v>
      </c>
      <c r="AG200" s="383" t="s">
        <v>745</v>
      </c>
      <c r="AH200" s="383" t="s">
        <v>746</v>
      </c>
      <c r="AI200" s="383" t="s">
        <v>748</v>
      </c>
      <c r="AJ200" s="383" t="s">
        <v>747</v>
      </c>
      <c r="AK200" s="383" t="s">
        <v>1096</v>
      </c>
      <c r="AL200" s="383" t="s">
        <v>1140</v>
      </c>
      <c r="AM200" s="383" t="s">
        <v>1141</v>
      </c>
      <c r="AN200" s="383" t="s">
        <v>1142</v>
      </c>
      <c r="AO200" s="383" t="s">
        <v>1143</v>
      </c>
      <c r="AP200" s="383" t="s">
        <v>1144</v>
      </c>
      <c r="AQ200" s="383" t="s">
        <v>1145</v>
      </c>
      <c r="AR200" s="383" t="s">
        <v>1146</v>
      </c>
      <c r="AS200" s="383" t="s">
        <v>1147</v>
      </c>
      <c r="AT200" s="383" t="s">
        <v>1176</v>
      </c>
      <c r="AU200" s="383" t="s">
        <v>1247</v>
      </c>
      <c r="AV200" s="383" t="s">
        <v>1293</v>
      </c>
      <c r="AW200" s="383" t="s">
        <v>1291</v>
      </c>
      <c r="AX200" s="383" t="s">
        <v>1294</v>
      </c>
      <c r="AY200" s="383" t="s">
        <v>1295</v>
      </c>
      <c r="AZ200" s="383" t="s">
        <v>1372</v>
      </c>
      <c r="BA200" s="383" t="s">
        <v>1373</v>
      </c>
      <c r="BB200" s="383" t="s">
        <v>1481</v>
      </c>
    </row>
    <row r="201" spans="1:54">
      <c r="A201" s="383" t="s">
        <v>612</v>
      </c>
      <c r="B201" s="539"/>
      <c r="C201" s="278" t="str">
        <f>IFERROR(VLOOKUP("D-SPA"&amp;3,お客様情報!$R$49:$U$53,4,FALSE),"")</f>
        <v/>
      </c>
      <c r="D201" s="278">
        <f>D$197</f>
        <v>1</v>
      </c>
      <c r="E201" s="278">
        <f>E$197</f>
        <v>1</v>
      </c>
      <c r="F201" s="278" t="str">
        <f>$F$197</f>
        <v/>
      </c>
      <c r="G201" s="278" t="str">
        <f>$G$197</f>
        <v/>
      </c>
      <c r="H201" s="314"/>
      <c r="I201" s="314"/>
      <c r="J201" s="556" t="str">
        <f>J$197</f>
        <v/>
      </c>
      <c r="K201" s="556" t="str">
        <f>K$197</f>
        <v/>
      </c>
      <c r="L201" s="314"/>
      <c r="M201" s="278" t="str">
        <f>$M$197</f>
        <v/>
      </c>
      <c r="N201" s="314"/>
      <c r="O201" s="314"/>
      <c r="P201" s="314"/>
      <c r="Q201" s="278" t="str">
        <f>$Q$197</f>
        <v/>
      </c>
      <c r="R201" s="278" t="str">
        <f>R$197</f>
        <v/>
      </c>
      <c r="S201" s="278" t="e">
        <f>$S$197</f>
        <v>#N/A</v>
      </c>
      <c r="T201" s="278" t="e">
        <f>$T$197</f>
        <v>#N/A</v>
      </c>
      <c r="U201" s="278"/>
      <c r="V201" s="278" t="str">
        <f>$V$197</f>
        <v/>
      </c>
      <c r="W201" s="286" t="str">
        <f>$W$197</f>
        <v/>
      </c>
      <c r="X201" s="278" t="str">
        <f>$X$197</f>
        <v/>
      </c>
      <c r="Y201" s="278" t="str">
        <f>Y$197</f>
        <v/>
      </c>
      <c r="Z201" s="314"/>
      <c r="AA201" s="314"/>
      <c r="AB201" s="314"/>
      <c r="AC201" s="314"/>
      <c r="AD201" s="314"/>
      <c r="AE201" s="314"/>
      <c r="AF201" s="314"/>
      <c r="AG201" s="314"/>
      <c r="AH201" s="314"/>
      <c r="AI201" s="314"/>
      <c r="AJ201" s="314"/>
      <c r="AK201" s="314"/>
      <c r="AL201" s="314"/>
      <c r="AM201" s="314"/>
      <c r="AN201" s="314"/>
      <c r="AO201" s="314"/>
      <c r="AP201" s="314"/>
      <c r="AQ201" s="314"/>
      <c r="AR201" s="314"/>
      <c r="AS201" s="314"/>
      <c r="AT201" s="314"/>
      <c r="AU201" s="314"/>
      <c r="AV201" s="314"/>
      <c r="AW201" s="314"/>
      <c r="AX201" s="314"/>
      <c r="AY201" s="314"/>
      <c r="AZ201" s="314"/>
      <c r="BA201" s="314"/>
      <c r="BB201" s="314"/>
    </row>
    <row r="202" spans="1:54">
      <c r="A202" s="383" t="s">
        <v>586</v>
      </c>
      <c r="B202" s="383" t="s">
        <v>634</v>
      </c>
      <c r="C202" s="383" t="s">
        <v>620</v>
      </c>
      <c r="D202" s="383" t="s">
        <v>621</v>
      </c>
      <c r="E202" s="383" t="s">
        <v>622</v>
      </c>
      <c r="F202" s="383" t="s">
        <v>614</v>
      </c>
      <c r="G202" s="383" t="s">
        <v>623</v>
      </c>
      <c r="H202" s="383" t="s">
        <v>624</v>
      </c>
      <c r="I202" s="383" t="s">
        <v>625</v>
      </c>
      <c r="J202" s="383" t="s">
        <v>626</v>
      </c>
      <c r="K202" s="383" t="s">
        <v>627</v>
      </c>
      <c r="L202" s="383" t="s">
        <v>628</v>
      </c>
      <c r="M202" s="383" t="s">
        <v>629</v>
      </c>
      <c r="N202" s="383" t="s">
        <v>630</v>
      </c>
      <c r="O202" s="383" t="s">
        <v>631</v>
      </c>
      <c r="P202" s="383" t="s">
        <v>632</v>
      </c>
      <c r="Q202" s="383" t="s">
        <v>633</v>
      </c>
      <c r="R202" s="383" t="s">
        <v>1116</v>
      </c>
      <c r="S202" s="383" t="s">
        <v>701</v>
      </c>
      <c r="T202" s="383" t="s">
        <v>702</v>
      </c>
      <c r="U202" s="383" t="s">
        <v>699</v>
      </c>
      <c r="V202" s="383" t="s">
        <v>700</v>
      </c>
      <c r="W202" s="383" t="s">
        <v>822</v>
      </c>
      <c r="X202" s="383" t="s">
        <v>880</v>
      </c>
      <c r="Y202" s="383" t="s">
        <v>1118</v>
      </c>
      <c r="Z202" s="383" t="s">
        <v>1124</v>
      </c>
      <c r="AA202" s="383" t="s">
        <v>1125</v>
      </c>
      <c r="AB202" s="383" t="s">
        <v>1126</v>
      </c>
      <c r="AC202" s="383" t="s">
        <v>1127</v>
      </c>
      <c r="AD202" s="383" t="s">
        <v>1128</v>
      </c>
      <c r="AE202" s="383" t="s">
        <v>737</v>
      </c>
      <c r="AF202" s="383" t="s">
        <v>741</v>
      </c>
      <c r="AG202" s="383" t="s">
        <v>745</v>
      </c>
      <c r="AH202" s="383" t="s">
        <v>746</v>
      </c>
      <c r="AI202" s="383" t="s">
        <v>748</v>
      </c>
      <c r="AJ202" s="383" t="s">
        <v>747</v>
      </c>
      <c r="AK202" s="383" t="s">
        <v>1096</v>
      </c>
      <c r="AL202" s="383" t="s">
        <v>1140</v>
      </c>
      <c r="AM202" s="383" t="s">
        <v>1141</v>
      </c>
      <c r="AN202" s="383" t="s">
        <v>1142</v>
      </c>
      <c r="AO202" s="383" t="s">
        <v>1143</v>
      </c>
      <c r="AP202" s="383" t="s">
        <v>1144</v>
      </c>
      <c r="AQ202" s="383" t="s">
        <v>1145</v>
      </c>
      <c r="AR202" s="383" t="s">
        <v>1146</v>
      </c>
      <c r="AS202" s="383" t="s">
        <v>1147</v>
      </c>
      <c r="AT202" s="383" t="s">
        <v>1176</v>
      </c>
      <c r="AU202" s="383" t="s">
        <v>1247</v>
      </c>
      <c r="AV202" s="383" t="s">
        <v>1293</v>
      </c>
      <c r="AW202" s="383" t="s">
        <v>1291</v>
      </c>
      <c r="AX202" s="383" t="s">
        <v>1294</v>
      </c>
      <c r="AY202" s="383" t="s">
        <v>1295</v>
      </c>
      <c r="AZ202" s="383" t="s">
        <v>1372</v>
      </c>
      <c r="BA202" s="383" t="s">
        <v>1373</v>
      </c>
      <c r="BB202" s="383" t="s">
        <v>1481</v>
      </c>
    </row>
    <row r="203" spans="1:54">
      <c r="A203" s="383" t="s">
        <v>612</v>
      </c>
      <c r="B203" s="539"/>
      <c r="C203" s="278" t="str">
        <f>IFERROR(VLOOKUP("D-SPA"&amp;4,お客様情報!$R$49:$U$53,4,FALSE),"")</f>
        <v/>
      </c>
      <c r="D203" s="278">
        <f>D$197</f>
        <v>1</v>
      </c>
      <c r="E203" s="278">
        <f>E$197</f>
        <v>1</v>
      </c>
      <c r="F203" s="278" t="str">
        <f>$F$197</f>
        <v/>
      </c>
      <c r="G203" s="278" t="str">
        <f>$G$197</f>
        <v/>
      </c>
      <c r="H203" s="314"/>
      <c r="I203" s="314"/>
      <c r="J203" s="556" t="str">
        <f>J$197</f>
        <v/>
      </c>
      <c r="K203" s="556" t="str">
        <f>K$197</f>
        <v/>
      </c>
      <c r="L203" s="314"/>
      <c r="M203" s="278" t="str">
        <f>$M$197</f>
        <v/>
      </c>
      <c r="N203" s="314"/>
      <c r="O203" s="314"/>
      <c r="P203" s="314"/>
      <c r="Q203" s="278" t="str">
        <f>$Q$197</f>
        <v/>
      </c>
      <c r="R203" s="278" t="str">
        <f>R$197</f>
        <v/>
      </c>
      <c r="S203" s="278" t="e">
        <f>$S$197</f>
        <v>#N/A</v>
      </c>
      <c r="T203" s="278" t="e">
        <f>$T$197</f>
        <v>#N/A</v>
      </c>
      <c r="U203" s="278"/>
      <c r="V203" s="278" t="str">
        <f>$V$197</f>
        <v/>
      </c>
      <c r="W203" s="286" t="str">
        <f>$W$197</f>
        <v/>
      </c>
      <c r="X203" s="278" t="str">
        <f>$X$197</f>
        <v/>
      </c>
      <c r="Y203" s="278" t="str">
        <f>Y$197</f>
        <v/>
      </c>
      <c r="Z203" s="314"/>
      <c r="AA203" s="314"/>
      <c r="AB203" s="314"/>
      <c r="AC203" s="314"/>
      <c r="AD203" s="314"/>
      <c r="AE203" s="314"/>
      <c r="AF203" s="314"/>
      <c r="AG203" s="314"/>
      <c r="AH203" s="314"/>
      <c r="AI203" s="314"/>
      <c r="AJ203" s="314"/>
      <c r="AK203" s="314"/>
      <c r="AL203" s="314"/>
      <c r="AM203" s="314"/>
      <c r="AN203" s="314"/>
      <c r="AO203" s="314"/>
      <c r="AP203" s="314"/>
      <c r="AQ203" s="314"/>
      <c r="AR203" s="314"/>
      <c r="AS203" s="314"/>
      <c r="AT203" s="314"/>
      <c r="AU203" s="314"/>
      <c r="AV203" s="314"/>
      <c r="AW203" s="314"/>
      <c r="AX203" s="314"/>
      <c r="AY203" s="314"/>
      <c r="AZ203" s="314"/>
      <c r="BA203" s="314"/>
      <c r="BB203" s="314"/>
    </row>
    <row r="204" spans="1:54">
      <c r="A204" s="383" t="s">
        <v>586</v>
      </c>
      <c r="B204" s="383" t="s">
        <v>634</v>
      </c>
      <c r="C204" s="383" t="s">
        <v>620</v>
      </c>
      <c r="D204" s="383" t="s">
        <v>621</v>
      </c>
      <c r="E204" s="383" t="s">
        <v>622</v>
      </c>
      <c r="F204" s="383" t="s">
        <v>614</v>
      </c>
      <c r="G204" s="383" t="s">
        <v>623</v>
      </c>
      <c r="H204" s="383" t="s">
        <v>624</v>
      </c>
      <c r="I204" s="383" t="s">
        <v>625</v>
      </c>
      <c r="J204" s="383" t="s">
        <v>626</v>
      </c>
      <c r="K204" s="383" t="s">
        <v>627</v>
      </c>
      <c r="L204" s="383" t="s">
        <v>628</v>
      </c>
      <c r="M204" s="383" t="s">
        <v>629</v>
      </c>
      <c r="N204" s="383" t="s">
        <v>630</v>
      </c>
      <c r="O204" s="383" t="s">
        <v>631</v>
      </c>
      <c r="P204" s="383" t="s">
        <v>632</v>
      </c>
      <c r="Q204" s="383" t="s">
        <v>633</v>
      </c>
      <c r="R204" s="383" t="s">
        <v>1116</v>
      </c>
      <c r="S204" s="383" t="s">
        <v>701</v>
      </c>
      <c r="T204" s="383" t="s">
        <v>702</v>
      </c>
      <c r="U204" s="383" t="s">
        <v>699</v>
      </c>
      <c r="V204" s="383" t="s">
        <v>700</v>
      </c>
      <c r="W204" s="383" t="s">
        <v>822</v>
      </c>
      <c r="X204" s="383" t="s">
        <v>880</v>
      </c>
      <c r="Y204" s="383" t="s">
        <v>1118</v>
      </c>
      <c r="Z204" s="383" t="s">
        <v>1124</v>
      </c>
      <c r="AA204" s="383" t="s">
        <v>1125</v>
      </c>
      <c r="AB204" s="383" t="s">
        <v>1126</v>
      </c>
      <c r="AC204" s="383" t="s">
        <v>1127</v>
      </c>
      <c r="AD204" s="383" t="s">
        <v>1128</v>
      </c>
      <c r="AE204" s="383" t="s">
        <v>737</v>
      </c>
      <c r="AF204" s="383" t="s">
        <v>741</v>
      </c>
      <c r="AG204" s="383" t="s">
        <v>745</v>
      </c>
      <c r="AH204" s="383" t="s">
        <v>746</v>
      </c>
      <c r="AI204" s="383" t="s">
        <v>748</v>
      </c>
      <c r="AJ204" s="383" t="s">
        <v>747</v>
      </c>
      <c r="AK204" s="383" t="s">
        <v>1096</v>
      </c>
      <c r="AL204" s="383" t="s">
        <v>1140</v>
      </c>
      <c r="AM204" s="383" t="s">
        <v>1141</v>
      </c>
      <c r="AN204" s="383" t="s">
        <v>1142</v>
      </c>
      <c r="AO204" s="383" t="s">
        <v>1143</v>
      </c>
      <c r="AP204" s="383" t="s">
        <v>1144</v>
      </c>
      <c r="AQ204" s="383" t="s">
        <v>1145</v>
      </c>
      <c r="AR204" s="383" t="s">
        <v>1146</v>
      </c>
      <c r="AS204" s="383" t="s">
        <v>1147</v>
      </c>
      <c r="AT204" s="383" t="s">
        <v>1176</v>
      </c>
      <c r="AU204" s="383" t="s">
        <v>1247</v>
      </c>
      <c r="AV204" s="383" t="s">
        <v>1293</v>
      </c>
      <c r="AW204" s="383" t="s">
        <v>1291</v>
      </c>
      <c r="AX204" s="383" t="s">
        <v>1294</v>
      </c>
      <c r="AY204" s="383" t="s">
        <v>1295</v>
      </c>
      <c r="AZ204" s="383" t="s">
        <v>1372</v>
      </c>
      <c r="BA204" s="383" t="s">
        <v>1373</v>
      </c>
      <c r="BB204" s="383" t="s">
        <v>1481</v>
      </c>
    </row>
    <row r="205" spans="1:54">
      <c r="A205" s="383" t="s">
        <v>612</v>
      </c>
      <c r="B205" s="539"/>
      <c r="C205" s="278" t="str">
        <f>IFERROR(VLOOKUP("D-SPA"&amp;5,お客様情報!$R$49:$U$53,4,FALSE),"")</f>
        <v/>
      </c>
      <c r="D205" s="278">
        <f>D$197</f>
        <v>1</v>
      </c>
      <c r="E205" s="278">
        <f>E$197</f>
        <v>1</v>
      </c>
      <c r="F205" s="278" t="str">
        <f>$F$197</f>
        <v/>
      </c>
      <c r="G205" s="278" t="str">
        <f>$G$197</f>
        <v/>
      </c>
      <c r="H205" s="314"/>
      <c r="I205" s="314"/>
      <c r="J205" s="556" t="str">
        <f>J$197</f>
        <v/>
      </c>
      <c r="K205" s="556" t="str">
        <f>K$197</f>
        <v/>
      </c>
      <c r="L205" s="314"/>
      <c r="M205" s="278" t="str">
        <f>$M$197</f>
        <v/>
      </c>
      <c r="N205" s="314"/>
      <c r="O205" s="314"/>
      <c r="P205" s="314"/>
      <c r="Q205" s="278" t="str">
        <f>$Q$197</f>
        <v/>
      </c>
      <c r="R205" s="278" t="str">
        <f>R$197</f>
        <v/>
      </c>
      <c r="S205" s="278" t="e">
        <f>$S$197</f>
        <v>#N/A</v>
      </c>
      <c r="T205" s="278" t="e">
        <f>$T$197</f>
        <v>#N/A</v>
      </c>
      <c r="U205" s="278"/>
      <c r="V205" s="278" t="str">
        <f>$V$197</f>
        <v/>
      </c>
      <c r="W205" s="286" t="str">
        <f>$W$197</f>
        <v/>
      </c>
      <c r="X205" s="278" t="str">
        <f>$X$197</f>
        <v/>
      </c>
      <c r="Y205" s="278" t="str">
        <f>Y$197</f>
        <v/>
      </c>
      <c r="Z205" s="314"/>
      <c r="AA205" s="314"/>
      <c r="AB205" s="314"/>
      <c r="AC205" s="314"/>
      <c r="AD205" s="314"/>
      <c r="AE205" s="314"/>
      <c r="AF205" s="314"/>
      <c r="AG205" s="314"/>
      <c r="AH205" s="314"/>
      <c r="AI205" s="314"/>
      <c r="AJ205" s="314"/>
      <c r="AK205" s="314"/>
      <c r="AL205" s="314"/>
      <c r="AM205" s="314"/>
      <c r="AN205" s="314"/>
      <c r="AO205" s="314"/>
      <c r="AP205" s="314"/>
      <c r="AQ205" s="314"/>
      <c r="AR205" s="314"/>
      <c r="AS205" s="314"/>
      <c r="AT205" s="314"/>
      <c r="AU205" s="314"/>
      <c r="AV205" s="314"/>
      <c r="AW205" s="314"/>
      <c r="AX205" s="314"/>
      <c r="AY205" s="314"/>
      <c r="AZ205" s="314"/>
      <c r="BA205" s="314"/>
      <c r="BB205" s="314"/>
    </row>
    <row r="206" spans="1:54">
      <c r="A206" s="384" t="s">
        <v>586</v>
      </c>
      <c r="B206" s="384" t="s">
        <v>634</v>
      </c>
      <c r="C206" s="384" t="s">
        <v>620</v>
      </c>
      <c r="D206" s="384" t="s">
        <v>621</v>
      </c>
      <c r="E206" s="384" t="s">
        <v>622</v>
      </c>
      <c r="F206" s="384" t="s">
        <v>614</v>
      </c>
      <c r="G206" s="384" t="s">
        <v>623</v>
      </c>
      <c r="H206" s="384" t="s">
        <v>624</v>
      </c>
      <c r="I206" s="384" t="s">
        <v>625</v>
      </c>
      <c r="J206" s="384" t="s">
        <v>626</v>
      </c>
      <c r="K206" s="384" t="s">
        <v>627</v>
      </c>
      <c r="L206" s="384" t="s">
        <v>628</v>
      </c>
      <c r="M206" s="384" t="s">
        <v>629</v>
      </c>
      <c r="N206" s="384" t="s">
        <v>630</v>
      </c>
      <c r="O206" s="384" t="s">
        <v>631</v>
      </c>
      <c r="P206" s="384" t="s">
        <v>632</v>
      </c>
      <c r="Q206" s="384" t="s">
        <v>633</v>
      </c>
      <c r="R206" s="384" t="s">
        <v>1116</v>
      </c>
      <c r="S206" s="384" t="s">
        <v>701</v>
      </c>
      <c r="T206" s="384" t="s">
        <v>702</v>
      </c>
      <c r="U206" s="384" t="s">
        <v>699</v>
      </c>
      <c r="V206" s="384" t="s">
        <v>700</v>
      </c>
      <c r="W206" s="384" t="s">
        <v>822</v>
      </c>
      <c r="X206" s="384" t="s">
        <v>880</v>
      </c>
      <c r="Y206" s="384" t="s">
        <v>1118</v>
      </c>
      <c r="Z206" s="384" t="s">
        <v>1124</v>
      </c>
      <c r="AA206" s="384" t="s">
        <v>1125</v>
      </c>
      <c r="AB206" s="384" t="s">
        <v>1126</v>
      </c>
      <c r="AC206" s="384" t="s">
        <v>1127</v>
      </c>
      <c r="AD206" s="384" t="s">
        <v>1128</v>
      </c>
      <c r="AE206" s="384" t="s">
        <v>737</v>
      </c>
      <c r="AF206" s="384" t="s">
        <v>741</v>
      </c>
      <c r="AG206" s="384" t="s">
        <v>745</v>
      </c>
      <c r="AH206" s="384" t="s">
        <v>746</v>
      </c>
      <c r="AI206" s="384" t="s">
        <v>748</v>
      </c>
      <c r="AJ206" s="384" t="s">
        <v>747</v>
      </c>
      <c r="AK206" s="384" t="s">
        <v>1096</v>
      </c>
      <c r="AL206" s="384" t="s">
        <v>1140</v>
      </c>
      <c r="AM206" s="384" t="s">
        <v>1141</v>
      </c>
      <c r="AN206" s="384" t="s">
        <v>1142</v>
      </c>
      <c r="AO206" s="384" t="s">
        <v>1143</v>
      </c>
      <c r="AP206" s="384" t="s">
        <v>1144</v>
      </c>
      <c r="AQ206" s="384" t="s">
        <v>1145</v>
      </c>
      <c r="AR206" s="384" t="s">
        <v>1146</v>
      </c>
      <c r="AS206" s="384" t="s">
        <v>1147</v>
      </c>
      <c r="AT206" s="384" t="s">
        <v>1176</v>
      </c>
      <c r="AU206" s="384" t="s">
        <v>1247</v>
      </c>
      <c r="AV206" s="384" t="s">
        <v>1293</v>
      </c>
      <c r="AW206" s="384" t="s">
        <v>1291</v>
      </c>
      <c r="AX206" s="384" t="s">
        <v>1294</v>
      </c>
      <c r="AY206" s="384" t="s">
        <v>1295</v>
      </c>
      <c r="AZ206" s="384" t="s">
        <v>1372</v>
      </c>
      <c r="BA206" s="384" t="s">
        <v>1373</v>
      </c>
      <c r="BB206" s="384" t="s">
        <v>1481</v>
      </c>
    </row>
    <row r="207" spans="1:54">
      <c r="A207" s="384" t="s">
        <v>612</v>
      </c>
      <c r="B207" s="539"/>
      <c r="C207" s="278" t="str">
        <f>IFERROR(VLOOKUP("D-SPA"&amp;1,お客様情報!$R$49:$U$53,4,FALSE),"")</f>
        <v/>
      </c>
      <c r="D207" s="278">
        <v>1</v>
      </c>
      <c r="E207" s="278">
        <v>1</v>
      </c>
      <c r="F207" s="278" t="str">
        <f>IF(代ホ_入力フォームDSPA!$AG$107="初年度",TEXT(中間データDSPA!$G$9,"YYYY-MM-DD"),"")</f>
        <v/>
      </c>
      <c r="G207" s="278" t="str">
        <f>LEFT(代ホ_入力フォームDSPA!$BJ$107,1)</f>
        <v/>
      </c>
      <c r="H207" s="314"/>
      <c r="I207" s="314"/>
      <c r="J207" s="556" t="str">
        <f>IF(代ホ_入力フォームDSPA!BA164="はい/お客様アドレス",代ホ_入力フォームDSPA!AG40,"")</f>
        <v/>
      </c>
      <c r="K207" s="556" t="str">
        <f>IF(代ホ_入力フォームDSPA!BA164="はい/通知先記入",代ホ_入力フォームDSPA!BT164,"")</f>
        <v/>
      </c>
      <c r="L207" s="314"/>
      <c r="M207" s="278" t="str">
        <f>IF(代ホ_入力フォームDSPA!$AL$111&lt;&gt;"",代ホ_入力フォームDSPA!$AL$111,"")</f>
        <v/>
      </c>
      <c r="N207" s="314"/>
      <c r="O207" s="314"/>
      <c r="P207" s="314"/>
      <c r="Q207" s="278" t="str">
        <f>IF(代ホ_入力フォームDSPA!$R$130="A表に同じ",代ホ_入力フォームDSPA!$M$33&amp;代ホ_入力フォームDSPA!$AD$33&amp;代ホ_入力フォームDSPA!$AU$33&amp;代ホ_入力フォームDSPA!$M$35&amp;代ホ_入力フォームDSPA!$AM$35&amp;"（"&amp;お客様情報!M8&amp;"内）",IF(代ホ_入力フォームDSPA!$R$130="A表と異なる",代ホ_入力フォームDSPA!$BI$130&amp;代ホ_入力フォームDSPA!$BN$130&amp;代ホ_入力フォームDSPA!$BS$130&amp;代ホ_入力フォームDSPA!$CA$130&amp;代ホ_入力フォームDSPA!$CM$130&amp;"（"&amp;代ホ_入力フォームDSPA!Z130&amp;"内）",""))</f>
        <v/>
      </c>
      <c r="R207" s="278" t="str">
        <f>IF(ISBLANK(代ホ_入力フォームDSPA!L107),"",IF(代ホ_入力フォームDSPA!W111="コールドスタンバイ",代ホ_入力フォームDSPA!L107&amp;" (コールドスタンバイ)",代ホ_入力フォームDSPA!L107))</f>
        <v/>
      </c>
      <c r="S207" s="278" t="e">
        <f>IF(お客様情報!$N$64="","",お客様情報!$N$64)</f>
        <v>#N/A</v>
      </c>
      <c r="T207" s="278" t="e">
        <f>IF(お客様情報!$N$65="","",お客様情報!$N$65)</f>
        <v>#N/A</v>
      </c>
      <c r="U207" s="278"/>
      <c r="V207" s="278" t="str">
        <f>IF(OR(代ホ_入力フォームDSPA!AE92="",代ホ_入力フォームDSPA!AE92="なし"),"",IF(COUNTIF(代ホ_入力フォームDSPA!AE92,"*倍量*")&gt;0,"HDD拡充倍量オプション","HDD拡充オプション"))</f>
        <v/>
      </c>
      <c r="W207" s="278" t="str">
        <f>IF(OR(代ホ_入力フォームDSPA!BM92="",代ホ_入力フォームDSPA!BM92="なし"),"","追加ﾈｯﾄﾜｰｸ・ｲﾝﾀｰﾌｪｰｽ・ｵﾌﾟｼｮﾝ")</f>
        <v/>
      </c>
      <c r="X207" s="278" t="str">
        <f>IF(OR(代ホ_入力フォームDSPA!CD92="",代ホ_入力フォームDSPA!CD92="なし"),"","電源冗長化オプション")</f>
        <v/>
      </c>
      <c r="Y207" s="278" t="str">
        <f>IF(OR(代ホ_入力フォームDSPA!CU92="",代ホ_入力フォームDSPA!CU92="なし"),"",VLOOKUP(代ホ_入力フォームDSPA!CU92,中間データDSPA!$B$93:$C$97,2,FALSE))</f>
        <v/>
      </c>
      <c r="Z207" s="314"/>
      <c r="AA207" s="314"/>
      <c r="AB207" s="314"/>
      <c r="AC207" s="314"/>
      <c r="AD207" s="314"/>
      <c r="AE207" s="314"/>
      <c r="AF207" s="314"/>
      <c r="AG207" s="314"/>
      <c r="AH207" s="314"/>
      <c r="AI207" s="314"/>
      <c r="AJ207" s="314"/>
      <c r="AK207" s="314"/>
      <c r="AL207" s="314"/>
      <c r="AM207" s="314"/>
      <c r="AN207" s="314"/>
      <c r="AO207" s="314"/>
      <c r="AP207" s="314"/>
      <c r="AQ207" s="314"/>
      <c r="AR207" s="314"/>
      <c r="AS207" s="314"/>
      <c r="AT207" s="314"/>
      <c r="AU207" s="314"/>
      <c r="AV207" s="314"/>
      <c r="AW207" s="314"/>
      <c r="AX207" s="314"/>
      <c r="AY207" s="314"/>
      <c r="AZ207" s="314"/>
      <c r="BA207" s="314"/>
      <c r="BB207" s="314"/>
    </row>
    <row r="208" spans="1:54">
      <c r="A208" s="384" t="s">
        <v>586</v>
      </c>
      <c r="B208" s="384" t="s">
        <v>634</v>
      </c>
      <c r="C208" s="384" t="s">
        <v>620</v>
      </c>
      <c r="D208" s="384" t="s">
        <v>621</v>
      </c>
      <c r="E208" s="384" t="s">
        <v>622</v>
      </c>
      <c r="F208" s="384" t="s">
        <v>614</v>
      </c>
      <c r="G208" s="384" t="s">
        <v>623</v>
      </c>
      <c r="H208" s="384" t="s">
        <v>624</v>
      </c>
      <c r="I208" s="384" t="s">
        <v>625</v>
      </c>
      <c r="J208" s="384" t="s">
        <v>626</v>
      </c>
      <c r="K208" s="384" t="s">
        <v>627</v>
      </c>
      <c r="L208" s="384" t="s">
        <v>628</v>
      </c>
      <c r="M208" s="384" t="s">
        <v>629</v>
      </c>
      <c r="N208" s="384" t="s">
        <v>630</v>
      </c>
      <c r="O208" s="384" t="s">
        <v>631</v>
      </c>
      <c r="P208" s="384" t="s">
        <v>632</v>
      </c>
      <c r="Q208" s="384" t="s">
        <v>633</v>
      </c>
      <c r="R208" s="384" t="s">
        <v>1116</v>
      </c>
      <c r="S208" s="384" t="s">
        <v>701</v>
      </c>
      <c r="T208" s="384" t="s">
        <v>702</v>
      </c>
      <c r="U208" s="384" t="s">
        <v>699</v>
      </c>
      <c r="V208" s="384" t="s">
        <v>700</v>
      </c>
      <c r="W208" s="384" t="s">
        <v>822</v>
      </c>
      <c r="X208" s="384" t="s">
        <v>880</v>
      </c>
      <c r="Y208" s="384" t="s">
        <v>1118</v>
      </c>
      <c r="Z208" s="384" t="s">
        <v>1124</v>
      </c>
      <c r="AA208" s="384" t="s">
        <v>1125</v>
      </c>
      <c r="AB208" s="384" t="s">
        <v>1126</v>
      </c>
      <c r="AC208" s="384" t="s">
        <v>1127</v>
      </c>
      <c r="AD208" s="384" t="s">
        <v>1128</v>
      </c>
      <c r="AE208" s="384" t="s">
        <v>737</v>
      </c>
      <c r="AF208" s="384" t="s">
        <v>741</v>
      </c>
      <c r="AG208" s="384" t="s">
        <v>745</v>
      </c>
      <c r="AH208" s="384" t="s">
        <v>746</v>
      </c>
      <c r="AI208" s="384" t="s">
        <v>748</v>
      </c>
      <c r="AJ208" s="384" t="s">
        <v>747</v>
      </c>
      <c r="AK208" s="384" t="s">
        <v>1096</v>
      </c>
      <c r="AL208" s="384" t="s">
        <v>1140</v>
      </c>
      <c r="AM208" s="384" t="s">
        <v>1141</v>
      </c>
      <c r="AN208" s="384" t="s">
        <v>1142</v>
      </c>
      <c r="AO208" s="384" t="s">
        <v>1143</v>
      </c>
      <c r="AP208" s="384" t="s">
        <v>1144</v>
      </c>
      <c r="AQ208" s="384" t="s">
        <v>1145</v>
      </c>
      <c r="AR208" s="384" t="s">
        <v>1146</v>
      </c>
      <c r="AS208" s="384" t="s">
        <v>1147</v>
      </c>
      <c r="AT208" s="384" t="s">
        <v>1176</v>
      </c>
      <c r="AU208" s="384" t="s">
        <v>1247</v>
      </c>
      <c r="AV208" s="384" t="s">
        <v>1293</v>
      </c>
      <c r="AW208" s="384" t="s">
        <v>1291</v>
      </c>
      <c r="AX208" s="384" t="s">
        <v>1294</v>
      </c>
      <c r="AY208" s="384" t="s">
        <v>1295</v>
      </c>
      <c r="AZ208" s="384" t="s">
        <v>1372</v>
      </c>
      <c r="BA208" s="384" t="s">
        <v>1373</v>
      </c>
      <c r="BB208" s="384" t="s">
        <v>1481</v>
      </c>
    </row>
    <row r="209" spans="1:54">
      <c r="A209" s="384" t="s">
        <v>612</v>
      </c>
      <c r="B209" s="539"/>
      <c r="C209" s="278" t="str">
        <f>IFERROR(VLOOKUP("D-SPA"&amp;2,お客様情報!$R$49:$U$53,4,FALSE),"")</f>
        <v/>
      </c>
      <c r="D209" s="278">
        <f>D$207</f>
        <v>1</v>
      </c>
      <c r="E209" s="278">
        <f>E$207</f>
        <v>1</v>
      </c>
      <c r="F209" s="278" t="str">
        <f>$F$207</f>
        <v/>
      </c>
      <c r="G209" s="278" t="str">
        <f>$G$207</f>
        <v/>
      </c>
      <c r="H209" s="314"/>
      <c r="I209" s="314"/>
      <c r="J209" s="556" t="str">
        <f>J$207</f>
        <v/>
      </c>
      <c r="K209" s="556" t="str">
        <f>K$207</f>
        <v/>
      </c>
      <c r="L209" s="314"/>
      <c r="M209" s="278" t="str">
        <f>$M$207</f>
        <v/>
      </c>
      <c r="N209" s="314"/>
      <c r="O209" s="314"/>
      <c r="P209" s="314"/>
      <c r="Q209" s="278" t="str">
        <f>$Q$207</f>
        <v/>
      </c>
      <c r="R209" s="278" t="str">
        <f>R$207</f>
        <v/>
      </c>
      <c r="S209" s="278" t="e">
        <f>$S$207</f>
        <v>#N/A</v>
      </c>
      <c r="T209" s="278" t="e">
        <f>$T$207</f>
        <v>#N/A</v>
      </c>
      <c r="U209" s="278"/>
      <c r="V209" s="278" t="str">
        <f>$V$207</f>
        <v/>
      </c>
      <c r="W209" s="286" t="str">
        <f>W$207</f>
        <v/>
      </c>
      <c r="X209" s="278" t="str">
        <f>$X$207</f>
        <v/>
      </c>
      <c r="Y209" s="278" t="str">
        <f>Y$207</f>
        <v/>
      </c>
      <c r="Z209" s="314"/>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4"/>
      <c r="AV209" s="314"/>
      <c r="AW209" s="314"/>
      <c r="AX209" s="314"/>
      <c r="AY209" s="314"/>
      <c r="AZ209" s="314"/>
      <c r="BA209" s="314"/>
      <c r="BB209" s="314"/>
    </row>
    <row r="210" spans="1:54">
      <c r="A210" s="384" t="s">
        <v>586</v>
      </c>
      <c r="B210" s="384" t="s">
        <v>634</v>
      </c>
      <c r="C210" s="384" t="s">
        <v>946</v>
      </c>
      <c r="D210" s="384" t="s">
        <v>621</v>
      </c>
      <c r="E210" s="384" t="s">
        <v>622</v>
      </c>
      <c r="F210" s="384" t="s">
        <v>614</v>
      </c>
      <c r="G210" s="384" t="s">
        <v>623</v>
      </c>
      <c r="H210" s="384" t="s">
        <v>624</v>
      </c>
      <c r="I210" s="384" t="s">
        <v>625</v>
      </c>
      <c r="J210" s="384" t="s">
        <v>626</v>
      </c>
      <c r="K210" s="384" t="s">
        <v>627</v>
      </c>
      <c r="L210" s="384" t="s">
        <v>628</v>
      </c>
      <c r="M210" s="384" t="s">
        <v>629</v>
      </c>
      <c r="N210" s="384" t="s">
        <v>630</v>
      </c>
      <c r="O210" s="384" t="s">
        <v>631</v>
      </c>
      <c r="P210" s="384" t="s">
        <v>632</v>
      </c>
      <c r="Q210" s="384" t="s">
        <v>633</v>
      </c>
      <c r="R210" s="384" t="s">
        <v>1116</v>
      </c>
      <c r="S210" s="384" t="s">
        <v>701</v>
      </c>
      <c r="T210" s="384" t="s">
        <v>702</v>
      </c>
      <c r="U210" s="384" t="s">
        <v>699</v>
      </c>
      <c r="V210" s="384" t="s">
        <v>700</v>
      </c>
      <c r="W210" s="384" t="s">
        <v>822</v>
      </c>
      <c r="X210" s="384" t="s">
        <v>880</v>
      </c>
      <c r="Y210" s="384" t="s">
        <v>1118</v>
      </c>
      <c r="Z210" s="384" t="s">
        <v>1124</v>
      </c>
      <c r="AA210" s="384" t="s">
        <v>1125</v>
      </c>
      <c r="AB210" s="384" t="s">
        <v>1126</v>
      </c>
      <c r="AC210" s="384" t="s">
        <v>1127</v>
      </c>
      <c r="AD210" s="384" t="s">
        <v>1128</v>
      </c>
      <c r="AE210" s="384" t="s">
        <v>737</v>
      </c>
      <c r="AF210" s="384" t="s">
        <v>741</v>
      </c>
      <c r="AG210" s="384" t="s">
        <v>745</v>
      </c>
      <c r="AH210" s="384" t="s">
        <v>746</v>
      </c>
      <c r="AI210" s="384" t="s">
        <v>748</v>
      </c>
      <c r="AJ210" s="384" t="s">
        <v>747</v>
      </c>
      <c r="AK210" s="384" t="s">
        <v>1096</v>
      </c>
      <c r="AL210" s="384" t="s">
        <v>1140</v>
      </c>
      <c r="AM210" s="384" t="s">
        <v>1141</v>
      </c>
      <c r="AN210" s="384" t="s">
        <v>1142</v>
      </c>
      <c r="AO210" s="384" t="s">
        <v>1143</v>
      </c>
      <c r="AP210" s="384" t="s">
        <v>1144</v>
      </c>
      <c r="AQ210" s="384" t="s">
        <v>1145</v>
      </c>
      <c r="AR210" s="384" t="s">
        <v>1146</v>
      </c>
      <c r="AS210" s="384" t="s">
        <v>1147</v>
      </c>
      <c r="AT210" s="384" t="s">
        <v>1176</v>
      </c>
      <c r="AU210" s="384" t="s">
        <v>1247</v>
      </c>
      <c r="AV210" s="384" t="s">
        <v>1293</v>
      </c>
      <c r="AW210" s="384" t="s">
        <v>1291</v>
      </c>
      <c r="AX210" s="384" t="s">
        <v>1294</v>
      </c>
      <c r="AY210" s="384" t="s">
        <v>1295</v>
      </c>
      <c r="AZ210" s="384" t="s">
        <v>1372</v>
      </c>
      <c r="BA210" s="384" t="s">
        <v>1373</v>
      </c>
      <c r="BB210" s="384" t="s">
        <v>1481</v>
      </c>
    </row>
    <row r="211" spans="1:54">
      <c r="A211" s="384" t="s">
        <v>612</v>
      </c>
      <c r="B211" s="279" t="str">
        <f>IF(AND(お客様情報!$E$2="代ホ_DSPA",代ホ_入力フォームDSPA!$D$111&lt;&gt;"",COUNTIF(お客様情報!$R$49:$R$53,"D-SPA3")&gt;0),4,"")</f>
        <v/>
      </c>
      <c r="C211" s="278" t="str">
        <f>IFERROR(VLOOKUP("D-SPA"&amp;3,お客様情報!$R$49:$U$53,4,FALSE),"")</f>
        <v/>
      </c>
      <c r="D211" s="278">
        <f>D$207</f>
        <v>1</v>
      </c>
      <c r="E211" s="278">
        <f>E$207</f>
        <v>1</v>
      </c>
      <c r="F211" s="278" t="str">
        <f>$F$207</f>
        <v/>
      </c>
      <c r="G211" s="278" t="str">
        <f>$G$207</f>
        <v/>
      </c>
      <c r="H211" s="314"/>
      <c r="I211" s="314"/>
      <c r="J211" s="556" t="str">
        <f>J$207</f>
        <v/>
      </c>
      <c r="K211" s="556" t="str">
        <f>K$207</f>
        <v/>
      </c>
      <c r="L211" s="314"/>
      <c r="M211" s="278" t="str">
        <f>$M$207</f>
        <v/>
      </c>
      <c r="N211" s="314"/>
      <c r="O211" s="314"/>
      <c r="P211" s="314"/>
      <c r="Q211" s="278" t="str">
        <f>$Q$207</f>
        <v/>
      </c>
      <c r="R211" s="278" t="str">
        <f>R$207</f>
        <v/>
      </c>
      <c r="S211" s="278" t="e">
        <f>$S$207</f>
        <v>#N/A</v>
      </c>
      <c r="T211" s="278" t="e">
        <f>$T$207</f>
        <v>#N/A</v>
      </c>
      <c r="U211" s="278"/>
      <c r="V211" s="278" t="str">
        <f>$V$207</f>
        <v/>
      </c>
      <c r="W211" s="286" t="str">
        <f>W$207</f>
        <v/>
      </c>
      <c r="X211" s="278" t="str">
        <f>$X$207</f>
        <v/>
      </c>
      <c r="Y211" s="278" t="str">
        <f>Y$207</f>
        <v/>
      </c>
      <c r="Z211" s="314"/>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4"/>
      <c r="AV211" s="314"/>
      <c r="AW211" s="314"/>
      <c r="AX211" s="314"/>
      <c r="AY211" s="314"/>
      <c r="AZ211" s="314"/>
      <c r="BA211" s="314"/>
      <c r="BB211" s="314"/>
    </row>
    <row r="212" spans="1:54">
      <c r="A212" s="384" t="s">
        <v>586</v>
      </c>
      <c r="B212" s="384" t="s">
        <v>634</v>
      </c>
      <c r="C212" s="384" t="s">
        <v>620</v>
      </c>
      <c r="D212" s="384" t="s">
        <v>621</v>
      </c>
      <c r="E212" s="384" t="s">
        <v>622</v>
      </c>
      <c r="F212" s="384" t="s">
        <v>614</v>
      </c>
      <c r="G212" s="384" t="s">
        <v>623</v>
      </c>
      <c r="H212" s="384" t="s">
        <v>624</v>
      </c>
      <c r="I212" s="384" t="s">
        <v>625</v>
      </c>
      <c r="J212" s="384" t="s">
        <v>626</v>
      </c>
      <c r="K212" s="384" t="s">
        <v>627</v>
      </c>
      <c r="L212" s="384" t="s">
        <v>628</v>
      </c>
      <c r="M212" s="384" t="s">
        <v>629</v>
      </c>
      <c r="N212" s="384" t="s">
        <v>630</v>
      </c>
      <c r="O212" s="384" t="s">
        <v>631</v>
      </c>
      <c r="P212" s="384" t="s">
        <v>632</v>
      </c>
      <c r="Q212" s="384" t="s">
        <v>633</v>
      </c>
      <c r="R212" s="384" t="s">
        <v>1116</v>
      </c>
      <c r="S212" s="384" t="s">
        <v>701</v>
      </c>
      <c r="T212" s="384" t="s">
        <v>702</v>
      </c>
      <c r="U212" s="384" t="s">
        <v>699</v>
      </c>
      <c r="V212" s="384" t="s">
        <v>700</v>
      </c>
      <c r="W212" s="384" t="s">
        <v>822</v>
      </c>
      <c r="X212" s="384" t="s">
        <v>880</v>
      </c>
      <c r="Y212" s="384" t="s">
        <v>1118</v>
      </c>
      <c r="Z212" s="384" t="s">
        <v>1124</v>
      </c>
      <c r="AA212" s="384" t="s">
        <v>1125</v>
      </c>
      <c r="AB212" s="384" t="s">
        <v>1126</v>
      </c>
      <c r="AC212" s="384" t="s">
        <v>1127</v>
      </c>
      <c r="AD212" s="384" t="s">
        <v>1128</v>
      </c>
      <c r="AE212" s="384" t="s">
        <v>737</v>
      </c>
      <c r="AF212" s="384" t="s">
        <v>741</v>
      </c>
      <c r="AG212" s="384" t="s">
        <v>745</v>
      </c>
      <c r="AH212" s="384" t="s">
        <v>746</v>
      </c>
      <c r="AI212" s="384" t="s">
        <v>748</v>
      </c>
      <c r="AJ212" s="384" t="s">
        <v>747</v>
      </c>
      <c r="AK212" s="384" t="s">
        <v>1096</v>
      </c>
      <c r="AL212" s="384" t="s">
        <v>1140</v>
      </c>
      <c r="AM212" s="384" t="s">
        <v>1141</v>
      </c>
      <c r="AN212" s="384" t="s">
        <v>1142</v>
      </c>
      <c r="AO212" s="384" t="s">
        <v>1143</v>
      </c>
      <c r="AP212" s="384" t="s">
        <v>1144</v>
      </c>
      <c r="AQ212" s="384" t="s">
        <v>1145</v>
      </c>
      <c r="AR212" s="384" t="s">
        <v>1146</v>
      </c>
      <c r="AS212" s="384" t="s">
        <v>1147</v>
      </c>
      <c r="AT212" s="384" t="s">
        <v>1176</v>
      </c>
      <c r="AU212" s="384" t="s">
        <v>1247</v>
      </c>
      <c r="AV212" s="384" t="s">
        <v>1293</v>
      </c>
      <c r="AW212" s="384" t="s">
        <v>1291</v>
      </c>
      <c r="AX212" s="384" t="s">
        <v>1294</v>
      </c>
      <c r="AY212" s="384" t="s">
        <v>1295</v>
      </c>
      <c r="AZ212" s="384" t="s">
        <v>1372</v>
      </c>
      <c r="BA212" s="384" t="s">
        <v>1373</v>
      </c>
      <c r="BB212" s="384" t="s">
        <v>1481</v>
      </c>
    </row>
    <row r="213" spans="1:54">
      <c r="A213" s="384" t="s">
        <v>612</v>
      </c>
      <c r="B213" s="539"/>
      <c r="C213" s="278" t="str">
        <f>IFERROR(VLOOKUP("D-SPA"&amp;4,お客様情報!$R$49:$U$53,4,FALSE),"")</f>
        <v/>
      </c>
      <c r="D213" s="278">
        <f>D$207</f>
        <v>1</v>
      </c>
      <c r="E213" s="278">
        <f>E$207</f>
        <v>1</v>
      </c>
      <c r="F213" s="278" t="str">
        <f>$F$207</f>
        <v/>
      </c>
      <c r="G213" s="278" t="str">
        <f>$G$207</f>
        <v/>
      </c>
      <c r="H213" s="314"/>
      <c r="I213" s="314"/>
      <c r="J213" s="556" t="str">
        <f>J$207</f>
        <v/>
      </c>
      <c r="K213" s="556" t="str">
        <f>K$207</f>
        <v/>
      </c>
      <c r="L213" s="314"/>
      <c r="M213" s="278" t="str">
        <f>$M$207</f>
        <v/>
      </c>
      <c r="N213" s="314"/>
      <c r="O213" s="314"/>
      <c r="P213" s="314"/>
      <c r="Q213" s="278" t="str">
        <f>$Q$207</f>
        <v/>
      </c>
      <c r="R213" s="278" t="str">
        <f>R$207</f>
        <v/>
      </c>
      <c r="S213" s="278" t="e">
        <f>$S$207</f>
        <v>#N/A</v>
      </c>
      <c r="T213" s="278" t="e">
        <f>$T$207</f>
        <v>#N/A</v>
      </c>
      <c r="U213" s="278"/>
      <c r="V213" s="278" t="str">
        <f>$V$207</f>
        <v/>
      </c>
      <c r="W213" s="286" t="str">
        <f>W$207</f>
        <v/>
      </c>
      <c r="X213" s="278" t="str">
        <f>$X$207</f>
        <v/>
      </c>
      <c r="Y213" s="278" t="str">
        <f>Y$207</f>
        <v/>
      </c>
      <c r="Z213" s="314"/>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4"/>
      <c r="AV213" s="314"/>
      <c r="AW213" s="314"/>
      <c r="AX213" s="314"/>
      <c r="AY213" s="314"/>
      <c r="AZ213" s="314"/>
      <c r="BA213" s="314"/>
      <c r="BB213" s="314"/>
    </row>
    <row r="214" spans="1:54">
      <c r="A214" s="384" t="s">
        <v>586</v>
      </c>
      <c r="B214" s="384" t="s">
        <v>634</v>
      </c>
      <c r="C214" s="384" t="s">
        <v>620</v>
      </c>
      <c r="D214" s="384" t="s">
        <v>621</v>
      </c>
      <c r="E214" s="384" t="s">
        <v>622</v>
      </c>
      <c r="F214" s="384" t="s">
        <v>614</v>
      </c>
      <c r="G214" s="384" t="s">
        <v>623</v>
      </c>
      <c r="H214" s="384" t="s">
        <v>624</v>
      </c>
      <c r="I214" s="384" t="s">
        <v>625</v>
      </c>
      <c r="J214" s="384" t="s">
        <v>626</v>
      </c>
      <c r="K214" s="384" t="s">
        <v>627</v>
      </c>
      <c r="L214" s="384" t="s">
        <v>628</v>
      </c>
      <c r="M214" s="384" t="s">
        <v>629</v>
      </c>
      <c r="N214" s="384" t="s">
        <v>630</v>
      </c>
      <c r="O214" s="384" t="s">
        <v>631</v>
      </c>
      <c r="P214" s="384" t="s">
        <v>632</v>
      </c>
      <c r="Q214" s="384" t="s">
        <v>633</v>
      </c>
      <c r="R214" s="384" t="s">
        <v>1116</v>
      </c>
      <c r="S214" s="384" t="s">
        <v>701</v>
      </c>
      <c r="T214" s="384" t="s">
        <v>702</v>
      </c>
      <c r="U214" s="384" t="s">
        <v>699</v>
      </c>
      <c r="V214" s="384" t="s">
        <v>700</v>
      </c>
      <c r="W214" s="384" t="s">
        <v>822</v>
      </c>
      <c r="X214" s="384" t="s">
        <v>880</v>
      </c>
      <c r="Y214" s="384" t="s">
        <v>1118</v>
      </c>
      <c r="Z214" s="384" t="s">
        <v>1124</v>
      </c>
      <c r="AA214" s="384" t="s">
        <v>1125</v>
      </c>
      <c r="AB214" s="384" t="s">
        <v>1126</v>
      </c>
      <c r="AC214" s="384" t="s">
        <v>1127</v>
      </c>
      <c r="AD214" s="384" t="s">
        <v>1128</v>
      </c>
      <c r="AE214" s="384" t="s">
        <v>737</v>
      </c>
      <c r="AF214" s="384" t="s">
        <v>741</v>
      </c>
      <c r="AG214" s="384" t="s">
        <v>745</v>
      </c>
      <c r="AH214" s="384" t="s">
        <v>746</v>
      </c>
      <c r="AI214" s="384" t="s">
        <v>748</v>
      </c>
      <c r="AJ214" s="384" t="s">
        <v>747</v>
      </c>
      <c r="AK214" s="384" t="s">
        <v>1096</v>
      </c>
      <c r="AL214" s="384" t="s">
        <v>1140</v>
      </c>
      <c r="AM214" s="384" t="s">
        <v>1141</v>
      </c>
      <c r="AN214" s="384" t="s">
        <v>1142</v>
      </c>
      <c r="AO214" s="384" t="s">
        <v>1143</v>
      </c>
      <c r="AP214" s="384" t="s">
        <v>1144</v>
      </c>
      <c r="AQ214" s="384" t="s">
        <v>1145</v>
      </c>
      <c r="AR214" s="384" t="s">
        <v>1146</v>
      </c>
      <c r="AS214" s="384" t="s">
        <v>1147</v>
      </c>
      <c r="AT214" s="384" t="s">
        <v>1176</v>
      </c>
      <c r="AU214" s="384" t="s">
        <v>1247</v>
      </c>
      <c r="AV214" s="384" t="s">
        <v>1293</v>
      </c>
      <c r="AW214" s="384" t="s">
        <v>1291</v>
      </c>
      <c r="AX214" s="384" t="s">
        <v>1294</v>
      </c>
      <c r="AY214" s="384" t="s">
        <v>1295</v>
      </c>
      <c r="AZ214" s="384" t="s">
        <v>1372</v>
      </c>
      <c r="BA214" s="384" t="s">
        <v>1373</v>
      </c>
      <c r="BB214" s="384" t="s">
        <v>1481</v>
      </c>
    </row>
    <row r="215" spans="1:54">
      <c r="A215" s="384" t="s">
        <v>612</v>
      </c>
      <c r="B215" s="539"/>
      <c r="C215" s="278" t="str">
        <f>IFERROR(VLOOKUP("D-SPA"&amp;5,お客様情報!$R$49:$U$53,4,FALSE),"")</f>
        <v/>
      </c>
      <c r="D215" s="278">
        <f>D$207</f>
        <v>1</v>
      </c>
      <c r="E215" s="278">
        <f>E$207</f>
        <v>1</v>
      </c>
      <c r="F215" s="278" t="str">
        <f>$F$207</f>
        <v/>
      </c>
      <c r="G215" s="278" t="str">
        <f>$G$207</f>
        <v/>
      </c>
      <c r="H215" s="314"/>
      <c r="I215" s="314"/>
      <c r="J215" s="556" t="str">
        <f>J$207</f>
        <v/>
      </c>
      <c r="K215" s="556" t="str">
        <f>K$207</f>
        <v/>
      </c>
      <c r="L215" s="314"/>
      <c r="M215" s="278" t="str">
        <f>$M$207</f>
        <v/>
      </c>
      <c r="N215" s="314"/>
      <c r="O215" s="314"/>
      <c r="P215" s="314"/>
      <c r="Q215" s="278" t="str">
        <f>$Q$207</f>
        <v/>
      </c>
      <c r="R215" s="278" t="str">
        <f>R$207</f>
        <v/>
      </c>
      <c r="S215" s="278" t="e">
        <f>$S$207</f>
        <v>#N/A</v>
      </c>
      <c r="T215" s="278" t="e">
        <f>$T$207</f>
        <v>#N/A</v>
      </c>
      <c r="U215" s="278"/>
      <c r="V215" s="278" t="str">
        <f>$V$207</f>
        <v/>
      </c>
      <c r="W215" s="286" t="str">
        <f>W$207</f>
        <v/>
      </c>
      <c r="X215" s="278" t="str">
        <f>$X$207</f>
        <v/>
      </c>
      <c r="Y215" s="278" t="str">
        <f>Y$207</f>
        <v/>
      </c>
      <c r="Z215" s="314"/>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4"/>
      <c r="AV215" s="314"/>
      <c r="AW215" s="314"/>
      <c r="AX215" s="314"/>
      <c r="AY215" s="314"/>
      <c r="AZ215" s="314"/>
      <c r="BA215" s="314"/>
      <c r="BB215" s="314"/>
    </row>
    <row r="216" spans="1:54">
      <c r="A216" s="385" t="s">
        <v>586</v>
      </c>
      <c r="B216" s="385" t="s">
        <v>634</v>
      </c>
      <c r="C216" s="385" t="s">
        <v>620</v>
      </c>
      <c r="D216" s="385" t="s">
        <v>621</v>
      </c>
      <c r="E216" s="385" t="s">
        <v>622</v>
      </c>
      <c r="F216" s="385" t="s">
        <v>614</v>
      </c>
      <c r="G216" s="385" t="s">
        <v>623</v>
      </c>
      <c r="H216" s="385" t="s">
        <v>624</v>
      </c>
      <c r="I216" s="385" t="s">
        <v>625</v>
      </c>
      <c r="J216" s="385" t="s">
        <v>626</v>
      </c>
      <c r="K216" s="385" t="s">
        <v>627</v>
      </c>
      <c r="L216" s="385" t="s">
        <v>628</v>
      </c>
      <c r="M216" s="385" t="s">
        <v>629</v>
      </c>
      <c r="N216" s="385" t="s">
        <v>630</v>
      </c>
      <c r="O216" s="385" t="s">
        <v>631</v>
      </c>
      <c r="P216" s="385" t="s">
        <v>632</v>
      </c>
      <c r="Q216" s="385" t="s">
        <v>633</v>
      </c>
      <c r="R216" s="385" t="s">
        <v>1116</v>
      </c>
      <c r="S216" s="385" t="s">
        <v>701</v>
      </c>
      <c r="T216" s="385" t="s">
        <v>702</v>
      </c>
      <c r="U216" s="385" t="s">
        <v>699</v>
      </c>
      <c r="V216" s="385" t="s">
        <v>700</v>
      </c>
      <c r="W216" s="385" t="s">
        <v>822</v>
      </c>
      <c r="X216" s="385" t="s">
        <v>880</v>
      </c>
      <c r="Y216" s="385" t="s">
        <v>1118</v>
      </c>
      <c r="Z216" s="385" t="s">
        <v>1124</v>
      </c>
      <c r="AA216" s="385" t="s">
        <v>1125</v>
      </c>
      <c r="AB216" s="385" t="s">
        <v>1126</v>
      </c>
      <c r="AC216" s="385" t="s">
        <v>1127</v>
      </c>
      <c r="AD216" s="385" t="s">
        <v>1128</v>
      </c>
      <c r="AE216" s="385" t="s">
        <v>737</v>
      </c>
      <c r="AF216" s="385" t="s">
        <v>741</v>
      </c>
      <c r="AG216" s="385" t="s">
        <v>745</v>
      </c>
      <c r="AH216" s="385" t="s">
        <v>746</v>
      </c>
      <c r="AI216" s="385" t="s">
        <v>748</v>
      </c>
      <c r="AJ216" s="385" t="s">
        <v>747</v>
      </c>
      <c r="AK216" s="385" t="s">
        <v>1096</v>
      </c>
      <c r="AL216" s="385" t="s">
        <v>1140</v>
      </c>
      <c r="AM216" s="385" t="s">
        <v>1141</v>
      </c>
      <c r="AN216" s="385" t="s">
        <v>1142</v>
      </c>
      <c r="AO216" s="385" t="s">
        <v>1143</v>
      </c>
      <c r="AP216" s="385" t="s">
        <v>1144</v>
      </c>
      <c r="AQ216" s="385" t="s">
        <v>1145</v>
      </c>
      <c r="AR216" s="385" t="s">
        <v>1146</v>
      </c>
      <c r="AS216" s="385" t="s">
        <v>1147</v>
      </c>
      <c r="AT216" s="385" t="s">
        <v>1176</v>
      </c>
      <c r="AU216" s="385" t="s">
        <v>1247</v>
      </c>
      <c r="AV216" s="385" t="s">
        <v>1293</v>
      </c>
      <c r="AW216" s="385" t="s">
        <v>1291</v>
      </c>
      <c r="AX216" s="385" t="s">
        <v>1294</v>
      </c>
      <c r="AY216" s="385" t="s">
        <v>1295</v>
      </c>
      <c r="AZ216" s="385" t="s">
        <v>1372</v>
      </c>
      <c r="BA216" s="385" t="s">
        <v>1373</v>
      </c>
      <c r="BB216" s="385" t="s">
        <v>1481</v>
      </c>
    </row>
    <row r="217" spans="1:54">
      <c r="A217" s="385" t="s">
        <v>612</v>
      </c>
      <c r="B217" s="539"/>
      <c r="C217" s="278" t="str">
        <f>IFERROR(VLOOKUP("D-SPA"&amp;1,お客様情報!$R$49:$U$53,4,FALSE),"")</f>
        <v/>
      </c>
      <c r="D217" s="278">
        <v>1</v>
      </c>
      <c r="E217" s="278">
        <v>1</v>
      </c>
      <c r="F217" s="278" t="str">
        <f>IF(代ホ_入力フォームDSPA!$AG$107="初年度",TEXT(中間データDSPA!$G$9,"YYYY-MM-DD"),"")</f>
        <v/>
      </c>
      <c r="G217" s="278" t="str">
        <f>LEFT(代ホ_入力フォームDSPA!$BJ$107,1)</f>
        <v/>
      </c>
      <c r="H217" s="314"/>
      <c r="I217" s="314"/>
      <c r="J217" s="556" t="str">
        <f>IF(代ホ_入力フォームDSPA!BA164="はい/お客様アドレス",代ホ_入力フォームDSPA!AG40,"")</f>
        <v/>
      </c>
      <c r="K217" s="556" t="str">
        <f>IF(代ホ_入力フォームDSPA!BA164="はい/通知先記入",代ホ_入力フォームDSPA!BT164,"")</f>
        <v/>
      </c>
      <c r="L217" s="314"/>
      <c r="M217" s="278" t="str">
        <f>IF(代ホ_入力フォームDSPA!$AL$113&lt;&gt;"",代ホ_入力フォームDSPA!$AL$113,"")</f>
        <v/>
      </c>
      <c r="N217" s="314"/>
      <c r="O217" s="314"/>
      <c r="P217" s="314"/>
      <c r="Q217" s="278" t="str">
        <f>IF(代ホ_入力フォームDSPA!$R$132="A表に同じ",代ホ_入力フォームDSPA!$M$33&amp;代ホ_入力フォームDSPA!$AD$33&amp;代ホ_入力フォームDSPA!$AU$33&amp;代ホ_入力フォームDSPA!$M$35&amp;代ホ_入力フォームDSPA!$AM$35&amp;"（"&amp;お客様情報!M8&amp;"内）",IF(代ホ_入力フォームDSPA!$R$132="A表と異なる",代ホ_入力フォームDSPA!$BI$132&amp;代ホ_入力フォームDSPA!$BN$132&amp;代ホ_入力フォームDSPA!$BS$132&amp;代ホ_入力フォームDSPA!$CA$132&amp;代ホ_入力フォームDSPA!$CM$132&amp;"（"&amp;代ホ_入力フォームDSPA!Z132&amp;"内）",""))</f>
        <v/>
      </c>
      <c r="R217" s="278" t="str">
        <f>IF(ISBLANK(代ホ_入力フォームDSPA!L107),"",IF(代ホ_入力フォームDSPA!W113="コールドスタンバイ",代ホ_入力フォームDSPA!L107&amp;" (コールドスタンバイ)",代ホ_入力フォームDSPA!L107))</f>
        <v/>
      </c>
      <c r="S217" s="278" t="e">
        <f>IF(お客様情報!$N$64="","",お客様情報!$N$64)</f>
        <v>#N/A</v>
      </c>
      <c r="T217" s="278" t="e">
        <f>IF(お客様情報!$N$65="","",お客様情報!$N$65)</f>
        <v>#N/A</v>
      </c>
      <c r="U217" s="278"/>
      <c r="V217" s="278" t="str">
        <f>IF(OR(代ホ_入力フォームDSPA!AE94="",代ホ_入力フォームDSPA!AE94="なし"),"",IF(COUNTIF(代ホ_入力フォームDSPA!AE94,"*倍量*")&gt;0,"HDD拡充倍量オプション","HDD拡充オプション"))</f>
        <v/>
      </c>
      <c r="W217" s="278" t="str">
        <f>IF(OR(代ホ_入力フォームDSPA!BM94="",代ホ_入力フォームDSPA!BM94="なし"),"","追加ﾈｯﾄﾜｰｸ・ｲﾝﾀｰﾌｪｰｽ・ｵﾌﾟｼｮﾝ")</f>
        <v/>
      </c>
      <c r="X217" s="278" t="str">
        <f>IF(OR(代ホ_入力フォームDSPA!CD94="",代ホ_入力フォームDSPA!CD94="なし"),"","電源冗長化オプション")</f>
        <v/>
      </c>
      <c r="Y217" s="278" t="str">
        <f>IF(OR(代ホ_入力フォームDSPA!CU94="",代ホ_入力フォームDSPA!CU94="なし"),"",VLOOKUP(代ホ_入力フォームDSPA!CU94,中間データDSPA!$B$93:$C$97,2,FALSE))</f>
        <v/>
      </c>
      <c r="Z217" s="314"/>
      <c r="AA217" s="314"/>
      <c r="AB217" s="314"/>
      <c r="AC217" s="314"/>
      <c r="AD217" s="314"/>
      <c r="AE217" s="314"/>
      <c r="AF217" s="314"/>
      <c r="AG217" s="314"/>
      <c r="AH217" s="314"/>
      <c r="AI217" s="314"/>
      <c r="AJ217" s="314"/>
      <c r="AK217" s="314"/>
      <c r="AL217" s="314"/>
      <c r="AM217" s="314"/>
      <c r="AN217" s="314"/>
      <c r="AO217" s="314"/>
      <c r="AP217" s="314"/>
      <c r="AQ217" s="314"/>
      <c r="AR217" s="314"/>
      <c r="AS217" s="314"/>
      <c r="AT217" s="314"/>
      <c r="AU217" s="314"/>
      <c r="AV217" s="314"/>
      <c r="AW217" s="314"/>
      <c r="AX217" s="314"/>
      <c r="AY217" s="314"/>
      <c r="AZ217" s="314"/>
      <c r="BA217" s="314"/>
      <c r="BB217" s="314"/>
    </row>
    <row r="218" spans="1:54">
      <c r="A218" s="385" t="s">
        <v>586</v>
      </c>
      <c r="B218" s="385" t="s">
        <v>634</v>
      </c>
      <c r="C218" s="385" t="s">
        <v>620</v>
      </c>
      <c r="D218" s="385" t="s">
        <v>621</v>
      </c>
      <c r="E218" s="385" t="s">
        <v>622</v>
      </c>
      <c r="F218" s="385" t="s">
        <v>614</v>
      </c>
      <c r="G218" s="385" t="s">
        <v>623</v>
      </c>
      <c r="H218" s="385" t="s">
        <v>624</v>
      </c>
      <c r="I218" s="385" t="s">
        <v>625</v>
      </c>
      <c r="J218" s="385" t="s">
        <v>626</v>
      </c>
      <c r="K218" s="385" t="s">
        <v>627</v>
      </c>
      <c r="L218" s="385" t="s">
        <v>628</v>
      </c>
      <c r="M218" s="385" t="s">
        <v>629</v>
      </c>
      <c r="N218" s="385" t="s">
        <v>630</v>
      </c>
      <c r="O218" s="385" t="s">
        <v>631</v>
      </c>
      <c r="P218" s="385" t="s">
        <v>632</v>
      </c>
      <c r="Q218" s="385" t="s">
        <v>633</v>
      </c>
      <c r="R218" s="385" t="s">
        <v>1116</v>
      </c>
      <c r="S218" s="385" t="s">
        <v>701</v>
      </c>
      <c r="T218" s="385" t="s">
        <v>702</v>
      </c>
      <c r="U218" s="385" t="s">
        <v>699</v>
      </c>
      <c r="V218" s="385" t="s">
        <v>700</v>
      </c>
      <c r="W218" s="385" t="s">
        <v>822</v>
      </c>
      <c r="X218" s="385" t="s">
        <v>880</v>
      </c>
      <c r="Y218" s="385" t="s">
        <v>1118</v>
      </c>
      <c r="Z218" s="385" t="s">
        <v>1124</v>
      </c>
      <c r="AA218" s="385" t="s">
        <v>1125</v>
      </c>
      <c r="AB218" s="385" t="s">
        <v>1126</v>
      </c>
      <c r="AC218" s="385" t="s">
        <v>1127</v>
      </c>
      <c r="AD218" s="385" t="s">
        <v>1128</v>
      </c>
      <c r="AE218" s="385" t="s">
        <v>737</v>
      </c>
      <c r="AF218" s="385" t="s">
        <v>741</v>
      </c>
      <c r="AG218" s="385" t="s">
        <v>745</v>
      </c>
      <c r="AH218" s="385" t="s">
        <v>746</v>
      </c>
      <c r="AI218" s="385" t="s">
        <v>748</v>
      </c>
      <c r="AJ218" s="385" t="s">
        <v>747</v>
      </c>
      <c r="AK218" s="385" t="s">
        <v>1096</v>
      </c>
      <c r="AL218" s="385" t="s">
        <v>1140</v>
      </c>
      <c r="AM218" s="385" t="s">
        <v>1141</v>
      </c>
      <c r="AN218" s="385" t="s">
        <v>1142</v>
      </c>
      <c r="AO218" s="385" t="s">
        <v>1143</v>
      </c>
      <c r="AP218" s="385" t="s">
        <v>1144</v>
      </c>
      <c r="AQ218" s="385" t="s">
        <v>1145</v>
      </c>
      <c r="AR218" s="385" t="s">
        <v>1146</v>
      </c>
      <c r="AS218" s="385" t="s">
        <v>1147</v>
      </c>
      <c r="AT218" s="385" t="s">
        <v>1176</v>
      </c>
      <c r="AU218" s="385" t="s">
        <v>1247</v>
      </c>
      <c r="AV218" s="385" t="s">
        <v>1293</v>
      </c>
      <c r="AW218" s="385" t="s">
        <v>1291</v>
      </c>
      <c r="AX218" s="385" t="s">
        <v>1294</v>
      </c>
      <c r="AY218" s="385" t="s">
        <v>1295</v>
      </c>
      <c r="AZ218" s="385" t="s">
        <v>1372</v>
      </c>
      <c r="BA218" s="385" t="s">
        <v>1373</v>
      </c>
      <c r="BB218" s="385" t="s">
        <v>1481</v>
      </c>
    </row>
    <row r="219" spans="1:54">
      <c r="A219" s="385" t="s">
        <v>612</v>
      </c>
      <c r="B219" s="539"/>
      <c r="C219" s="278" t="str">
        <f>IFERROR(VLOOKUP("D-SPA"&amp;2,お客様情報!$R$49:$U$53,4,FALSE),"")</f>
        <v/>
      </c>
      <c r="D219" s="278">
        <f>D$217</f>
        <v>1</v>
      </c>
      <c r="E219" s="278">
        <f>E$217</f>
        <v>1</v>
      </c>
      <c r="F219" s="278" t="str">
        <f>$F$217</f>
        <v/>
      </c>
      <c r="G219" s="278" t="str">
        <f>$G$217</f>
        <v/>
      </c>
      <c r="H219" s="314"/>
      <c r="I219" s="314"/>
      <c r="J219" s="556" t="str">
        <f>J$217</f>
        <v/>
      </c>
      <c r="K219" s="556" t="str">
        <f>K$217</f>
        <v/>
      </c>
      <c r="L219" s="314"/>
      <c r="M219" s="278" t="str">
        <f>$M$217</f>
        <v/>
      </c>
      <c r="N219" s="314"/>
      <c r="O219" s="314"/>
      <c r="P219" s="314"/>
      <c r="Q219" s="278" t="str">
        <f>$Q$217</f>
        <v/>
      </c>
      <c r="R219" s="278" t="str">
        <f>R$217</f>
        <v/>
      </c>
      <c r="S219" s="278" t="e">
        <f>$S$217</f>
        <v>#N/A</v>
      </c>
      <c r="T219" s="278" t="e">
        <f>$T$217</f>
        <v>#N/A</v>
      </c>
      <c r="U219" s="278"/>
      <c r="V219" s="278" t="str">
        <f>$V$217</f>
        <v/>
      </c>
      <c r="W219" s="286" t="str">
        <f>W$217</f>
        <v/>
      </c>
      <c r="X219" s="278" t="str">
        <f>$X$217</f>
        <v/>
      </c>
      <c r="Y219" s="278" t="str">
        <f>Y$217</f>
        <v/>
      </c>
      <c r="Z219" s="314"/>
      <c r="AA219" s="314"/>
      <c r="AB219" s="314"/>
      <c r="AC219" s="314"/>
      <c r="AD219" s="314"/>
      <c r="AE219" s="314"/>
      <c r="AF219" s="314"/>
      <c r="AG219" s="314"/>
      <c r="AH219" s="314"/>
      <c r="AI219" s="314"/>
      <c r="AJ219" s="314"/>
      <c r="AK219" s="314"/>
      <c r="AL219" s="314"/>
      <c r="AM219" s="314"/>
      <c r="AN219" s="314"/>
      <c r="AO219" s="314"/>
      <c r="AP219" s="314"/>
      <c r="AQ219" s="314"/>
      <c r="AR219" s="314"/>
      <c r="AS219" s="314"/>
      <c r="AT219" s="314"/>
      <c r="AU219" s="314"/>
      <c r="AV219" s="314"/>
      <c r="AW219" s="314"/>
      <c r="AX219" s="314"/>
      <c r="AY219" s="314"/>
      <c r="AZ219" s="314"/>
      <c r="BA219" s="314"/>
      <c r="BB219" s="314"/>
    </row>
    <row r="220" spans="1:54">
      <c r="A220" s="385" t="s">
        <v>586</v>
      </c>
      <c r="B220" s="385" t="s">
        <v>634</v>
      </c>
      <c r="C220" s="385" t="s">
        <v>946</v>
      </c>
      <c r="D220" s="385" t="s">
        <v>621</v>
      </c>
      <c r="E220" s="385" t="s">
        <v>622</v>
      </c>
      <c r="F220" s="385" t="s">
        <v>614</v>
      </c>
      <c r="G220" s="385" t="s">
        <v>623</v>
      </c>
      <c r="H220" s="385" t="s">
        <v>624</v>
      </c>
      <c r="I220" s="385" t="s">
        <v>625</v>
      </c>
      <c r="J220" s="385" t="s">
        <v>626</v>
      </c>
      <c r="K220" s="385" t="s">
        <v>627</v>
      </c>
      <c r="L220" s="385" t="s">
        <v>628</v>
      </c>
      <c r="M220" s="385" t="s">
        <v>629</v>
      </c>
      <c r="N220" s="385" t="s">
        <v>630</v>
      </c>
      <c r="O220" s="385" t="s">
        <v>631</v>
      </c>
      <c r="P220" s="385" t="s">
        <v>632</v>
      </c>
      <c r="Q220" s="385" t="s">
        <v>633</v>
      </c>
      <c r="R220" s="385" t="s">
        <v>1116</v>
      </c>
      <c r="S220" s="385" t="s">
        <v>701</v>
      </c>
      <c r="T220" s="385" t="s">
        <v>702</v>
      </c>
      <c r="U220" s="385" t="s">
        <v>699</v>
      </c>
      <c r="V220" s="385" t="s">
        <v>700</v>
      </c>
      <c r="W220" s="385" t="s">
        <v>822</v>
      </c>
      <c r="X220" s="385" t="s">
        <v>880</v>
      </c>
      <c r="Y220" s="385" t="s">
        <v>1118</v>
      </c>
      <c r="Z220" s="385" t="s">
        <v>1124</v>
      </c>
      <c r="AA220" s="385" t="s">
        <v>1125</v>
      </c>
      <c r="AB220" s="385" t="s">
        <v>1126</v>
      </c>
      <c r="AC220" s="385" t="s">
        <v>1127</v>
      </c>
      <c r="AD220" s="385" t="s">
        <v>1128</v>
      </c>
      <c r="AE220" s="385" t="s">
        <v>737</v>
      </c>
      <c r="AF220" s="385" t="s">
        <v>741</v>
      </c>
      <c r="AG220" s="385" t="s">
        <v>745</v>
      </c>
      <c r="AH220" s="385" t="s">
        <v>746</v>
      </c>
      <c r="AI220" s="385" t="s">
        <v>748</v>
      </c>
      <c r="AJ220" s="385" t="s">
        <v>747</v>
      </c>
      <c r="AK220" s="385" t="s">
        <v>1096</v>
      </c>
      <c r="AL220" s="385" t="s">
        <v>1140</v>
      </c>
      <c r="AM220" s="385" t="s">
        <v>1141</v>
      </c>
      <c r="AN220" s="385" t="s">
        <v>1142</v>
      </c>
      <c r="AO220" s="385" t="s">
        <v>1143</v>
      </c>
      <c r="AP220" s="385" t="s">
        <v>1144</v>
      </c>
      <c r="AQ220" s="385" t="s">
        <v>1145</v>
      </c>
      <c r="AR220" s="385" t="s">
        <v>1146</v>
      </c>
      <c r="AS220" s="385" t="s">
        <v>1147</v>
      </c>
      <c r="AT220" s="385" t="s">
        <v>1176</v>
      </c>
      <c r="AU220" s="385" t="s">
        <v>1247</v>
      </c>
      <c r="AV220" s="385" t="s">
        <v>1293</v>
      </c>
      <c r="AW220" s="385" t="s">
        <v>1291</v>
      </c>
      <c r="AX220" s="385" t="s">
        <v>1294</v>
      </c>
      <c r="AY220" s="385" t="s">
        <v>1295</v>
      </c>
      <c r="AZ220" s="385" t="s">
        <v>1372</v>
      </c>
      <c r="BA220" s="385" t="s">
        <v>1373</v>
      </c>
      <c r="BB220" s="385" t="s">
        <v>1481</v>
      </c>
    </row>
    <row r="221" spans="1:54">
      <c r="A221" s="385" t="s">
        <v>612</v>
      </c>
      <c r="B221" s="539"/>
      <c r="C221" s="278" t="str">
        <f>IFERROR(VLOOKUP("D-SPA"&amp;3,お客様情報!$R$49:$U$53,4,FALSE),"")</f>
        <v/>
      </c>
      <c r="D221" s="278">
        <f t="shared" ref="D221:E221" si="29">D$217</f>
        <v>1</v>
      </c>
      <c r="E221" s="278">
        <f t="shared" si="29"/>
        <v>1</v>
      </c>
      <c r="F221" s="278" t="str">
        <f>$F$217</f>
        <v/>
      </c>
      <c r="G221" s="278" t="str">
        <f>$G$217</f>
        <v/>
      </c>
      <c r="H221" s="314"/>
      <c r="I221" s="314"/>
      <c r="J221" s="556" t="str">
        <f>J$217</f>
        <v/>
      </c>
      <c r="K221" s="556" t="str">
        <f>K$217</f>
        <v/>
      </c>
      <c r="L221" s="314"/>
      <c r="M221" s="278" t="str">
        <f>$M$217</f>
        <v/>
      </c>
      <c r="N221" s="314"/>
      <c r="O221" s="314"/>
      <c r="P221" s="314"/>
      <c r="Q221" s="278" t="str">
        <f>$Q$217</f>
        <v/>
      </c>
      <c r="R221" s="278" t="str">
        <f>R$217</f>
        <v/>
      </c>
      <c r="S221" s="278" t="e">
        <f>$S$217</f>
        <v>#N/A</v>
      </c>
      <c r="T221" s="278" t="e">
        <f>$T$217</f>
        <v>#N/A</v>
      </c>
      <c r="U221" s="278"/>
      <c r="V221" s="278" t="str">
        <f>$V$217</f>
        <v/>
      </c>
      <c r="W221" s="286" t="str">
        <f>W$217</f>
        <v/>
      </c>
      <c r="X221" s="278" t="str">
        <f>$X$217</f>
        <v/>
      </c>
      <c r="Y221" s="278" t="str">
        <f>Y$217</f>
        <v/>
      </c>
      <c r="Z221" s="314"/>
      <c r="AA221" s="314"/>
      <c r="AB221" s="314"/>
      <c r="AC221" s="314"/>
      <c r="AD221" s="314"/>
      <c r="AE221" s="314"/>
      <c r="AF221" s="314"/>
      <c r="AG221" s="314"/>
      <c r="AH221" s="314"/>
      <c r="AI221" s="314"/>
      <c r="AJ221" s="314"/>
      <c r="AK221" s="314"/>
      <c r="AL221" s="314"/>
      <c r="AM221" s="314"/>
      <c r="AN221" s="314"/>
      <c r="AO221" s="314"/>
      <c r="AP221" s="314"/>
      <c r="AQ221" s="314"/>
      <c r="AR221" s="314"/>
      <c r="AS221" s="314"/>
      <c r="AT221" s="314"/>
      <c r="AU221" s="314"/>
      <c r="AV221" s="314"/>
      <c r="AW221" s="314"/>
      <c r="AX221" s="314"/>
      <c r="AY221" s="314"/>
      <c r="AZ221" s="314"/>
      <c r="BA221" s="314"/>
      <c r="BB221" s="314"/>
    </row>
    <row r="222" spans="1:54">
      <c r="A222" s="385" t="s">
        <v>586</v>
      </c>
      <c r="B222" s="385" t="s">
        <v>634</v>
      </c>
      <c r="C222" s="385" t="s">
        <v>620</v>
      </c>
      <c r="D222" s="385" t="s">
        <v>621</v>
      </c>
      <c r="E222" s="385" t="s">
        <v>622</v>
      </c>
      <c r="F222" s="385" t="s">
        <v>614</v>
      </c>
      <c r="G222" s="385" t="s">
        <v>623</v>
      </c>
      <c r="H222" s="385" t="s">
        <v>624</v>
      </c>
      <c r="I222" s="385" t="s">
        <v>625</v>
      </c>
      <c r="J222" s="385" t="s">
        <v>626</v>
      </c>
      <c r="K222" s="385" t="s">
        <v>627</v>
      </c>
      <c r="L222" s="385" t="s">
        <v>628</v>
      </c>
      <c r="M222" s="385" t="s">
        <v>629</v>
      </c>
      <c r="N222" s="385" t="s">
        <v>630</v>
      </c>
      <c r="O222" s="385" t="s">
        <v>631</v>
      </c>
      <c r="P222" s="385" t="s">
        <v>632</v>
      </c>
      <c r="Q222" s="385" t="s">
        <v>633</v>
      </c>
      <c r="R222" s="385" t="s">
        <v>1116</v>
      </c>
      <c r="S222" s="385" t="s">
        <v>701</v>
      </c>
      <c r="T222" s="385" t="s">
        <v>702</v>
      </c>
      <c r="U222" s="385" t="s">
        <v>699</v>
      </c>
      <c r="V222" s="385" t="s">
        <v>700</v>
      </c>
      <c r="W222" s="385" t="s">
        <v>822</v>
      </c>
      <c r="X222" s="385" t="s">
        <v>880</v>
      </c>
      <c r="Y222" s="385" t="s">
        <v>1118</v>
      </c>
      <c r="Z222" s="385" t="s">
        <v>1124</v>
      </c>
      <c r="AA222" s="385" t="s">
        <v>1125</v>
      </c>
      <c r="AB222" s="385" t="s">
        <v>1126</v>
      </c>
      <c r="AC222" s="385" t="s">
        <v>1127</v>
      </c>
      <c r="AD222" s="385" t="s">
        <v>1128</v>
      </c>
      <c r="AE222" s="385" t="s">
        <v>737</v>
      </c>
      <c r="AF222" s="385" t="s">
        <v>741</v>
      </c>
      <c r="AG222" s="385" t="s">
        <v>745</v>
      </c>
      <c r="AH222" s="385" t="s">
        <v>746</v>
      </c>
      <c r="AI222" s="385" t="s">
        <v>748</v>
      </c>
      <c r="AJ222" s="385" t="s">
        <v>747</v>
      </c>
      <c r="AK222" s="385" t="s">
        <v>1096</v>
      </c>
      <c r="AL222" s="385" t="s">
        <v>1140</v>
      </c>
      <c r="AM222" s="385" t="s">
        <v>1141</v>
      </c>
      <c r="AN222" s="385" t="s">
        <v>1142</v>
      </c>
      <c r="AO222" s="385" t="s">
        <v>1143</v>
      </c>
      <c r="AP222" s="385" t="s">
        <v>1144</v>
      </c>
      <c r="AQ222" s="385" t="s">
        <v>1145</v>
      </c>
      <c r="AR222" s="385" t="s">
        <v>1146</v>
      </c>
      <c r="AS222" s="385" t="s">
        <v>1147</v>
      </c>
      <c r="AT222" s="385" t="s">
        <v>1176</v>
      </c>
      <c r="AU222" s="385" t="s">
        <v>1247</v>
      </c>
      <c r="AV222" s="385" t="s">
        <v>1293</v>
      </c>
      <c r="AW222" s="385" t="s">
        <v>1291</v>
      </c>
      <c r="AX222" s="385" t="s">
        <v>1294</v>
      </c>
      <c r="AY222" s="385" t="s">
        <v>1295</v>
      </c>
      <c r="AZ222" s="385" t="s">
        <v>1372</v>
      </c>
      <c r="BA222" s="385" t="s">
        <v>1373</v>
      </c>
      <c r="BB222" s="385" t="s">
        <v>1481</v>
      </c>
    </row>
    <row r="223" spans="1:54">
      <c r="A223" s="385" t="s">
        <v>612</v>
      </c>
      <c r="B223" s="279" t="str">
        <f>IF(AND(お客様情報!$E$2="代ホ_DSPA",代ホ_入力フォームDSPA!$D$113&lt;&gt;"",COUNTIF(お客様情報!$R$49:$R$53,"D-SPA4")&gt;0),4,"")</f>
        <v/>
      </c>
      <c r="C223" s="278" t="str">
        <f>IFERROR(VLOOKUP("D-SPA"&amp;4,お客様情報!$R$49:$U$53,4,FALSE),"")</f>
        <v/>
      </c>
      <c r="D223" s="278">
        <f t="shared" ref="D223:E223" si="30">D$217</f>
        <v>1</v>
      </c>
      <c r="E223" s="278">
        <f t="shared" si="30"/>
        <v>1</v>
      </c>
      <c r="F223" s="278" t="str">
        <f>$F$217</f>
        <v/>
      </c>
      <c r="G223" s="278" t="str">
        <f>$G$217</f>
        <v/>
      </c>
      <c r="H223" s="314"/>
      <c r="I223" s="314"/>
      <c r="J223" s="556" t="str">
        <f>J$217</f>
        <v/>
      </c>
      <c r="K223" s="556" t="str">
        <f>K$217</f>
        <v/>
      </c>
      <c r="L223" s="314"/>
      <c r="M223" s="278" t="str">
        <f>$M$217</f>
        <v/>
      </c>
      <c r="N223" s="314"/>
      <c r="O223" s="314"/>
      <c r="P223" s="314"/>
      <c r="Q223" s="278" t="str">
        <f>$Q$217</f>
        <v/>
      </c>
      <c r="R223" s="278" t="str">
        <f>R$217</f>
        <v/>
      </c>
      <c r="S223" s="278" t="e">
        <f>$S$217</f>
        <v>#N/A</v>
      </c>
      <c r="T223" s="278" t="e">
        <f>$T$217</f>
        <v>#N/A</v>
      </c>
      <c r="U223" s="278"/>
      <c r="V223" s="278" t="str">
        <f>$V$217</f>
        <v/>
      </c>
      <c r="W223" s="286" t="str">
        <f>W$217</f>
        <v/>
      </c>
      <c r="X223" s="278" t="str">
        <f>$X$217</f>
        <v/>
      </c>
      <c r="Y223" s="278" t="str">
        <f>Y$217</f>
        <v/>
      </c>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row>
    <row r="224" spans="1:54">
      <c r="A224" s="385" t="s">
        <v>586</v>
      </c>
      <c r="B224" s="385" t="s">
        <v>634</v>
      </c>
      <c r="C224" s="385" t="s">
        <v>620</v>
      </c>
      <c r="D224" s="385" t="s">
        <v>621</v>
      </c>
      <c r="E224" s="385" t="s">
        <v>622</v>
      </c>
      <c r="F224" s="385" t="s">
        <v>614</v>
      </c>
      <c r="G224" s="385" t="s">
        <v>623</v>
      </c>
      <c r="H224" s="385" t="s">
        <v>624</v>
      </c>
      <c r="I224" s="385" t="s">
        <v>625</v>
      </c>
      <c r="J224" s="385" t="s">
        <v>626</v>
      </c>
      <c r="K224" s="385" t="s">
        <v>627</v>
      </c>
      <c r="L224" s="385" t="s">
        <v>628</v>
      </c>
      <c r="M224" s="385" t="s">
        <v>629</v>
      </c>
      <c r="N224" s="385" t="s">
        <v>630</v>
      </c>
      <c r="O224" s="385" t="s">
        <v>631</v>
      </c>
      <c r="P224" s="385" t="s">
        <v>632</v>
      </c>
      <c r="Q224" s="385" t="s">
        <v>633</v>
      </c>
      <c r="R224" s="385" t="s">
        <v>1116</v>
      </c>
      <c r="S224" s="385" t="s">
        <v>701</v>
      </c>
      <c r="T224" s="385" t="s">
        <v>702</v>
      </c>
      <c r="U224" s="385" t="s">
        <v>699</v>
      </c>
      <c r="V224" s="385" t="s">
        <v>700</v>
      </c>
      <c r="W224" s="385" t="s">
        <v>822</v>
      </c>
      <c r="X224" s="385" t="s">
        <v>880</v>
      </c>
      <c r="Y224" s="385" t="s">
        <v>1118</v>
      </c>
      <c r="Z224" s="385" t="s">
        <v>1124</v>
      </c>
      <c r="AA224" s="385" t="s">
        <v>1125</v>
      </c>
      <c r="AB224" s="385" t="s">
        <v>1126</v>
      </c>
      <c r="AC224" s="385" t="s">
        <v>1127</v>
      </c>
      <c r="AD224" s="385" t="s">
        <v>1128</v>
      </c>
      <c r="AE224" s="385" t="s">
        <v>737</v>
      </c>
      <c r="AF224" s="385" t="s">
        <v>741</v>
      </c>
      <c r="AG224" s="385" t="s">
        <v>745</v>
      </c>
      <c r="AH224" s="385" t="s">
        <v>746</v>
      </c>
      <c r="AI224" s="385" t="s">
        <v>748</v>
      </c>
      <c r="AJ224" s="385" t="s">
        <v>747</v>
      </c>
      <c r="AK224" s="385" t="s">
        <v>1096</v>
      </c>
      <c r="AL224" s="385" t="s">
        <v>1140</v>
      </c>
      <c r="AM224" s="385" t="s">
        <v>1141</v>
      </c>
      <c r="AN224" s="385" t="s">
        <v>1142</v>
      </c>
      <c r="AO224" s="385" t="s">
        <v>1143</v>
      </c>
      <c r="AP224" s="385" t="s">
        <v>1144</v>
      </c>
      <c r="AQ224" s="385" t="s">
        <v>1145</v>
      </c>
      <c r="AR224" s="385" t="s">
        <v>1146</v>
      </c>
      <c r="AS224" s="385" t="s">
        <v>1147</v>
      </c>
      <c r="AT224" s="385" t="s">
        <v>1176</v>
      </c>
      <c r="AU224" s="385" t="s">
        <v>1247</v>
      </c>
      <c r="AV224" s="385" t="s">
        <v>1293</v>
      </c>
      <c r="AW224" s="385" t="s">
        <v>1291</v>
      </c>
      <c r="AX224" s="385" t="s">
        <v>1294</v>
      </c>
      <c r="AY224" s="385" t="s">
        <v>1295</v>
      </c>
      <c r="AZ224" s="385" t="s">
        <v>1372</v>
      </c>
      <c r="BA224" s="385" t="s">
        <v>1373</v>
      </c>
      <c r="BB224" s="385" t="s">
        <v>1481</v>
      </c>
    </row>
    <row r="225" spans="1:54">
      <c r="A225" s="385" t="s">
        <v>612</v>
      </c>
      <c r="B225" s="539"/>
      <c r="C225" s="278" t="str">
        <f>IFERROR(VLOOKUP("D-SPA"&amp;5,お客様情報!$R$49:$U$53,4,FALSE),"")</f>
        <v/>
      </c>
      <c r="D225" s="278">
        <f t="shared" ref="D225:E225" si="31">D$217</f>
        <v>1</v>
      </c>
      <c r="E225" s="278">
        <f t="shared" si="31"/>
        <v>1</v>
      </c>
      <c r="F225" s="278" t="str">
        <f>$F$217</f>
        <v/>
      </c>
      <c r="G225" s="278" t="str">
        <f>$G$217</f>
        <v/>
      </c>
      <c r="H225" s="314"/>
      <c r="I225" s="314"/>
      <c r="J225" s="556" t="str">
        <f>J$217</f>
        <v/>
      </c>
      <c r="K225" s="556" t="str">
        <f>K$217</f>
        <v/>
      </c>
      <c r="L225" s="314"/>
      <c r="M225" s="278" t="str">
        <f>$M$217</f>
        <v/>
      </c>
      <c r="N225" s="314"/>
      <c r="O225" s="314"/>
      <c r="P225" s="314"/>
      <c r="Q225" s="278" t="str">
        <f>$Q$217</f>
        <v/>
      </c>
      <c r="R225" s="278" t="str">
        <f>R$217</f>
        <v/>
      </c>
      <c r="S225" s="278" t="e">
        <f>$S$217</f>
        <v>#N/A</v>
      </c>
      <c r="T225" s="278" t="e">
        <f>$T$217</f>
        <v>#N/A</v>
      </c>
      <c r="U225" s="278"/>
      <c r="V225" s="278" t="str">
        <f>$V$217</f>
        <v/>
      </c>
      <c r="W225" s="286" t="str">
        <f>W$217</f>
        <v/>
      </c>
      <c r="X225" s="278" t="str">
        <f>$X$217</f>
        <v/>
      </c>
      <c r="Y225" s="278" t="str">
        <f>Y$217</f>
        <v/>
      </c>
      <c r="Z225" s="314"/>
      <c r="AA225" s="314"/>
      <c r="AB225" s="314"/>
      <c r="AC225" s="314"/>
      <c r="AD225" s="314"/>
      <c r="AE225" s="314"/>
      <c r="AF225" s="314"/>
      <c r="AG225" s="314"/>
      <c r="AH225" s="314"/>
      <c r="AI225" s="314"/>
      <c r="AJ225" s="314"/>
      <c r="AK225" s="314"/>
      <c r="AL225" s="314"/>
      <c r="AM225" s="314"/>
      <c r="AN225" s="314"/>
      <c r="AO225" s="314"/>
      <c r="AP225" s="314"/>
      <c r="AQ225" s="314"/>
      <c r="AR225" s="314"/>
      <c r="AS225" s="314"/>
      <c r="AT225" s="314"/>
      <c r="AU225" s="314"/>
      <c r="AV225" s="314"/>
      <c r="AW225" s="314"/>
      <c r="AX225" s="314"/>
      <c r="AY225" s="314"/>
      <c r="AZ225" s="314"/>
      <c r="BA225" s="314"/>
      <c r="BB225" s="314"/>
    </row>
    <row r="226" spans="1:54">
      <c r="A226" s="386" t="s">
        <v>586</v>
      </c>
      <c r="B226" s="386" t="s">
        <v>634</v>
      </c>
      <c r="C226" s="386" t="s">
        <v>620</v>
      </c>
      <c r="D226" s="386" t="s">
        <v>621</v>
      </c>
      <c r="E226" s="386" t="s">
        <v>622</v>
      </c>
      <c r="F226" s="386" t="s">
        <v>614</v>
      </c>
      <c r="G226" s="386" t="s">
        <v>623</v>
      </c>
      <c r="H226" s="386" t="s">
        <v>624</v>
      </c>
      <c r="I226" s="386" t="s">
        <v>625</v>
      </c>
      <c r="J226" s="386" t="s">
        <v>626</v>
      </c>
      <c r="K226" s="386" t="s">
        <v>627</v>
      </c>
      <c r="L226" s="386" t="s">
        <v>628</v>
      </c>
      <c r="M226" s="386" t="s">
        <v>629</v>
      </c>
      <c r="N226" s="386" t="s">
        <v>630</v>
      </c>
      <c r="O226" s="386" t="s">
        <v>631</v>
      </c>
      <c r="P226" s="386" t="s">
        <v>632</v>
      </c>
      <c r="Q226" s="386" t="s">
        <v>633</v>
      </c>
      <c r="R226" s="386" t="s">
        <v>1116</v>
      </c>
      <c r="S226" s="386" t="s">
        <v>701</v>
      </c>
      <c r="T226" s="386" t="s">
        <v>702</v>
      </c>
      <c r="U226" s="386" t="s">
        <v>699</v>
      </c>
      <c r="V226" s="386" t="s">
        <v>700</v>
      </c>
      <c r="W226" s="386" t="s">
        <v>822</v>
      </c>
      <c r="X226" s="386" t="s">
        <v>880</v>
      </c>
      <c r="Y226" s="386" t="s">
        <v>1118</v>
      </c>
      <c r="Z226" s="386" t="s">
        <v>1124</v>
      </c>
      <c r="AA226" s="386" t="s">
        <v>1125</v>
      </c>
      <c r="AB226" s="386" t="s">
        <v>1126</v>
      </c>
      <c r="AC226" s="386" t="s">
        <v>1127</v>
      </c>
      <c r="AD226" s="386" t="s">
        <v>1128</v>
      </c>
      <c r="AE226" s="386" t="s">
        <v>737</v>
      </c>
      <c r="AF226" s="386" t="s">
        <v>741</v>
      </c>
      <c r="AG226" s="386" t="s">
        <v>745</v>
      </c>
      <c r="AH226" s="386" t="s">
        <v>746</v>
      </c>
      <c r="AI226" s="386" t="s">
        <v>748</v>
      </c>
      <c r="AJ226" s="386" t="s">
        <v>747</v>
      </c>
      <c r="AK226" s="386" t="s">
        <v>1096</v>
      </c>
      <c r="AL226" s="386" t="s">
        <v>1140</v>
      </c>
      <c r="AM226" s="386" t="s">
        <v>1141</v>
      </c>
      <c r="AN226" s="386" t="s">
        <v>1142</v>
      </c>
      <c r="AO226" s="386" t="s">
        <v>1143</v>
      </c>
      <c r="AP226" s="386" t="s">
        <v>1144</v>
      </c>
      <c r="AQ226" s="386" t="s">
        <v>1145</v>
      </c>
      <c r="AR226" s="386" t="s">
        <v>1146</v>
      </c>
      <c r="AS226" s="386" t="s">
        <v>1147</v>
      </c>
      <c r="AT226" s="386" t="s">
        <v>1176</v>
      </c>
      <c r="AU226" s="386" t="s">
        <v>1247</v>
      </c>
      <c r="AV226" s="386" t="s">
        <v>1293</v>
      </c>
      <c r="AW226" s="386" t="s">
        <v>1291</v>
      </c>
      <c r="AX226" s="386" t="s">
        <v>1294</v>
      </c>
      <c r="AY226" s="386" t="s">
        <v>1295</v>
      </c>
      <c r="AZ226" s="386" t="s">
        <v>1372</v>
      </c>
      <c r="BA226" s="386" t="s">
        <v>1373</v>
      </c>
      <c r="BB226" s="386" t="s">
        <v>1481</v>
      </c>
    </row>
    <row r="227" spans="1:54">
      <c r="A227" s="386" t="s">
        <v>612</v>
      </c>
      <c r="B227" s="539"/>
      <c r="C227" s="278" t="str">
        <f>IFERROR(VLOOKUP("D-SPA"&amp;1,お客様情報!$R$49:$U$53,4,FALSE),"")</f>
        <v/>
      </c>
      <c r="D227" s="278">
        <v>1</v>
      </c>
      <c r="E227" s="278">
        <v>1</v>
      </c>
      <c r="F227" s="278" t="str">
        <f>IF(代ホ_入力フォームDSPA!$AG$107="初年度",TEXT(中間データDSPA!$G$9,"YYYY-MM-DD"),"")</f>
        <v/>
      </c>
      <c r="G227" s="278" t="str">
        <f>LEFT(代ホ_入力フォームDSPA!$BJ$107,1)</f>
        <v/>
      </c>
      <c r="H227" s="314"/>
      <c r="I227" s="314"/>
      <c r="J227" s="556" t="str">
        <f>IF(代ホ_入力フォームDSPA!BA164="はい/お客様アドレス",代ホ_入力フォームDSPA!AG40,"")</f>
        <v/>
      </c>
      <c r="K227" s="556" t="str">
        <f>IF(代ホ_入力フォームDSPA!BA164="はい/通知先記入",代ホ_入力フォームDSPA!BT164,"")</f>
        <v/>
      </c>
      <c r="L227" s="314"/>
      <c r="M227" s="278" t="str">
        <f>IF(代ホ_入力フォームDSPA!$AL$115&lt;&gt;"",代ホ_入力フォームDSPA!$AL$115,"")</f>
        <v/>
      </c>
      <c r="N227" s="314"/>
      <c r="O227" s="314"/>
      <c r="P227" s="314"/>
      <c r="Q227" s="278" t="str">
        <f>IF(代ホ_入力フォームDSPA!$R$134="A表に同じ",代ホ_入力フォームDSPA!$M$33&amp;代ホ_入力フォームDSPA!$AD$33&amp;代ホ_入力フォームDSPA!$AU$33&amp;代ホ_入力フォームDSPA!$M$35&amp;代ホ_入力フォームDSPA!$AM$35&amp;"（"&amp;お客様情報!M8&amp;"内）",IF(代ホ_入力フォームDSPA!$R$134="A表と異なる",代ホ_入力フォームDSPA!$BI$134&amp;代ホ_入力フォームDSPA!$BN$134&amp;代ホ_入力フォームDSPA!$BS$134&amp;代ホ_入力フォームDSPA!$CA$134&amp;代ホ_入力フォームDSPA!$CM$134&amp;"（"&amp;代ホ_入力フォームDSPA!Z134&amp;"内）",""))</f>
        <v/>
      </c>
      <c r="R227" s="278" t="str">
        <f>IF(ISBLANK(代ホ_入力フォームDSPA!L107),"",IF(代ホ_入力フォームDSPA!W115="コールドスタンバイ",代ホ_入力フォームDSPA!L107&amp;" (コールドスタンバイ)",代ホ_入力フォームDSPA!L107))</f>
        <v/>
      </c>
      <c r="S227" s="278" t="e">
        <f>IF(お客様情報!$N$64="","",お客様情報!$N$64)</f>
        <v>#N/A</v>
      </c>
      <c r="T227" s="278" t="e">
        <f>IF(お客様情報!$N$65="","",お客様情報!$N$65)</f>
        <v>#N/A</v>
      </c>
      <c r="U227" s="278"/>
      <c r="V227" s="278" t="str">
        <f>IF(OR(代ホ_入力フォームDSPA!AE96="",代ホ_入力フォームDSPA!AE96="なし"),"",IF(COUNTIF(代ホ_入力フォームDSPA!AR96,"*倍量*")&gt;0,"HDD拡充倍量オプション","HDD拡充オプション"))</f>
        <v/>
      </c>
      <c r="W227" s="278" t="str">
        <f>IF(OR(代ホ_入力フォームDSPA!BM96="",代ホ_入力フォームDSPA!BM96="なし"),"","追加ﾈｯﾄﾜｰｸ・ｲﾝﾀｰﾌｪｰｽ・ｵﾌﾟｼｮﾝ")</f>
        <v/>
      </c>
      <c r="X227" s="278" t="str">
        <f>IF(OR(代ホ_入力フォームDSPA!CD96="",代ホ_入力フォームDSPA!CD96="なし"),"","電源冗長化オプション")</f>
        <v/>
      </c>
      <c r="Y227" s="278" t="str">
        <f>IF(OR(代ホ_入力フォームDSPA!CU96="",代ホ_入力フォームDSPA!CU96="なし"),"",VLOOKUP(代ホ_入力フォームDSPA!CU96,中間データDSPA!$B$93:$C$97,2,FALSE))</f>
        <v/>
      </c>
      <c r="Z227" s="314"/>
      <c r="AA227" s="314"/>
      <c r="AB227" s="314"/>
      <c r="AC227" s="314"/>
      <c r="AD227" s="314"/>
      <c r="AE227" s="314"/>
      <c r="AF227" s="314"/>
      <c r="AG227" s="314"/>
      <c r="AH227" s="314"/>
      <c r="AI227" s="314"/>
      <c r="AJ227" s="314"/>
      <c r="AK227" s="314"/>
      <c r="AL227" s="314"/>
      <c r="AM227" s="314"/>
      <c r="AN227" s="314"/>
      <c r="AO227" s="314"/>
      <c r="AP227" s="314"/>
      <c r="AQ227" s="314"/>
      <c r="AR227" s="314"/>
      <c r="AS227" s="314"/>
      <c r="AT227" s="314"/>
      <c r="AU227" s="314"/>
      <c r="AV227" s="314"/>
      <c r="AW227" s="314"/>
      <c r="AX227" s="314"/>
      <c r="AY227" s="314"/>
      <c r="AZ227" s="314"/>
      <c r="BA227" s="314"/>
      <c r="BB227" s="314"/>
    </row>
    <row r="228" spans="1:54">
      <c r="A228" s="386" t="s">
        <v>586</v>
      </c>
      <c r="B228" s="386" t="s">
        <v>634</v>
      </c>
      <c r="C228" s="386" t="s">
        <v>620</v>
      </c>
      <c r="D228" s="386" t="s">
        <v>621</v>
      </c>
      <c r="E228" s="386" t="s">
        <v>622</v>
      </c>
      <c r="F228" s="386" t="s">
        <v>614</v>
      </c>
      <c r="G228" s="386" t="s">
        <v>623</v>
      </c>
      <c r="H228" s="386" t="s">
        <v>624</v>
      </c>
      <c r="I228" s="386" t="s">
        <v>625</v>
      </c>
      <c r="J228" s="386" t="s">
        <v>626</v>
      </c>
      <c r="K228" s="386" t="s">
        <v>627</v>
      </c>
      <c r="L228" s="386" t="s">
        <v>628</v>
      </c>
      <c r="M228" s="386" t="s">
        <v>629</v>
      </c>
      <c r="N228" s="386" t="s">
        <v>630</v>
      </c>
      <c r="O228" s="386" t="s">
        <v>631</v>
      </c>
      <c r="P228" s="386" t="s">
        <v>632</v>
      </c>
      <c r="Q228" s="386" t="s">
        <v>633</v>
      </c>
      <c r="R228" s="386" t="s">
        <v>1116</v>
      </c>
      <c r="S228" s="386" t="s">
        <v>701</v>
      </c>
      <c r="T228" s="386" t="s">
        <v>702</v>
      </c>
      <c r="U228" s="386" t="s">
        <v>699</v>
      </c>
      <c r="V228" s="386" t="s">
        <v>700</v>
      </c>
      <c r="W228" s="386" t="s">
        <v>822</v>
      </c>
      <c r="X228" s="386" t="s">
        <v>880</v>
      </c>
      <c r="Y228" s="386" t="s">
        <v>1118</v>
      </c>
      <c r="Z228" s="386" t="s">
        <v>1124</v>
      </c>
      <c r="AA228" s="386" t="s">
        <v>1125</v>
      </c>
      <c r="AB228" s="386" t="s">
        <v>1126</v>
      </c>
      <c r="AC228" s="386" t="s">
        <v>1127</v>
      </c>
      <c r="AD228" s="386" t="s">
        <v>1128</v>
      </c>
      <c r="AE228" s="386" t="s">
        <v>737</v>
      </c>
      <c r="AF228" s="386" t="s">
        <v>741</v>
      </c>
      <c r="AG228" s="386" t="s">
        <v>745</v>
      </c>
      <c r="AH228" s="386" t="s">
        <v>746</v>
      </c>
      <c r="AI228" s="386" t="s">
        <v>748</v>
      </c>
      <c r="AJ228" s="386" t="s">
        <v>747</v>
      </c>
      <c r="AK228" s="386" t="s">
        <v>1096</v>
      </c>
      <c r="AL228" s="386" t="s">
        <v>1140</v>
      </c>
      <c r="AM228" s="386" t="s">
        <v>1141</v>
      </c>
      <c r="AN228" s="386" t="s">
        <v>1142</v>
      </c>
      <c r="AO228" s="386" t="s">
        <v>1143</v>
      </c>
      <c r="AP228" s="386" t="s">
        <v>1144</v>
      </c>
      <c r="AQ228" s="386" t="s">
        <v>1145</v>
      </c>
      <c r="AR228" s="386" t="s">
        <v>1146</v>
      </c>
      <c r="AS228" s="386" t="s">
        <v>1147</v>
      </c>
      <c r="AT228" s="386" t="s">
        <v>1176</v>
      </c>
      <c r="AU228" s="386" t="s">
        <v>1247</v>
      </c>
      <c r="AV228" s="386" t="s">
        <v>1293</v>
      </c>
      <c r="AW228" s="386" t="s">
        <v>1291</v>
      </c>
      <c r="AX228" s="386" t="s">
        <v>1294</v>
      </c>
      <c r="AY228" s="386" t="s">
        <v>1295</v>
      </c>
      <c r="AZ228" s="386" t="s">
        <v>1372</v>
      </c>
      <c r="BA228" s="386" t="s">
        <v>1373</v>
      </c>
      <c r="BB228" s="386" t="s">
        <v>1481</v>
      </c>
    </row>
    <row r="229" spans="1:54">
      <c r="A229" s="386" t="s">
        <v>612</v>
      </c>
      <c r="B229" s="539"/>
      <c r="C229" s="278" t="str">
        <f>IFERROR(VLOOKUP("D-SPA"&amp;2,お客様情報!$R$49:$U$53,4,FALSE),"")</f>
        <v/>
      </c>
      <c r="D229" s="278">
        <f>D$227</f>
        <v>1</v>
      </c>
      <c r="E229" s="278">
        <f>E$227</f>
        <v>1</v>
      </c>
      <c r="F229" s="278" t="str">
        <f>$F$227</f>
        <v/>
      </c>
      <c r="G229" s="278" t="str">
        <f>$G$227</f>
        <v/>
      </c>
      <c r="H229" s="314"/>
      <c r="I229" s="314"/>
      <c r="J229" s="556" t="str">
        <f>J$227</f>
        <v/>
      </c>
      <c r="K229" s="556" t="str">
        <f>K$227</f>
        <v/>
      </c>
      <c r="L229" s="314"/>
      <c r="M229" s="278" t="str">
        <f>$M$227</f>
        <v/>
      </c>
      <c r="N229" s="314"/>
      <c r="O229" s="314"/>
      <c r="P229" s="314"/>
      <c r="Q229" s="278" t="str">
        <f>$Q$227</f>
        <v/>
      </c>
      <c r="R229" s="278" t="str">
        <f>R$227</f>
        <v/>
      </c>
      <c r="S229" s="278" t="e">
        <f>$S$227</f>
        <v>#N/A</v>
      </c>
      <c r="T229" s="278" t="e">
        <f>$T$227</f>
        <v>#N/A</v>
      </c>
      <c r="U229" s="278"/>
      <c r="V229" s="278" t="str">
        <f>$V$227</f>
        <v/>
      </c>
      <c r="W229" s="286" t="str">
        <f>W$227</f>
        <v/>
      </c>
      <c r="X229" s="278" t="str">
        <f>$X$227</f>
        <v/>
      </c>
      <c r="Y229" s="278" t="str">
        <f>Y$227</f>
        <v/>
      </c>
      <c r="Z229" s="314"/>
      <c r="AA229" s="314"/>
      <c r="AB229" s="314"/>
      <c r="AC229" s="314"/>
      <c r="AD229" s="314"/>
      <c r="AE229" s="314"/>
      <c r="AF229" s="314"/>
      <c r="AG229" s="314"/>
      <c r="AH229" s="314"/>
      <c r="AI229" s="314"/>
      <c r="AJ229" s="314"/>
      <c r="AK229" s="314"/>
      <c r="AL229" s="314"/>
      <c r="AM229" s="314"/>
      <c r="AN229" s="314"/>
      <c r="AO229" s="314"/>
      <c r="AP229" s="314"/>
      <c r="AQ229" s="314"/>
      <c r="AR229" s="314"/>
      <c r="AS229" s="314"/>
      <c r="AT229" s="314"/>
      <c r="AU229" s="314"/>
      <c r="AV229" s="314"/>
      <c r="AW229" s="314"/>
      <c r="AX229" s="314"/>
      <c r="AY229" s="314"/>
      <c r="AZ229" s="314"/>
      <c r="BA229" s="314"/>
      <c r="BB229" s="314"/>
    </row>
    <row r="230" spans="1:54">
      <c r="A230" s="386" t="s">
        <v>586</v>
      </c>
      <c r="B230" s="386" t="s">
        <v>634</v>
      </c>
      <c r="C230" s="386" t="s">
        <v>946</v>
      </c>
      <c r="D230" s="386" t="s">
        <v>621</v>
      </c>
      <c r="E230" s="386" t="s">
        <v>622</v>
      </c>
      <c r="F230" s="386" t="s">
        <v>614</v>
      </c>
      <c r="G230" s="386" t="s">
        <v>623</v>
      </c>
      <c r="H230" s="386" t="s">
        <v>624</v>
      </c>
      <c r="I230" s="386" t="s">
        <v>625</v>
      </c>
      <c r="J230" s="386" t="s">
        <v>626</v>
      </c>
      <c r="K230" s="386" t="s">
        <v>627</v>
      </c>
      <c r="L230" s="386" t="s">
        <v>628</v>
      </c>
      <c r="M230" s="386" t="s">
        <v>629</v>
      </c>
      <c r="N230" s="386" t="s">
        <v>630</v>
      </c>
      <c r="O230" s="386" t="s">
        <v>631</v>
      </c>
      <c r="P230" s="386" t="s">
        <v>632</v>
      </c>
      <c r="Q230" s="386" t="s">
        <v>633</v>
      </c>
      <c r="R230" s="386" t="s">
        <v>1116</v>
      </c>
      <c r="S230" s="386" t="s">
        <v>701</v>
      </c>
      <c r="T230" s="386" t="s">
        <v>702</v>
      </c>
      <c r="U230" s="386" t="s">
        <v>699</v>
      </c>
      <c r="V230" s="386" t="s">
        <v>700</v>
      </c>
      <c r="W230" s="386" t="s">
        <v>822</v>
      </c>
      <c r="X230" s="386" t="s">
        <v>880</v>
      </c>
      <c r="Y230" s="386" t="s">
        <v>1118</v>
      </c>
      <c r="Z230" s="386" t="s">
        <v>1124</v>
      </c>
      <c r="AA230" s="386" t="s">
        <v>1125</v>
      </c>
      <c r="AB230" s="386" t="s">
        <v>1126</v>
      </c>
      <c r="AC230" s="386" t="s">
        <v>1127</v>
      </c>
      <c r="AD230" s="386" t="s">
        <v>1128</v>
      </c>
      <c r="AE230" s="386" t="s">
        <v>737</v>
      </c>
      <c r="AF230" s="386" t="s">
        <v>741</v>
      </c>
      <c r="AG230" s="386" t="s">
        <v>745</v>
      </c>
      <c r="AH230" s="386" t="s">
        <v>746</v>
      </c>
      <c r="AI230" s="386" t="s">
        <v>748</v>
      </c>
      <c r="AJ230" s="386" t="s">
        <v>747</v>
      </c>
      <c r="AK230" s="386" t="s">
        <v>1096</v>
      </c>
      <c r="AL230" s="386" t="s">
        <v>1140</v>
      </c>
      <c r="AM230" s="386" t="s">
        <v>1141</v>
      </c>
      <c r="AN230" s="386" t="s">
        <v>1142</v>
      </c>
      <c r="AO230" s="386" t="s">
        <v>1143</v>
      </c>
      <c r="AP230" s="386" t="s">
        <v>1144</v>
      </c>
      <c r="AQ230" s="386" t="s">
        <v>1145</v>
      </c>
      <c r="AR230" s="386" t="s">
        <v>1146</v>
      </c>
      <c r="AS230" s="386" t="s">
        <v>1147</v>
      </c>
      <c r="AT230" s="386" t="s">
        <v>1176</v>
      </c>
      <c r="AU230" s="386" t="s">
        <v>1247</v>
      </c>
      <c r="AV230" s="386" t="s">
        <v>1293</v>
      </c>
      <c r="AW230" s="386" t="s">
        <v>1291</v>
      </c>
      <c r="AX230" s="386" t="s">
        <v>1294</v>
      </c>
      <c r="AY230" s="386" t="s">
        <v>1295</v>
      </c>
      <c r="AZ230" s="386" t="s">
        <v>1372</v>
      </c>
      <c r="BA230" s="386" t="s">
        <v>1373</v>
      </c>
      <c r="BB230" s="386" t="s">
        <v>1481</v>
      </c>
    </row>
    <row r="231" spans="1:54">
      <c r="A231" s="386" t="s">
        <v>612</v>
      </c>
      <c r="B231" s="539"/>
      <c r="C231" s="278" t="str">
        <f>IFERROR(VLOOKUP("D-SPA"&amp;3,お客様情報!$R$49:$U$53,4,FALSE),"")</f>
        <v/>
      </c>
      <c r="D231" s="278">
        <f>D$227</f>
        <v>1</v>
      </c>
      <c r="E231" s="278">
        <f>E$227</f>
        <v>1</v>
      </c>
      <c r="F231" s="278" t="str">
        <f>$F$227</f>
        <v/>
      </c>
      <c r="G231" s="278" t="str">
        <f>$G$227</f>
        <v/>
      </c>
      <c r="H231" s="314"/>
      <c r="I231" s="314"/>
      <c r="J231" s="556" t="str">
        <f>J$227</f>
        <v/>
      </c>
      <c r="K231" s="556" t="str">
        <f>K$227</f>
        <v/>
      </c>
      <c r="L231" s="314"/>
      <c r="M231" s="278" t="str">
        <f>$M$227</f>
        <v/>
      </c>
      <c r="N231" s="314"/>
      <c r="O231" s="314"/>
      <c r="P231" s="314"/>
      <c r="Q231" s="278" t="str">
        <f>$Q$227</f>
        <v/>
      </c>
      <c r="R231" s="278" t="str">
        <f>R$227</f>
        <v/>
      </c>
      <c r="S231" s="278" t="e">
        <f>$S$227</f>
        <v>#N/A</v>
      </c>
      <c r="T231" s="278" t="e">
        <f>$T$227</f>
        <v>#N/A</v>
      </c>
      <c r="U231" s="278"/>
      <c r="V231" s="278" t="str">
        <f>$V$227</f>
        <v/>
      </c>
      <c r="W231" s="286" t="str">
        <f>W$227</f>
        <v/>
      </c>
      <c r="X231" s="278" t="str">
        <f>$X$227</f>
        <v/>
      </c>
      <c r="Y231" s="278" t="str">
        <f>Y$227</f>
        <v/>
      </c>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row>
    <row r="232" spans="1:54">
      <c r="A232" s="386" t="s">
        <v>586</v>
      </c>
      <c r="B232" s="386" t="s">
        <v>634</v>
      </c>
      <c r="C232" s="386" t="s">
        <v>620</v>
      </c>
      <c r="D232" s="386" t="s">
        <v>621</v>
      </c>
      <c r="E232" s="386" t="s">
        <v>622</v>
      </c>
      <c r="F232" s="386" t="s">
        <v>614</v>
      </c>
      <c r="G232" s="386" t="s">
        <v>623</v>
      </c>
      <c r="H232" s="386" t="s">
        <v>624</v>
      </c>
      <c r="I232" s="386" t="s">
        <v>625</v>
      </c>
      <c r="J232" s="386" t="s">
        <v>626</v>
      </c>
      <c r="K232" s="386" t="s">
        <v>627</v>
      </c>
      <c r="L232" s="386" t="s">
        <v>628</v>
      </c>
      <c r="M232" s="386" t="s">
        <v>629</v>
      </c>
      <c r="N232" s="386" t="s">
        <v>630</v>
      </c>
      <c r="O232" s="386" t="s">
        <v>631</v>
      </c>
      <c r="P232" s="386" t="s">
        <v>632</v>
      </c>
      <c r="Q232" s="386" t="s">
        <v>633</v>
      </c>
      <c r="R232" s="386" t="s">
        <v>1116</v>
      </c>
      <c r="S232" s="386" t="s">
        <v>701</v>
      </c>
      <c r="T232" s="386" t="s">
        <v>702</v>
      </c>
      <c r="U232" s="386" t="s">
        <v>699</v>
      </c>
      <c r="V232" s="386" t="s">
        <v>700</v>
      </c>
      <c r="W232" s="386" t="s">
        <v>822</v>
      </c>
      <c r="X232" s="386" t="s">
        <v>880</v>
      </c>
      <c r="Y232" s="386" t="s">
        <v>1118</v>
      </c>
      <c r="Z232" s="386" t="s">
        <v>1124</v>
      </c>
      <c r="AA232" s="386" t="s">
        <v>1125</v>
      </c>
      <c r="AB232" s="386" t="s">
        <v>1126</v>
      </c>
      <c r="AC232" s="386" t="s">
        <v>1127</v>
      </c>
      <c r="AD232" s="386" t="s">
        <v>1128</v>
      </c>
      <c r="AE232" s="386" t="s">
        <v>737</v>
      </c>
      <c r="AF232" s="386" t="s">
        <v>741</v>
      </c>
      <c r="AG232" s="386" t="s">
        <v>745</v>
      </c>
      <c r="AH232" s="386" t="s">
        <v>746</v>
      </c>
      <c r="AI232" s="386" t="s">
        <v>748</v>
      </c>
      <c r="AJ232" s="386" t="s">
        <v>747</v>
      </c>
      <c r="AK232" s="386" t="s">
        <v>1096</v>
      </c>
      <c r="AL232" s="386" t="s">
        <v>1140</v>
      </c>
      <c r="AM232" s="386" t="s">
        <v>1141</v>
      </c>
      <c r="AN232" s="386" t="s">
        <v>1142</v>
      </c>
      <c r="AO232" s="386" t="s">
        <v>1143</v>
      </c>
      <c r="AP232" s="386" t="s">
        <v>1144</v>
      </c>
      <c r="AQ232" s="386" t="s">
        <v>1145</v>
      </c>
      <c r="AR232" s="386" t="s">
        <v>1146</v>
      </c>
      <c r="AS232" s="386" t="s">
        <v>1147</v>
      </c>
      <c r="AT232" s="386" t="s">
        <v>1176</v>
      </c>
      <c r="AU232" s="386" t="s">
        <v>1247</v>
      </c>
      <c r="AV232" s="386" t="s">
        <v>1293</v>
      </c>
      <c r="AW232" s="386" t="s">
        <v>1291</v>
      </c>
      <c r="AX232" s="386" t="s">
        <v>1294</v>
      </c>
      <c r="AY232" s="386" t="s">
        <v>1295</v>
      </c>
      <c r="AZ232" s="386" t="s">
        <v>1372</v>
      </c>
      <c r="BA232" s="386" t="s">
        <v>1373</v>
      </c>
      <c r="BB232" s="386" t="s">
        <v>1481</v>
      </c>
    </row>
    <row r="233" spans="1:54">
      <c r="A233" s="386" t="s">
        <v>612</v>
      </c>
      <c r="B233" s="539"/>
      <c r="C233" s="278" t="str">
        <f>IFERROR(VLOOKUP("D-SPA"&amp;4,お客様情報!$R$49:$U$53,4,FALSE),"")</f>
        <v/>
      </c>
      <c r="D233" s="278">
        <f>D$227</f>
        <v>1</v>
      </c>
      <c r="E233" s="278">
        <f>E$227</f>
        <v>1</v>
      </c>
      <c r="F233" s="278" t="str">
        <f>$F$227</f>
        <v/>
      </c>
      <c r="G233" s="278" t="str">
        <f>$G$227</f>
        <v/>
      </c>
      <c r="H233" s="314"/>
      <c r="I233" s="314"/>
      <c r="J233" s="556" t="str">
        <f>J$227</f>
        <v/>
      </c>
      <c r="K233" s="556" t="str">
        <f>K$227</f>
        <v/>
      </c>
      <c r="L233" s="314"/>
      <c r="M233" s="278" t="str">
        <f>$M$227</f>
        <v/>
      </c>
      <c r="N233" s="314"/>
      <c r="O233" s="314"/>
      <c r="P233" s="314"/>
      <c r="Q233" s="278" t="str">
        <f>$Q$227</f>
        <v/>
      </c>
      <c r="R233" s="278" t="str">
        <f>R$227</f>
        <v/>
      </c>
      <c r="S233" s="278" t="e">
        <f>$S$227</f>
        <v>#N/A</v>
      </c>
      <c r="T233" s="278" t="e">
        <f>$T$227</f>
        <v>#N/A</v>
      </c>
      <c r="U233" s="278"/>
      <c r="V233" s="278" t="str">
        <f>$V$227</f>
        <v/>
      </c>
      <c r="W233" s="286" t="str">
        <f>W$227</f>
        <v/>
      </c>
      <c r="X233" s="278" t="str">
        <f>$X$227</f>
        <v/>
      </c>
      <c r="Y233" s="278" t="str">
        <f>Y$227</f>
        <v/>
      </c>
      <c r="Z233" s="314"/>
      <c r="AA233" s="314"/>
      <c r="AB233" s="314"/>
      <c r="AC233" s="314"/>
      <c r="AD233" s="314"/>
      <c r="AE233" s="314"/>
      <c r="AF233" s="314"/>
      <c r="AG233" s="314"/>
      <c r="AH233" s="314"/>
      <c r="AI233" s="314"/>
      <c r="AJ233" s="314"/>
      <c r="AK233" s="314"/>
      <c r="AL233" s="314"/>
      <c r="AM233" s="314"/>
      <c r="AN233" s="314"/>
      <c r="AO233" s="314"/>
      <c r="AP233" s="314"/>
      <c r="AQ233" s="314"/>
      <c r="AR233" s="314"/>
      <c r="AS233" s="314"/>
      <c r="AT233" s="314"/>
      <c r="AU233" s="314"/>
      <c r="AV233" s="314"/>
      <c r="AW233" s="314"/>
      <c r="AX233" s="314"/>
      <c r="AY233" s="314"/>
      <c r="AZ233" s="314"/>
      <c r="BA233" s="314"/>
      <c r="BB233" s="314"/>
    </row>
    <row r="234" spans="1:54">
      <c r="A234" s="386" t="s">
        <v>586</v>
      </c>
      <c r="B234" s="386" t="s">
        <v>634</v>
      </c>
      <c r="C234" s="386" t="s">
        <v>620</v>
      </c>
      <c r="D234" s="386" t="s">
        <v>621</v>
      </c>
      <c r="E234" s="386" t="s">
        <v>622</v>
      </c>
      <c r="F234" s="386" t="s">
        <v>614</v>
      </c>
      <c r="G234" s="386" t="s">
        <v>1129</v>
      </c>
      <c r="H234" s="386" t="s">
        <v>624</v>
      </c>
      <c r="I234" s="386" t="s">
        <v>625</v>
      </c>
      <c r="J234" s="386" t="s">
        <v>626</v>
      </c>
      <c r="K234" s="386" t="s">
        <v>627</v>
      </c>
      <c r="L234" s="386" t="s">
        <v>628</v>
      </c>
      <c r="M234" s="386" t="s">
        <v>629</v>
      </c>
      <c r="N234" s="386" t="s">
        <v>630</v>
      </c>
      <c r="O234" s="386" t="s">
        <v>631</v>
      </c>
      <c r="P234" s="386" t="s">
        <v>632</v>
      </c>
      <c r="Q234" s="386" t="s">
        <v>633</v>
      </c>
      <c r="R234" s="386" t="s">
        <v>1116</v>
      </c>
      <c r="S234" s="386" t="s">
        <v>701</v>
      </c>
      <c r="T234" s="386" t="s">
        <v>702</v>
      </c>
      <c r="U234" s="386" t="s">
        <v>699</v>
      </c>
      <c r="V234" s="386" t="s">
        <v>700</v>
      </c>
      <c r="W234" s="386" t="s">
        <v>822</v>
      </c>
      <c r="X234" s="386" t="s">
        <v>880</v>
      </c>
      <c r="Y234" s="386" t="s">
        <v>1118</v>
      </c>
      <c r="Z234" s="386" t="s">
        <v>1124</v>
      </c>
      <c r="AA234" s="386" t="s">
        <v>1125</v>
      </c>
      <c r="AB234" s="386" t="s">
        <v>1126</v>
      </c>
      <c r="AC234" s="386" t="s">
        <v>1127</v>
      </c>
      <c r="AD234" s="386" t="s">
        <v>1128</v>
      </c>
      <c r="AE234" s="386" t="s">
        <v>737</v>
      </c>
      <c r="AF234" s="386" t="s">
        <v>741</v>
      </c>
      <c r="AG234" s="386" t="s">
        <v>745</v>
      </c>
      <c r="AH234" s="386" t="s">
        <v>746</v>
      </c>
      <c r="AI234" s="386" t="s">
        <v>748</v>
      </c>
      <c r="AJ234" s="386" t="s">
        <v>747</v>
      </c>
      <c r="AK234" s="386" t="s">
        <v>1096</v>
      </c>
      <c r="AL234" s="386" t="s">
        <v>1140</v>
      </c>
      <c r="AM234" s="386" t="s">
        <v>1141</v>
      </c>
      <c r="AN234" s="386" t="s">
        <v>1142</v>
      </c>
      <c r="AO234" s="386" t="s">
        <v>1143</v>
      </c>
      <c r="AP234" s="386" t="s">
        <v>1144</v>
      </c>
      <c r="AQ234" s="386" t="s">
        <v>1145</v>
      </c>
      <c r="AR234" s="386" t="s">
        <v>1146</v>
      </c>
      <c r="AS234" s="386" t="s">
        <v>1147</v>
      </c>
      <c r="AT234" s="386" t="s">
        <v>1176</v>
      </c>
      <c r="AU234" s="386" t="s">
        <v>1247</v>
      </c>
      <c r="AV234" s="386" t="s">
        <v>1293</v>
      </c>
      <c r="AW234" s="386" t="s">
        <v>1291</v>
      </c>
      <c r="AX234" s="386" t="s">
        <v>1294</v>
      </c>
      <c r="AY234" s="386" t="s">
        <v>1295</v>
      </c>
      <c r="AZ234" s="386" t="s">
        <v>1372</v>
      </c>
      <c r="BA234" s="386" t="s">
        <v>1373</v>
      </c>
      <c r="BB234" s="386" t="s">
        <v>1481</v>
      </c>
    </row>
    <row r="235" spans="1:54">
      <c r="A235" s="386" t="s">
        <v>612</v>
      </c>
      <c r="B235" s="278" t="str">
        <f>IF(AND(お客様情報!$E$2="代ホ_DSPA",代ホ_入力フォームDSPA!$D$115&lt;&gt;"",COUNTIF(お客様情報!$R$49:$R$53,"D-SPA5")&gt;0),4,"")</f>
        <v/>
      </c>
      <c r="C235" s="278" t="str">
        <f>IFERROR(VLOOKUP("D-SPA"&amp;5,お客様情報!$R$49:$U$53,4,FALSE),"")</f>
        <v/>
      </c>
      <c r="D235" s="278">
        <f>D$227</f>
        <v>1</v>
      </c>
      <c r="E235" s="278">
        <f>E$227</f>
        <v>1</v>
      </c>
      <c r="F235" s="278" t="str">
        <f>$F$227</f>
        <v/>
      </c>
      <c r="G235" s="278" t="str">
        <f>$G$227</f>
        <v/>
      </c>
      <c r="H235" s="314"/>
      <c r="I235" s="314"/>
      <c r="J235" s="556" t="str">
        <f>J$227</f>
        <v/>
      </c>
      <c r="K235" s="556" t="str">
        <f>K$227</f>
        <v/>
      </c>
      <c r="L235" s="314"/>
      <c r="M235" s="278" t="str">
        <f>$M$227</f>
        <v/>
      </c>
      <c r="N235" s="314"/>
      <c r="O235" s="314"/>
      <c r="P235" s="314"/>
      <c r="Q235" s="278" t="str">
        <f>$Q$227</f>
        <v/>
      </c>
      <c r="R235" s="278" t="str">
        <f>R$227</f>
        <v/>
      </c>
      <c r="S235" s="278" t="e">
        <f>$S$227</f>
        <v>#N/A</v>
      </c>
      <c r="T235" s="278" t="e">
        <f>$T$227</f>
        <v>#N/A</v>
      </c>
      <c r="U235" s="278"/>
      <c r="V235" s="278" t="str">
        <f>$V$227</f>
        <v/>
      </c>
      <c r="W235" s="286" t="str">
        <f>W$227</f>
        <v/>
      </c>
      <c r="X235" s="278" t="str">
        <f>$X$227</f>
        <v/>
      </c>
      <c r="Y235" s="278" t="str">
        <f>Y$227</f>
        <v/>
      </c>
      <c r="Z235" s="314"/>
      <c r="AA235" s="314"/>
      <c r="AB235" s="314"/>
      <c r="AC235" s="314"/>
      <c r="AD235" s="314"/>
      <c r="AE235" s="314"/>
      <c r="AF235" s="314"/>
      <c r="AG235" s="314"/>
      <c r="AH235" s="314"/>
      <c r="AI235" s="314"/>
      <c r="AJ235" s="314"/>
      <c r="AK235" s="314"/>
      <c r="AL235" s="314"/>
      <c r="AM235" s="314"/>
      <c r="AN235" s="314"/>
      <c r="AO235" s="314"/>
      <c r="AP235" s="314"/>
      <c r="AQ235" s="314"/>
      <c r="AR235" s="314"/>
      <c r="AS235" s="314"/>
      <c r="AT235" s="314"/>
      <c r="AU235" s="314"/>
      <c r="AV235" s="314"/>
      <c r="AW235" s="314"/>
      <c r="AX235" s="314"/>
      <c r="AY235" s="314"/>
      <c r="AZ235" s="314"/>
      <c r="BA235" s="314"/>
      <c r="BB235" s="314"/>
    </row>
    <row r="236" spans="1:54">
      <c r="A236" s="538" t="s">
        <v>586</v>
      </c>
      <c r="B236" s="538" t="s">
        <v>634</v>
      </c>
      <c r="C236" s="538" t="s">
        <v>620</v>
      </c>
      <c r="D236" s="538" t="s">
        <v>621</v>
      </c>
      <c r="E236" s="538" t="s">
        <v>622</v>
      </c>
      <c r="F236" s="538" t="s">
        <v>614</v>
      </c>
      <c r="G236" s="538" t="s">
        <v>623</v>
      </c>
      <c r="H236" s="538" t="s">
        <v>624</v>
      </c>
      <c r="I236" s="538" t="s">
        <v>625</v>
      </c>
      <c r="J236" s="538" t="s">
        <v>626</v>
      </c>
      <c r="K236" s="538" t="s">
        <v>627</v>
      </c>
      <c r="L236" s="538" t="s">
        <v>628</v>
      </c>
      <c r="M236" s="538" t="s">
        <v>629</v>
      </c>
      <c r="N236" s="538" t="s">
        <v>630</v>
      </c>
      <c r="O236" s="538" t="s">
        <v>631</v>
      </c>
      <c r="P236" s="538" t="s">
        <v>632</v>
      </c>
      <c r="Q236" s="538" t="s">
        <v>633</v>
      </c>
      <c r="R236" s="538" t="s">
        <v>1116</v>
      </c>
      <c r="S236" s="538" t="s">
        <v>701</v>
      </c>
      <c r="T236" s="538" t="s">
        <v>702</v>
      </c>
      <c r="U236" s="538" t="s">
        <v>699</v>
      </c>
      <c r="V236" s="538" t="s">
        <v>700</v>
      </c>
      <c r="W236" s="538" t="s">
        <v>822</v>
      </c>
      <c r="X236" s="538" t="s">
        <v>880</v>
      </c>
      <c r="Y236" s="538" t="s">
        <v>1118</v>
      </c>
      <c r="Z236" s="538" t="s">
        <v>1124</v>
      </c>
      <c r="AA236" s="538" t="s">
        <v>1125</v>
      </c>
      <c r="AB236" s="538" t="s">
        <v>1126</v>
      </c>
      <c r="AC236" s="538" t="s">
        <v>1127</v>
      </c>
      <c r="AD236" s="538" t="s">
        <v>1128</v>
      </c>
      <c r="AE236" s="538" t="s">
        <v>737</v>
      </c>
      <c r="AF236" s="538" t="s">
        <v>741</v>
      </c>
      <c r="AG236" s="538" t="s">
        <v>745</v>
      </c>
      <c r="AH236" s="538" t="s">
        <v>746</v>
      </c>
      <c r="AI236" s="538" t="s">
        <v>748</v>
      </c>
      <c r="AJ236" s="538" t="s">
        <v>747</v>
      </c>
      <c r="AK236" s="538" t="s">
        <v>1096</v>
      </c>
      <c r="AL236" s="538" t="s">
        <v>1140</v>
      </c>
      <c r="AM236" s="538" t="s">
        <v>1141</v>
      </c>
      <c r="AN236" s="538" t="s">
        <v>1142</v>
      </c>
      <c r="AO236" s="538" t="s">
        <v>1143</v>
      </c>
      <c r="AP236" s="538" t="s">
        <v>1144</v>
      </c>
      <c r="AQ236" s="538" t="s">
        <v>1145</v>
      </c>
      <c r="AR236" s="538" t="s">
        <v>1146</v>
      </c>
      <c r="AS236" s="538" t="s">
        <v>1147</v>
      </c>
      <c r="AT236" s="538" t="s">
        <v>1176</v>
      </c>
      <c r="AU236" s="538" t="s">
        <v>1247</v>
      </c>
      <c r="AV236" s="538" t="s">
        <v>1293</v>
      </c>
      <c r="AW236" s="538" t="s">
        <v>1291</v>
      </c>
      <c r="AX236" s="538" t="s">
        <v>1294</v>
      </c>
      <c r="AY236" s="538" t="s">
        <v>1295</v>
      </c>
      <c r="AZ236" s="538" t="s">
        <v>1372</v>
      </c>
      <c r="BA236" s="538" t="s">
        <v>1373</v>
      </c>
      <c r="BB236" s="538" t="s">
        <v>1481</v>
      </c>
    </row>
    <row r="237" spans="1:54">
      <c r="A237" s="538" t="s">
        <v>612</v>
      </c>
      <c r="B237" s="278" t="str">
        <f>IF(AND(お客様情報!$E$2="代ホ_DSPA",COUNTIF(お客様情報!$R$49:$R$53,"D-SPAソフトウェアオプション1")&gt;0),4,"")</f>
        <v/>
      </c>
      <c r="C237" s="278" t="str">
        <f>IFERROR(VLOOKUP("D-SPAソフトウェアオプション"&amp;1,お客様情報!$R$49:$U$53,4,FALSE),"")</f>
        <v/>
      </c>
      <c r="D237" s="278" t="str">
        <f>IF(ISBLANK(代ホ_入力フォームDSPA!BV145),代ホ_入力フォームDSPA!BV161,代ホ_入力フォームDSPA!BV145)</f>
        <v/>
      </c>
      <c r="E237" s="278" t="str">
        <f>IF(COUNTA(代ホ_入力フォームDSPA!R126:Y135)=0,"",COUNTA(代ホ_入力フォームDSPA!R126:Y135))</f>
        <v/>
      </c>
      <c r="F237" s="278" t="str">
        <f>IF(OR(COUNTIF(代ホ_入力フォームDSPA!AR145:BE158,"*更新*"),代ホ_入力フォームDSPA!AB161="継続（本体既存契約有)"),"",中間データDSPA!G20)</f>
        <v>2000/0/1</v>
      </c>
      <c r="G237" s="278" t="e">
        <f>IF(AND(代ホ_入力フォームDSPA!AG107="更新",代ホ_入力フォームDSPA!AB161="継続（本体既存契約有）"),中間データDSPA!H9,中間データDSPA!H19)</f>
        <v>#VALUE!</v>
      </c>
      <c r="H237" s="314"/>
      <c r="I237" s="314"/>
      <c r="J237" s="556" t="str">
        <f>IF(代ホ_入力フォームDSPA!BA164="はい/お客様アドレス",代ホ_入力フォームDSPA!AG40,"")</f>
        <v/>
      </c>
      <c r="K237" s="556" t="str">
        <f>IF(代ホ_入力フォームDSPA!BA164="はい/通知先記入",代ホ_入力フォームDSPA!BT164,"")</f>
        <v/>
      </c>
      <c r="L237" s="314"/>
      <c r="M237" s="278">
        <f>IF(代ホ_入力フォームDSPA!BF145&lt;&gt;"",代ホ_入力フォームDSPA!BF145,代ホ_入力フォームDSPA!BF161)</f>
        <v>0</v>
      </c>
      <c r="N237" s="314"/>
      <c r="O237" s="314"/>
      <c r="P237" s="314"/>
      <c r="Q237" s="378"/>
      <c r="R237" s="314"/>
      <c r="S237" s="278" t="e">
        <f>IF(お客様情報!$N$64="","",お客様情報!$N$64)</f>
        <v>#N/A</v>
      </c>
      <c r="T237" s="278" t="e">
        <f>IF(お客様情報!$N$65="","",お客様情報!$N$65)</f>
        <v>#N/A</v>
      </c>
      <c r="U237" s="278" t="str">
        <f>IF(代ホ_入力フォームDSPA!$AB$147="○ あり",代ホ_入力フォームDSPA!$AI$147,"")</f>
        <v/>
      </c>
      <c r="V237" s="278" t="str">
        <f>IF(AND(COUNTIF(代ホ_入力フォームDSPA!$AB$145,"*○*"),代ホ_入力フォームDSPA!$AB$159="○ あり"),"子ども見守り","")</f>
        <v/>
      </c>
      <c r="W237" s="378"/>
      <c r="X237" s="278"/>
      <c r="Y237" s="314"/>
      <c r="Z237" s="314"/>
      <c r="AA237" s="314"/>
      <c r="AB237" s="314"/>
      <c r="AC237" s="314"/>
      <c r="AD237" s="314"/>
      <c r="AE237" s="314"/>
      <c r="AF237" s="314"/>
      <c r="AG237" s="314"/>
      <c r="AH237" s="314"/>
      <c r="AI237" s="278" t="str">
        <f>IF(AND(代ホ_入力フォームDSPA!$AB$157="○ あり",代ホ_入力フォームDSPA!$AR$157&lt;&gt;"更新"),代ホ_入力フォームDSPA!$BV$157,"")</f>
        <v/>
      </c>
      <c r="AJ237" s="314"/>
      <c r="AK237" s="314"/>
      <c r="AL237" s="314"/>
      <c r="AM237" s="314"/>
      <c r="AN237" s="314"/>
      <c r="AO237" s="314"/>
      <c r="AP237" s="314"/>
      <c r="AQ237" s="314"/>
      <c r="AR237" s="314"/>
      <c r="AS237" s="314"/>
      <c r="AT237" s="314"/>
      <c r="AU237" s="314"/>
      <c r="AV237" s="314"/>
      <c r="AW237" s="314"/>
      <c r="AX237" s="314"/>
      <c r="AY237" s="314"/>
      <c r="AZ237" s="314"/>
      <c r="BA237" s="314"/>
      <c r="BB237" s="314"/>
    </row>
    <row r="238" spans="1:54">
      <c r="A238" s="538" t="s">
        <v>586</v>
      </c>
      <c r="B238" s="538" t="s">
        <v>634</v>
      </c>
      <c r="C238" s="538" t="s">
        <v>620</v>
      </c>
      <c r="D238" s="538" t="s">
        <v>621</v>
      </c>
      <c r="E238" s="538" t="s">
        <v>622</v>
      </c>
      <c r="F238" s="538" t="s">
        <v>614</v>
      </c>
      <c r="G238" s="538" t="s">
        <v>623</v>
      </c>
      <c r="H238" s="538" t="s">
        <v>624</v>
      </c>
      <c r="I238" s="538" t="s">
        <v>625</v>
      </c>
      <c r="J238" s="538" t="s">
        <v>626</v>
      </c>
      <c r="K238" s="538" t="s">
        <v>627</v>
      </c>
      <c r="L238" s="538" t="s">
        <v>628</v>
      </c>
      <c r="M238" s="538" t="s">
        <v>629</v>
      </c>
      <c r="N238" s="538" t="s">
        <v>630</v>
      </c>
      <c r="O238" s="538" t="s">
        <v>631</v>
      </c>
      <c r="P238" s="538" t="s">
        <v>632</v>
      </c>
      <c r="Q238" s="538" t="s">
        <v>633</v>
      </c>
      <c r="R238" s="538" t="s">
        <v>1116</v>
      </c>
      <c r="S238" s="538" t="s">
        <v>701</v>
      </c>
      <c r="T238" s="538" t="s">
        <v>702</v>
      </c>
      <c r="U238" s="538" t="s">
        <v>699</v>
      </c>
      <c r="V238" s="538" t="s">
        <v>700</v>
      </c>
      <c r="W238" s="538" t="s">
        <v>822</v>
      </c>
      <c r="X238" s="538" t="s">
        <v>880</v>
      </c>
      <c r="Y238" s="538" t="s">
        <v>1118</v>
      </c>
      <c r="Z238" s="538" t="s">
        <v>1124</v>
      </c>
      <c r="AA238" s="538" t="s">
        <v>1125</v>
      </c>
      <c r="AB238" s="538" t="s">
        <v>1126</v>
      </c>
      <c r="AC238" s="538" t="s">
        <v>1127</v>
      </c>
      <c r="AD238" s="538" t="s">
        <v>1128</v>
      </c>
      <c r="AE238" s="538" t="s">
        <v>737</v>
      </c>
      <c r="AF238" s="538" t="s">
        <v>741</v>
      </c>
      <c r="AG238" s="538" t="s">
        <v>745</v>
      </c>
      <c r="AH238" s="538" t="s">
        <v>746</v>
      </c>
      <c r="AI238" s="538" t="s">
        <v>748</v>
      </c>
      <c r="AJ238" s="538" t="s">
        <v>747</v>
      </c>
      <c r="AK238" s="538" t="s">
        <v>1096</v>
      </c>
      <c r="AL238" s="538" t="s">
        <v>1140</v>
      </c>
      <c r="AM238" s="538" t="s">
        <v>1141</v>
      </c>
      <c r="AN238" s="538" t="s">
        <v>1142</v>
      </c>
      <c r="AO238" s="538" t="s">
        <v>1143</v>
      </c>
      <c r="AP238" s="538" t="s">
        <v>1144</v>
      </c>
      <c r="AQ238" s="538" t="s">
        <v>1145</v>
      </c>
      <c r="AR238" s="538" t="s">
        <v>1146</v>
      </c>
      <c r="AS238" s="538" t="s">
        <v>1147</v>
      </c>
      <c r="AT238" s="538" t="s">
        <v>1176</v>
      </c>
      <c r="AU238" s="538" t="s">
        <v>1247</v>
      </c>
      <c r="AV238" s="538" t="s">
        <v>1293</v>
      </c>
      <c r="AW238" s="538" t="s">
        <v>1291</v>
      </c>
      <c r="AX238" s="538" t="s">
        <v>1294</v>
      </c>
      <c r="AY238" s="538" t="s">
        <v>1295</v>
      </c>
      <c r="AZ238" s="538" t="s">
        <v>1372</v>
      </c>
      <c r="BA238" s="538" t="s">
        <v>1373</v>
      </c>
      <c r="BB238" s="538" t="s">
        <v>1481</v>
      </c>
    </row>
    <row r="239" spans="1:54">
      <c r="A239" s="538" t="s">
        <v>612</v>
      </c>
      <c r="B239" s="278" t="str">
        <f>IF(AND(お客様情報!$E$2="代ホ_DSPA",COUNTIF(お客様情報!$R$49:$R$53,"D-SPAソフトウェアオプション2")&gt;0),4,"")</f>
        <v/>
      </c>
      <c r="C239" s="278" t="str">
        <f>IFERROR(VLOOKUP("D-SPAソフトウェアオプション"&amp;2,お客様情報!$R$49:$U$53,4,FALSE),"")</f>
        <v/>
      </c>
      <c r="D239" s="278" t="str">
        <f>D$237</f>
        <v/>
      </c>
      <c r="E239" s="278" t="str">
        <f>E$237</f>
        <v/>
      </c>
      <c r="F239" s="278" t="str">
        <f>$F$237</f>
        <v>2000/0/1</v>
      </c>
      <c r="G239" s="278" t="e">
        <f>G$237</f>
        <v>#VALUE!</v>
      </c>
      <c r="H239" s="314"/>
      <c r="I239" s="314"/>
      <c r="J239" s="556" t="str">
        <f>J$237</f>
        <v/>
      </c>
      <c r="K239" s="556" t="str">
        <f>K$237</f>
        <v/>
      </c>
      <c r="L239" s="314"/>
      <c r="M239" s="278">
        <f>$M$237</f>
        <v>0</v>
      </c>
      <c r="N239" s="314"/>
      <c r="O239" s="314"/>
      <c r="P239" s="314"/>
      <c r="Q239" s="378"/>
      <c r="R239" s="314"/>
      <c r="S239" s="278" t="e">
        <f>$S$227</f>
        <v>#N/A</v>
      </c>
      <c r="T239" s="278" t="e">
        <f>$T$227</f>
        <v>#N/A</v>
      </c>
      <c r="U239" s="278">
        <f>$U$227</f>
        <v>0</v>
      </c>
      <c r="V239" s="278" t="str">
        <f>$V$227</f>
        <v/>
      </c>
      <c r="W239" s="540"/>
      <c r="X239" s="278"/>
      <c r="Y239" s="314"/>
      <c r="Z239" s="314"/>
      <c r="AA239" s="314"/>
      <c r="AB239" s="314"/>
      <c r="AC239" s="314"/>
      <c r="AD239" s="314"/>
      <c r="AE239" s="314"/>
      <c r="AF239" s="314"/>
      <c r="AG239" s="314"/>
      <c r="AH239" s="314"/>
      <c r="AI239" s="278" t="str">
        <f>AI$237</f>
        <v/>
      </c>
      <c r="AJ239" s="314"/>
      <c r="AK239" s="314"/>
      <c r="AL239" s="314"/>
      <c r="AM239" s="314"/>
      <c r="AN239" s="314"/>
      <c r="AO239" s="314"/>
      <c r="AP239" s="314"/>
      <c r="AQ239" s="314"/>
      <c r="AR239" s="314"/>
      <c r="AS239" s="314"/>
      <c r="AT239" s="314"/>
      <c r="AU239" s="314"/>
      <c r="AV239" s="314"/>
      <c r="AW239" s="314"/>
      <c r="AX239" s="314"/>
      <c r="AY239" s="314"/>
      <c r="AZ239" s="314"/>
      <c r="BA239" s="314"/>
      <c r="BB239" s="314"/>
    </row>
    <row r="240" spans="1:54">
      <c r="A240" s="538" t="s">
        <v>586</v>
      </c>
      <c r="B240" s="538" t="s">
        <v>634</v>
      </c>
      <c r="C240" s="538" t="s">
        <v>620</v>
      </c>
      <c r="D240" s="538" t="s">
        <v>621</v>
      </c>
      <c r="E240" s="538" t="s">
        <v>622</v>
      </c>
      <c r="F240" s="538" t="s">
        <v>614</v>
      </c>
      <c r="G240" s="538" t="s">
        <v>623</v>
      </c>
      <c r="H240" s="538" t="s">
        <v>624</v>
      </c>
      <c r="I240" s="538" t="s">
        <v>625</v>
      </c>
      <c r="J240" s="538" t="s">
        <v>626</v>
      </c>
      <c r="K240" s="538" t="s">
        <v>627</v>
      </c>
      <c r="L240" s="538" t="s">
        <v>628</v>
      </c>
      <c r="M240" s="538" t="s">
        <v>629</v>
      </c>
      <c r="N240" s="538" t="s">
        <v>630</v>
      </c>
      <c r="O240" s="538" t="s">
        <v>631</v>
      </c>
      <c r="P240" s="538" t="s">
        <v>632</v>
      </c>
      <c r="Q240" s="538" t="s">
        <v>633</v>
      </c>
      <c r="R240" s="538" t="s">
        <v>1116</v>
      </c>
      <c r="S240" s="538" t="s">
        <v>701</v>
      </c>
      <c r="T240" s="538" t="s">
        <v>702</v>
      </c>
      <c r="U240" s="538" t="s">
        <v>699</v>
      </c>
      <c r="V240" s="538" t="s">
        <v>700</v>
      </c>
      <c r="W240" s="538" t="s">
        <v>822</v>
      </c>
      <c r="X240" s="538" t="s">
        <v>880</v>
      </c>
      <c r="Y240" s="538" t="s">
        <v>1118</v>
      </c>
      <c r="Z240" s="538" t="s">
        <v>1124</v>
      </c>
      <c r="AA240" s="538" t="s">
        <v>1125</v>
      </c>
      <c r="AB240" s="538" t="s">
        <v>1126</v>
      </c>
      <c r="AC240" s="538" t="s">
        <v>1127</v>
      </c>
      <c r="AD240" s="538" t="s">
        <v>1128</v>
      </c>
      <c r="AE240" s="538" t="s">
        <v>737</v>
      </c>
      <c r="AF240" s="538" t="s">
        <v>741</v>
      </c>
      <c r="AG240" s="538" t="s">
        <v>745</v>
      </c>
      <c r="AH240" s="538" t="s">
        <v>746</v>
      </c>
      <c r="AI240" s="538" t="s">
        <v>748</v>
      </c>
      <c r="AJ240" s="538" t="s">
        <v>747</v>
      </c>
      <c r="AK240" s="538" t="s">
        <v>1096</v>
      </c>
      <c r="AL240" s="538" t="s">
        <v>1140</v>
      </c>
      <c r="AM240" s="538" t="s">
        <v>1141</v>
      </c>
      <c r="AN240" s="538" t="s">
        <v>1142</v>
      </c>
      <c r="AO240" s="538" t="s">
        <v>1143</v>
      </c>
      <c r="AP240" s="538" t="s">
        <v>1144</v>
      </c>
      <c r="AQ240" s="538" t="s">
        <v>1145</v>
      </c>
      <c r="AR240" s="538" t="s">
        <v>1146</v>
      </c>
      <c r="AS240" s="538" t="s">
        <v>1147</v>
      </c>
      <c r="AT240" s="538" t="s">
        <v>1176</v>
      </c>
      <c r="AU240" s="538" t="s">
        <v>1247</v>
      </c>
      <c r="AV240" s="538" t="s">
        <v>1293</v>
      </c>
      <c r="AW240" s="538" t="s">
        <v>1291</v>
      </c>
      <c r="AX240" s="538" t="s">
        <v>1294</v>
      </c>
      <c r="AY240" s="538" t="s">
        <v>1295</v>
      </c>
      <c r="AZ240" s="538" t="s">
        <v>1372</v>
      </c>
      <c r="BA240" s="538" t="s">
        <v>1373</v>
      </c>
      <c r="BB240" s="538" t="s">
        <v>1481</v>
      </c>
    </row>
    <row r="241" spans="1:54">
      <c r="A241" s="538" t="s">
        <v>612</v>
      </c>
      <c r="B241" s="278" t="str">
        <f>IF(AND(お客様情報!$E$2="代ホ_DSPA",COUNTIF(お客様情報!$R$49:$R$53,"D-SPAソフトウェアオプション3")&gt;0),4,"")</f>
        <v/>
      </c>
      <c r="C241" s="278" t="str">
        <f>IFERROR(VLOOKUP("D-SPAソフトウェアオプション"&amp;3,お客様情報!$R$49:$U$53,4,FALSE),"")</f>
        <v/>
      </c>
      <c r="D241" s="278" t="str">
        <f>D$237</f>
        <v/>
      </c>
      <c r="E241" s="278" t="str">
        <f>E$237</f>
        <v/>
      </c>
      <c r="F241" s="278" t="str">
        <f>$F$237</f>
        <v>2000/0/1</v>
      </c>
      <c r="G241" s="278" t="e">
        <f>G$237</f>
        <v>#VALUE!</v>
      </c>
      <c r="H241" s="314"/>
      <c r="I241" s="314"/>
      <c r="J241" s="556" t="str">
        <f>J$237</f>
        <v/>
      </c>
      <c r="K241" s="556" t="str">
        <f>K$237</f>
        <v/>
      </c>
      <c r="L241" s="314"/>
      <c r="M241" s="278">
        <f>$M$237</f>
        <v>0</v>
      </c>
      <c r="N241" s="314"/>
      <c r="O241" s="314"/>
      <c r="P241" s="314"/>
      <c r="Q241" s="378"/>
      <c r="R241" s="314"/>
      <c r="S241" s="278" t="e">
        <f>$S$227</f>
        <v>#N/A</v>
      </c>
      <c r="T241" s="278" t="e">
        <f>$T$227</f>
        <v>#N/A</v>
      </c>
      <c r="U241" s="278">
        <f>$U$227</f>
        <v>0</v>
      </c>
      <c r="V241" s="278" t="str">
        <f>$V$227</f>
        <v/>
      </c>
      <c r="W241" s="540"/>
      <c r="X241" s="278"/>
      <c r="Y241" s="314"/>
      <c r="Z241" s="314"/>
      <c r="AA241" s="314"/>
      <c r="AB241" s="314"/>
      <c r="AC241" s="314"/>
      <c r="AD241" s="314"/>
      <c r="AE241" s="314"/>
      <c r="AF241" s="314"/>
      <c r="AG241" s="314"/>
      <c r="AH241" s="314"/>
      <c r="AI241" s="278" t="str">
        <f>AI$237</f>
        <v/>
      </c>
      <c r="AJ241" s="314"/>
      <c r="AK241" s="314"/>
      <c r="AL241" s="314"/>
      <c r="AM241" s="314"/>
      <c r="AN241" s="314"/>
      <c r="AO241" s="314"/>
      <c r="AP241" s="314"/>
      <c r="AQ241" s="314"/>
      <c r="AR241" s="314"/>
      <c r="AS241" s="314"/>
      <c r="AT241" s="314"/>
      <c r="AU241" s="314"/>
      <c r="AV241" s="314"/>
      <c r="AW241" s="314"/>
      <c r="AX241" s="314"/>
      <c r="AY241" s="314"/>
      <c r="AZ241" s="314"/>
      <c r="BA241" s="314"/>
      <c r="BB241" s="314"/>
    </row>
    <row r="242" spans="1:54">
      <c r="A242" s="538" t="s">
        <v>586</v>
      </c>
      <c r="B242" s="538" t="s">
        <v>634</v>
      </c>
      <c r="C242" s="538" t="s">
        <v>620</v>
      </c>
      <c r="D242" s="538" t="s">
        <v>621</v>
      </c>
      <c r="E242" s="538" t="s">
        <v>622</v>
      </c>
      <c r="F242" s="538" t="s">
        <v>614</v>
      </c>
      <c r="G242" s="538" t="s">
        <v>623</v>
      </c>
      <c r="H242" s="538" t="s">
        <v>624</v>
      </c>
      <c r="I242" s="538" t="s">
        <v>625</v>
      </c>
      <c r="J242" s="538" t="s">
        <v>626</v>
      </c>
      <c r="K242" s="538" t="s">
        <v>627</v>
      </c>
      <c r="L242" s="538" t="s">
        <v>628</v>
      </c>
      <c r="M242" s="538" t="s">
        <v>629</v>
      </c>
      <c r="N242" s="538" t="s">
        <v>630</v>
      </c>
      <c r="O242" s="538" t="s">
        <v>631</v>
      </c>
      <c r="P242" s="538" t="s">
        <v>632</v>
      </c>
      <c r="Q242" s="538" t="s">
        <v>633</v>
      </c>
      <c r="R242" s="538" t="s">
        <v>1116</v>
      </c>
      <c r="S242" s="538" t="s">
        <v>701</v>
      </c>
      <c r="T242" s="538" t="s">
        <v>702</v>
      </c>
      <c r="U242" s="538" t="s">
        <v>699</v>
      </c>
      <c r="V242" s="538" t="s">
        <v>700</v>
      </c>
      <c r="W242" s="538" t="s">
        <v>822</v>
      </c>
      <c r="X242" s="538" t="s">
        <v>880</v>
      </c>
      <c r="Y242" s="538" t="s">
        <v>1118</v>
      </c>
      <c r="Z242" s="538" t="s">
        <v>1124</v>
      </c>
      <c r="AA242" s="538" t="s">
        <v>1125</v>
      </c>
      <c r="AB242" s="538" t="s">
        <v>1126</v>
      </c>
      <c r="AC242" s="538" t="s">
        <v>1127</v>
      </c>
      <c r="AD242" s="538" t="s">
        <v>1128</v>
      </c>
      <c r="AE242" s="538" t="s">
        <v>737</v>
      </c>
      <c r="AF242" s="538" t="s">
        <v>741</v>
      </c>
      <c r="AG242" s="538" t="s">
        <v>745</v>
      </c>
      <c r="AH242" s="538" t="s">
        <v>746</v>
      </c>
      <c r="AI242" s="538" t="s">
        <v>748</v>
      </c>
      <c r="AJ242" s="538" t="s">
        <v>747</v>
      </c>
      <c r="AK242" s="538" t="s">
        <v>1096</v>
      </c>
      <c r="AL242" s="538" t="s">
        <v>1140</v>
      </c>
      <c r="AM242" s="538" t="s">
        <v>1141</v>
      </c>
      <c r="AN242" s="538" t="s">
        <v>1142</v>
      </c>
      <c r="AO242" s="538" t="s">
        <v>1143</v>
      </c>
      <c r="AP242" s="538" t="s">
        <v>1144</v>
      </c>
      <c r="AQ242" s="538" t="s">
        <v>1145</v>
      </c>
      <c r="AR242" s="538" t="s">
        <v>1146</v>
      </c>
      <c r="AS242" s="538" t="s">
        <v>1147</v>
      </c>
      <c r="AT242" s="538" t="s">
        <v>1176</v>
      </c>
      <c r="AU242" s="538" t="s">
        <v>1247</v>
      </c>
      <c r="AV242" s="538" t="s">
        <v>1293</v>
      </c>
      <c r="AW242" s="538" t="s">
        <v>1291</v>
      </c>
      <c r="AX242" s="538" t="s">
        <v>1294</v>
      </c>
      <c r="AY242" s="538" t="s">
        <v>1295</v>
      </c>
      <c r="AZ242" s="538" t="s">
        <v>1372</v>
      </c>
      <c r="BA242" s="538" t="s">
        <v>1373</v>
      </c>
      <c r="BB242" s="538" t="s">
        <v>1481</v>
      </c>
    </row>
    <row r="243" spans="1:54">
      <c r="A243" s="538" t="s">
        <v>612</v>
      </c>
      <c r="B243" s="278" t="str">
        <f>IF(AND(お客様情報!$E$2="代ホ_DSPA",COUNTIF(お客様情報!$R$49:$R$53,"D-SPAソフトウェアオプション4")&gt;0),4,"")</f>
        <v/>
      </c>
      <c r="C243" s="278" t="str">
        <f>IFERROR(VLOOKUP("D-SPAソフトウェアオプション"&amp;4,お客様情報!$R$49:$U$53,4,FALSE),"")</f>
        <v/>
      </c>
      <c r="D243" s="278" t="str">
        <f>D$237</f>
        <v/>
      </c>
      <c r="E243" s="278" t="str">
        <f>E$237</f>
        <v/>
      </c>
      <c r="F243" s="278" t="str">
        <f>$F$237</f>
        <v>2000/0/1</v>
      </c>
      <c r="G243" s="278" t="e">
        <f>G$237</f>
        <v>#VALUE!</v>
      </c>
      <c r="H243" s="314"/>
      <c r="I243" s="314"/>
      <c r="J243" s="556" t="str">
        <f>J$237</f>
        <v/>
      </c>
      <c r="K243" s="556" t="str">
        <f>K$237</f>
        <v/>
      </c>
      <c r="L243" s="314"/>
      <c r="M243" s="278">
        <f>$M$237</f>
        <v>0</v>
      </c>
      <c r="N243" s="314"/>
      <c r="O243" s="314"/>
      <c r="P243" s="314"/>
      <c r="Q243" s="378"/>
      <c r="R243" s="314"/>
      <c r="S243" s="278" t="e">
        <f>$S$227</f>
        <v>#N/A</v>
      </c>
      <c r="T243" s="278" t="e">
        <f>$T$227</f>
        <v>#N/A</v>
      </c>
      <c r="U243" s="278">
        <f>$U$227</f>
        <v>0</v>
      </c>
      <c r="V243" s="278" t="str">
        <f>$V$227</f>
        <v/>
      </c>
      <c r="W243" s="540"/>
      <c r="X243" s="278"/>
      <c r="Y243" s="314"/>
      <c r="Z243" s="314"/>
      <c r="AA243" s="314"/>
      <c r="AB243" s="314"/>
      <c r="AC243" s="314"/>
      <c r="AD243" s="314"/>
      <c r="AE243" s="314"/>
      <c r="AF243" s="314"/>
      <c r="AG243" s="314"/>
      <c r="AH243" s="314"/>
      <c r="AI243" s="278" t="str">
        <f>AI$237</f>
        <v/>
      </c>
      <c r="AJ243" s="314"/>
      <c r="AK243" s="314"/>
      <c r="AL243" s="314"/>
      <c r="AM243" s="314"/>
      <c r="AN243" s="314"/>
      <c r="AO243" s="314"/>
      <c r="AP243" s="314"/>
      <c r="AQ243" s="314"/>
      <c r="AR243" s="314"/>
      <c r="AS243" s="314"/>
      <c r="AT243" s="314"/>
      <c r="AU243" s="314"/>
      <c r="AV243" s="314"/>
      <c r="AW243" s="314"/>
      <c r="AX243" s="314"/>
      <c r="AY243" s="314"/>
      <c r="AZ243" s="314"/>
      <c r="BA243" s="314"/>
      <c r="BB243" s="314"/>
    </row>
    <row r="244" spans="1:54">
      <c r="A244" s="538" t="s">
        <v>586</v>
      </c>
      <c r="B244" s="538" t="s">
        <v>634</v>
      </c>
      <c r="C244" s="538" t="s">
        <v>620</v>
      </c>
      <c r="D244" s="538" t="s">
        <v>621</v>
      </c>
      <c r="E244" s="538" t="s">
        <v>622</v>
      </c>
      <c r="F244" s="538" t="s">
        <v>614</v>
      </c>
      <c r="G244" s="538" t="s">
        <v>623</v>
      </c>
      <c r="H244" s="538" t="s">
        <v>624</v>
      </c>
      <c r="I244" s="538" t="s">
        <v>625</v>
      </c>
      <c r="J244" s="538" t="s">
        <v>626</v>
      </c>
      <c r="K244" s="538" t="s">
        <v>627</v>
      </c>
      <c r="L244" s="538" t="s">
        <v>628</v>
      </c>
      <c r="M244" s="538" t="s">
        <v>629</v>
      </c>
      <c r="N244" s="538" t="s">
        <v>630</v>
      </c>
      <c r="O244" s="538" t="s">
        <v>631</v>
      </c>
      <c r="P244" s="538" t="s">
        <v>632</v>
      </c>
      <c r="Q244" s="538" t="s">
        <v>633</v>
      </c>
      <c r="R244" s="538" t="s">
        <v>1116</v>
      </c>
      <c r="S244" s="538" t="s">
        <v>701</v>
      </c>
      <c r="T244" s="538" t="s">
        <v>702</v>
      </c>
      <c r="U244" s="538" t="s">
        <v>699</v>
      </c>
      <c r="V244" s="538" t="s">
        <v>700</v>
      </c>
      <c r="W244" s="538" t="s">
        <v>822</v>
      </c>
      <c r="X244" s="538" t="s">
        <v>880</v>
      </c>
      <c r="Y244" s="538" t="s">
        <v>1118</v>
      </c>
      <c r="Z244" s="538" t="s">
        <v>1124</v>
      </c>
      <c r="AA244" s="538" t="s">
        <v>1125</v>
      </c>
      <c r="AB244" s="538" t="s">
        <v>1126</v>
      </c>
      <c r="AC244" s="538" t="s">
        <v>1127</v>
      </c>
      <c r="AD244" s="538" t="s">
        <v>1128</v>
      </c>
      <c r="AE244" s="538" t="s">
        <v>737</v>
      </c>
      <c r="AF244" s="538" t="s">
        <v>741</v>
      </c>
      <c r="AG244" s="538" t="s">
        <v>745</v>
      </c>
      <c r="AH244" s="538" t="s">
        <v>746</v>
      </c>
      <c r="AI244" s="538" t="s">
        <v>748</v>
      </c>
      <c r="AJ244" s="538" t="s">
        <v>747</v>
      </c>
      <c r="AK244" s="538" t="s">
        <v>1096</v>
      </c>
      <c r="AL244" s="538" t="s">
        <v>1140</v>
      </c>
      <c r="AM244" s="538" t="s">
        <v>1141</v>
      </c>
      <c r="AN244" s="538" t="s">
        <v>1142</v>
      </c>
      <c r="AO244" s="538" t="s">
        <v>1143</v>
      </c>
      <c r="AP244" s="538" t="s">
        <v>1144</v>
      </c>
      <c r="AQ244" s="538" t="s">
        <v>1145</v>
      </c>
      <c r="AR244" s="538" t="s">
        <v>1146</v>
      </c>
      <c r="AS244" s="538" t="s">
        <v>1147</v>
      </c>
      <c r="AT244" s="538" t="s">
        <v>1176</v>
      </c>
      <c r="AU244" s="538" t="s">
        <v>1247</v>
      </c>
      <c r="AV244" s="538" t="s">
        <v>1293</v>
      </c>
      <c r="AW244" s="538" t="s">
        <v>1291</v>
      </c>
      <c r="AX244" s="538" t="s">
        <v>1294</v>
      </c>
      <c r="AY244" s="538" t="s">
        <v>1295</v>
      </c>
      <c r="AZ244" s="538" t="s">
        <v>1372</v>
      </c>
      <c r="BA244" s="538" t="s">
        <v>1373</v>
      </c>
      <c r="BB244" s="538" t="s">
        <v>1481</v>
      </c>
    </row>
    <row r="245" spans="1:54">
      <c r="A245" s="538" t="s">
        <v>612</v>
      </c>
      <c r="B245" s="278" t="str">
        <f>IF(AND(お客様情報!$E$2="代ホ_DSPA",COUNTIF(お客様情報!$R$49:$R$53,"D-SPAソフトウェアオプション5")&gt;0),4,"")</f>
        <v/>
      </c>
      <c r="C245" s="278" t="str">
        <f>IFERROR(VLOOKUP("D-SPAソフトウェアオプション"&amp;5,お客様情報!$R$49:$U$53,4,FALSE),"")</f>
        <v/>
      </c>
      <c r="D245" s="278" t="str">
        <f>D$237</f>
        <v/>
      </c>
      <c r="E245" s="278" t="str">
        <f>E$237</f>
        <v/>
      </c>
      <c r="F245" s="278" t="str">
        <f>$F$237</f>
        <v>2000/0/1</v>
      </c>
      <c r="G245" s="278" t="e">
        <f>G$237</f>
        <v>#VALUE!</v>
      </c>
      <c r="H245" s="314"/>
      <c r="I245" s="314"/>
      <c r="J245" s="556" t="str">
        <f>J$237</f>
        <v/>
      </c>
      <c r="K245" s="556" t="str">
        <f>K$237</f>
        <v/>
      </c>
      <c r="L245" s="314"/>
      <c r="M245" s="278">
        <f>$M$237</f>
        <v>0</v>
      </c>
      <c r="N245" s="314"/>
      <c r="O245" s="314"/>
      <c r="P245" s="314"/>
      <c r="Q245" s="378"/>
      <c r="R245" s="314"/>
      <c r="S245" s="278" t="e">
        <f>$S$227</f>
        <v>#N/A</v>
      </c>
      <c r="T245" s="278" t="e">
        <f>$T$227</f>
        <v>#N/A</v>
      </c>
      <c r="U245" s="278">
        <f>$U$227</f>
        <v>0</v>
      </c>
      <c r="V245" s="278" t="str">
        <f>$V$227</f>
        <v/>
      </c>
      <c r="W245" s="540"/>
      <c r="X245" s="278"/>
      <c r="Y245" s="314"/>
      <c r="Z245" s="314"/>
      <c r="AA245" s="314"/>
      <c r="AB245" s="314"/>
      <c r="AC245" s="314"/>
      <c r="AD245" s="314"/>
      <c r="AE245" s="314"/>
      <c r="AF245" s="314"/>
      <c r="AG245" s="314"/>
      <c r="AH245" s="314"/>
      <c r="AI245" s="278" t="str">
        <f>AI$237</f>
        <v/>
      </c>
      <c r="AJ245" s="314"/>
      <c r="AK245" s="314"/>
      <c r="AL245" s="314"/>
      <c r="AM245" s="314"/>
      <c r="AN245" s="314"/>
      <c r="AO245" s="314"/>
      <c r="AP245" s="314"/>
      <c r="AQ245" s="314"/>
      <c r="AR245" s="314"/>
      <c r="AS245" s="314"/>
      <c r="AT245" s="314"/>
      <c r="AU245" s="314"/>
      <c r="AV245" s="314"/>
      <c r="AW245" s="314"/>
      <c r="AX245" s="314"/>
      <c r="AY245" s="314"/>
      <c r="AZ245" s="314"/>
      <c r="BA245" s="314"/>
      <c r="BB245" s="314"/>
    </row>
    <row r="246" spans="1:54">
      <c r="A246" s="616" t="s">
        <v>586</v>
      </c>
      <c r="B246" s="616" t="s">
        <v>1348</v>
      </c>
      <c r="C246" s="616" t="s">
        <v>620</v>
      </c>
      <c r="D246" s="616" t="s">
        <v>621</v>
      </c>
      <c r="E246" s="616" t="s">
        <v>622</v>
      </c>
      <c r="F246" s="616" t="s">
        <v>614</v>
      </c>
      <c r="G246" s="616" t="s">
        <v>623</v>
      </c>
      <c r="H246" s="616" t="s">
        <v>624</v>
      </c>
      <c r="I246" s="616" t="s">
        <v>625</v>
      </c>
      <c r="J246" s="616" t="s">
        <v>626</v>
      </c>
      <c r="K246" s="616" t="s">
        <v>627</v>
      </c>
      <c r="L246" s="616" t="s">
        <v>628</v>
      </c>
      <c r="M246" s="616" t="s">
        <v>629</v>
      </c>
      <c r="N246" s="616" t="s">
        <v>630</v>
      </c>
      <c r="O246" s="616" t="s">
        <v>631</v>
      </c>
      <c r="P246" s="616" t="s">
        <v>632</v>
      </c>
      <c r="Q246" s="616" t="s">
        <v>633</v>
      </c>
      <c r="R246" s="616" t="s">
        <v>1116</v>
      </c>
      <c r="S246" s="616" t="s">
        <v>701</v>
      </c>
      <c r="T246" s="616" t="s">
        <v>702</v>
      </c>
      <c r="U246" s="616" t="s">
        <v>699</v>
      </c>
      <c r="V246" s="616" t="s">
        <v>700</v>
      </c>
      <c r="W246" s="616" t="s">
        <v>822</v>
      </c>
      <c r="X246" s="616" t="s">
        <v>880</v>
      </c>
      <c r="Y246" s="616" t="s">
        <v>1118</v>
      </c>
      <c r="Z246" s="616" t="s">
        <v>1124</v>
      </c>
      <c r="AA246" s="616" t="s">
        <v>1125</v>
      </c>
      <c r="AB246" s="616" t="s">
        <v>1126</v>
      </c>
      <c r="AC246" s="616" t="s">
        <v>1127</v>
      </c>
      <c r="AD246" s="616" t="s">
        <v>1128</v>
      </c>
      <c r="AE246" s="616" t="s">
        <v>737</v>
      </c>
      <c r="AF246" s="616" t="s">
        <v>741</v>
      </c>
      <c r="AG246" s="616" t="s">
        <v>745</v>
      </c>
      <c r="AH246" s="616" t="s">
        <v>746</v>
      </c>
      <c r="AI246" s="616" t="s">
        <v>748</v>
      </c>
      <c r="AJ246" s="616" t="s">
        <v>747</v>
      </c>
      <c r="AK246" s="616" t="s">
        <v>1096</v>
      </c>
      <c r="AL246" s="616" t="s">
        <v>1140</v>
      </c>
      <c r="AM246" s="616" t="s">
        <v>1141</v>
      </c>
      <c r="AN246" s="616" t="s">
        <v>1142</v>
      </c>
      <c r="AO246" s="616" t="s">
        <v>1143</v>
      </c>
      <c r="AP246" s="616" t="s">
        <v>1144</v>
      </c>
      <c r="AQ246" s="616" t="s">
        <v>1145</v>
      </c>
      <c r="AR246" s="616" t="s">
        <v>1146</v>
      </c>
      <c r="AS246" s="616" t="s">
        <v>1147</v>
      </c>
      <c r="AT246" s="616" t="s">
        <v>1176</v>
      </c>
      <c r="AU246" s="616" t="s">
        <v>1247</v>
      </c>
      <c r="AV246" s="616" t="s">
        <v>1293</v>
      </c>
      <c r="AW246" s="616" t="s">
        <v>1291</v>
      </c>
      <c r="AX246" s="616" t="s">
        <v>1294</v>
      </c>
      <c r="AY246" s="616" t="s">
        <v>1295</v>
      </c>
      <c r="AZ246" s="616" t="s">
        <v>1372</v>
      </c>
      <c r="BA246" s="616" t="s">
        <v>1373</v>
      </c>
      <c r="BB246" s="616" t="s">
        <v>1481</v>
      </c>
    </row>
    <row r="247" spans="1:54">
      <c r="A247" s="616" t="s">
        <v>612</v>
      </c>
      <c r="B247" s="279" t="str">
        <f>IF(AND(お客様情報!$E$2="a-FILTER",COUNTIF(お客様情報!R27:R31,"a-FILTER1")&gt;0),14,"")</f>
        <v/>
      </c>
      <c r="C247" s="278" t="str">
        <f>IFERROR(VLOOKUP("a-FILTER"&amp;1,お客様情報!R27:U31,4,FALSE),"")</f>
        <v/>
      </c>
      <c r="D247" s="286" t="str">
        <f>IF('入力フォーム_a-FILTER'!BA83&lt;&gt;"",'入力フォーム_a-FILTER'!BA83,"")</f>
        <v/>
      </c>
      <c r="E247" s="314"/>
      <c r="F247" s="278" t="str">
        <f>TEXT(IF('入力フォーム_a-FILTER'!N86*'入力フォーム_a-FILTER'!U86=0,"",('入力フォーム_a-FILTER'!N86+2000)&amp;"/"&amp;'入力フォーム_a-FILTER'!U86&amp;"/"&amp;'入力フォーム_a-FILTER'!AB86),"yyyy-mm-dd")</f>
        <v/>
      </c>
      <c r="G247" s="278" t="str">
        <f>LEFT('入力フォーム_a-FILTER'!DG83,1)</f>
        <v/>
      </c>
      <c r="H247" s="314"/>
      <c r="I247" s="278" t="str">
        <f>IF(AND('入力フォーム_a-FILTER'!M71="無",'入力フォーム_a-FILTER'!BO83="無"),'入力フォーム_a-FILTER'!M74,"")</f>
        <v/>
      </c>
      <c r="J247" s="314"/>
      <c r="K247" s="314"/>
      <c r="L247" s="314"/>
      <c r="M247" s="278" t="str">
        <f>IF(AND('入力フォーム_a-FILTER'!AD83="新規",'入力フォーム_a-FILTER'!BO83="有"),"",IF('入力フォーム_a-FILTER'!BZ83&lt;&gt;"",'入力フォーム_a-FILTER'!BZ83,""))</f>
        <v/>
      </c>
      <c r="N247" s="278" t="str">
        <f>IF('入力フォーム_a-FILTER'!M71="有",'入力フォーム_a-FILTER'!M77,"")</f>
        <v/>
      </c>
      <c r="O247" s="314"/>
      <c r="P247" s="314"/>
      <c r="Q247" s="314"/>
      <c r="R247" s="314"/>
      <c r="S247" s="278" t="e">
        <f>IF(お客様情報!$N$64="","",お客様情報!$N$64)</f>
        <v>#N/A</v>
      </c>
      <c r="T247" s="278" t="e">
        <f>IF(お客様情報!$N$65="","",お客様情報!$N$65)</f>
        <v>#N/A</v>
      </c>
      <c r="U247" s="314"/>
      <c r="V247" s="314"/>
      <c r="W247" s="314"/>
      <c r="X247" s="314"/>
      <c r="Y247" s="314"/>
      <c r="Z247" s="314"/>
      <c r="AA247" s="314"/>
      <c r="AB247" s="314"/>
      <c r="AC247" s="314"/>
      <c r="AD247" s="314"/>
      <c r="AE247" s="314"/>
      <c r="AF247" s="314"/>
      <c r="AG247" s="314"/>
      <c r="AH247" s="314"/>
      <c r="AI247" s="314"/>
      <c r="AJ247" s="314"/>
      <c r="AK247" s="278" t="str">
        <f>IF(AND('入力フォーム_a-FILTER'!AD83="新規",'入力フォーム_a-FILTER'!BO83="有"),'入力フォーム_a-FILTER'!BZ83,"")</f>
        <v/>
      </c>
      <c r="AL247" s="278" t="str">
        <f>IF('入力フォーム_a-FILTER'!BL86=0,"",'入力フォーム_a-FILTER'!BL86)</f>
        <v/>
      </c>
      <c r="AM247" s="314"/>
      <c r="AN247" s="314"/>
      <c r="AO247" s="314"/>
      <c r="AP247" s="314"/>
      <c r="AQ247" s="314"/>
      <c r="AR247" s="314"/>
      <c r="AS247" s="314"/>
      <c r="AT247" s="314"/>
      <c r="AU247" s="314"/>
      <c r="AV247" s="314"/>
      <c r="AW247" s="314"/>
      <c r="AX247" s="314"/>
      <c r="AY247" s="314"/>
      <c r="AZ247" s="314"/>
      <c r="BA247" s="314"/>
      <c r="BB247" s="278" t="str">
        <f>IF('入力フォーム_a-FILTER'!U89=0,"",'入力フォーム_a-FILTER'!U89)</f>
        <v/>
      </c>
    </row>
    <row r="248" spans="1:54">
      <c r="A248" s="616" t="s">
        <v>586</v>
      </c>
      <c r="B248" s="616" t="s">
        <v>634</v>
      </c>
      <c r="C248" s="616" t="s">
        <v>620</v>
      </c>
      <c r="D248" s="616" t="s">
        <v>621</v>
      </c>
      <c r="E248" s="616" t="s">
        <v>622</v>
      </c>
      <c r="F248" s="616" t="s">
        <v>614</v>
      </c>
      <c r="G248" s="616" t="s">
        <v>623</v>
      </c>
      <c r="H248" s="616" t="s">
        <v>624</v>
      </c>
      <c r="I248" s="616" t="s">
        <v>625</v>
      </c>
      <c r="J248" s="616" t="s">
        <v>626</v>
      </c>
      <c r="K248" s="616" t="s">
        <v>627</v>
      </c>
      <c r="L248" s="616" t="s">
        <v>628</v>
      </c>
      <c r="M248" s="616" t="s">
        <v>629</v>
      </c>
      <c r="N248" s="616" t="s">
        <v>630</v>
      </c>
      <c r="O248" s="616" t="s">
        <v>631</v>
      </c>
      <c r="P248" s="616" t="s">
        <v>632</v>
      </c>
      <c r="Q248" s="616" t="s">
        <v>633</v>
      </c>
      <c r="R248" s="616" t="s">
        <v>1116</v>
      </c>
      <c r="S248" s="616" t="s">
        <v>701</v>
      </c>
      <c r="T248" s="616" t="s">
        <v>702</v>
      </c>
      <c r="U248" s="616" t="s">
        <v>699</v>
      </c>
      <c r="V248" s="616" t="s">
        <v>700</v>
      </c>
      <c r="W248" s="616" t="s">
        <v>822</v>
      </c>
      <c r="X248" s="616" t="s">
        <v>880</v>
      </c>
      <c r="Y248" s="616" t="s">
        <v>1118</v>
      </c>
      <c r="Z248" s="616" t="s">
        <v>1124</v>
      </c>
      <c r="AA248" s="616" t="s">
        <v>1125</v>
      </c>
      <c r="AB248" s="616" t="s">
        <v>1126</v>
      </c>
      <c r="AC248" s="616" t="s">
        <v>1127</v>
      </c>
      <c r="AD248" s="616" t="s">
        <v>1128</v>
      </c>
      <c r="AE248" s="616" t="s">
        <v>737</v>
      </c>
      <c r="AF248" s="616" t="s">
        <v>741</v>
      </c>
      <c r="AG248" s="616" t="s">
        <v>745</v>
      </c>
      <c r="AH248" s="616" t="s">
        <v>746</v>
      </c>
      <c r="AI248" s="616" t="s">
        <v>748</v>
      </c>
      <c r="AJ248" s="616" t="s">
        <v>747</v>
      </c>
      <c r="AK248" s="616" t="s">
        <v>1096</v>
      </c>
      <c r="AL248" s="616" t="s">
        <v>1140</v>
      </c>
      <c r="AM248" s="616" t="s">
        <v>1141</v>
      </c>
      <c r="AN248" s="616" t="s">
        <v>1142</v>
      </c>
      <c r="AO248" s="616" t="s">
        <v>1143</v>
      </c>
      <c r="AP248" s="616" t="s">
        <v>1144</v>
      </c>
      <c r="AQ248" s="616" t="s">
        <v>1145</v>
      </c>
      <c r="AR248" s="616" t="s">
        <v>1146</v>
      </c>
      <c r="AS248" s="616" t="s">
        <v>1147</v>
      </c>
      <c r="AT248" s="616" t="s">
        <v>1176</v>
      </c>
      <c r="AU248" s="616" t="s">
        <v>1247</v>
      </c>
      <c r="AV248" s="616" t="s">
        <v>1293</v>
      </c>
      <c r="AW248" s="616" t="s">
        <v>1291</v>
      </c>
      <c r="AX248" s="616" t="s">
        <v>1294</v>
      </c>
      <c r="AY248" s="616" t="s">
        <v>1295</v>
      </c>
      <c r="AZ248" s="616" t="s">
        <v>1372</v>
      </c>
      <c r="BA248" s="616" t="s">
        <v>1373</v>
      </c>
      <c r="BB248" s="616" t="s">
        <v>1481</v>
      </c>
    </row>
    <row r="249" spans="1:54">
      <c r="A249" s="616" t="s">
        <v>612</v>
      </c>
      <c r="B249" s="279" t="str">
        <f>IF(AND(お客様情報!$E$2="a-FILTER",COUNTIF(お客様情報!R27:R31,"a-FILTER2")&gt;0),14,"")</f>
        <v/>
      </c>
      <c r="C249" s="278" t="str">
        <f>IFERROR(VLOOKUP("a-FILTER"&amp;2,お客様情報!R27:U31,4,FALSE),"")</f>
        <v/>
      </c>
      <c r="D249" s="286" t="str">
        <f>D$247</f>
        <v/>
      </c>
      <c r="E249" s="314"/>
      <c r="F249" s="286" t="str">
        <f>F$247</f>
        <v/>
      </c>
      <c r="G249" s="278" t="str">
        <f>G$247</f>
        <v/>
      </c>
      <c r="H249" s="314"/>
      <c r="I249" s="286" t="str">
        <f>I$247</f>
        <v/>
      </c>
      <c r="J249" s="314"/>
      <c r="K249" s="314"/>
      <c r="L249" s="314"/>
      <c r="M249" s="286" t="str">
        <f>M$247</f>
        <v/>
      </c>
      <c r="N249" s="286" t="str">
        <f>N$247</f>
        <v/>
      </c>
      <c r="O249" s="314"/>
      <c r="P249" s="314"/>
      <c r="Q249" s="314"/>
      <c r="R249" s="314"/>
      <c r="S249" s="286" t="e">
        <f>S$247</f>
        <v>#N/A</v>
      </c>
      <c r="T249" s="286" t="e">
        <f>T$247</f>
        <v>#N/A</v>
      </c>
      <c r="U249" s="314"/>
      <c r="V249" s="314"/>
      <c r="W249" s="314"/>
      <c r="X249" s="314"/>
      <c r="Y249" s="314"/>
      <c r="Z249" s="314"/>
      <c r="AA249" s="314"/>
      <c r="AB249" s="314"/>
      <c r="AC249" s="314"/>
      <c r="AD249" s="314"/>
      <c r="AE249" s="314"/>
      <c r="AF249" s="314"/>
      <c r="AG249" s="314"/>
      <c r="AH249" s="314"/>
      <c r="AI249" s="314"/>
      <c r="AJ249" s="314"/>
      <c r="AK249" s="278" t="str">
        <f>AK$247</f>
        <v/>
      </c>
      <c r="AL249" s="278" t="str">
        <f>$AL$247</f>
        <v/>
      </c>
      <c r="AM249" s="314"/>
      <c r="AN249" s="314"/>
      <c r="AO249" s="314"/>
      <c r="AP249" s="314"/>
      <c r="AQ249" s="314"/>
      <c r="AR249" s="314"/>
      <c r="AS249" s="314"/>
      <c r="AT249" s="314"/>
      <c r="AU249" s="314"/>
      <c r="AV249" s="314"/>
      <c r="AW249" s="314"/>
      <c r="AX249" s="314"/>
      <c r="AY249" s="314"/>
      <c r="AZ249" s="314"/>
      <c r="BA249" s="314"/>
      <c r="BB249" s="278" t="str">
        <f>$BB$247</f>
        <v/>
      </c>
    </row>
    <row r="250" spans="1:54" ht="14.15" customHeight="1">
      <c r="A250" s="616" t="s">
        <v>586</v>
      </c>
      <c r="B250" s="616" t="s">
        <v>634</v>
      </c>
      <c r="C250" s="616" t="s">
        <v>620</v>
      </c>
      <c r="D250" s="616" t="s">
        <v>621</v>
      </c>
      <c r="E250" s="616" t="s">
        <v>622</v>
      </c>
      <c r="F250" s="616" t="s">
        <v>614</v>
      </c>
      <c r="G250" s="616" t="s">
        <v>623</v>
      </c>
      <c r="H250" s="616" t="s">
        <v>624</v>
      </c>
      <c r="I250" s="616" t="s">
        <v>625</v>
      </c>
      <c r="J250" s="616" t="s">
        <v>626</v>
      </c>
      <c r="K250" s="616" t="s">
        <v>627</v>
      </c>
      <c r="L250" s="616" t="s">
        <v>628</v>
      </c>
      <c r="M250" s="616" t="s">
        <v>629</v>
      </c>
      <c r="N250" s="616" t="s">
        <v>630</v>
      </c>
      <c r="O250" s="616" t="s">
        <v>631</v>
      </c>
      <c r="P250" s="616" t="s">
        <v>632</v>
      </c>
      <c r="Q250" s="616" t="s">
        <v>633</v>
      </c>
      <c r="R250" s="616" t="s">
        <v>1116</v>
      </c>
      <c r="S250" s="616" t="s">
        <v>701</v>
      </c>
      <c r="T250" s="616" t="s">
        <v>702</v>
      </c>
      <c r="U250" s="616" t="s">
        <v>699</v>
      </c>
      <c r="V250" s="616" t="s">
        <v>700</v>
      </c>
      <c r="W250" s="616" t="s">
        <v>822</v>
      </c>
      <c r="X250" s="616" t="s">
        <v>880</v>
      </c>
      <c r="Y250" s="616" t="s">
        <v>1118</v>
      </c>
      <c r="Z250" s="616" t="s">
        <v>1124</v>
      </c>
      <c r="AA250" s="616" t="s">
        <v>1125</v>
      </c>
      <c r="AB250" s="616" t="s">
        <v>1126</v>
      </c>
      <c r="AC250" s="616" t="s">
        <v>1127</v>
      </c>
      <c r="AD250" s="616" t="s">
        <v>1128</v>
      </c>
      <c r="AE250" s="616" t="s">
        <v>737</v>
      </c>
      <c r="AF250" s="616" t="s">
        <v>741</v>
      </c>
      <c r="AG250" s="616" t="s">
        <v>745</v>
      </c>
      <c r="AH250" s="616" t="s">
        <v>746</v>
      </c>
      <c r="AI250" s="616" t="s">
        <v>748</v>
      </c>
      <c r="AJ250" s="616" t="s">
        <v>747</v>
      </c>
      <c r="AK250" s="616" t="s">
        <v>1096</v>
      </c>
      <c r="AL250" s="616" t="s">
        <v>1140</v>
      </c>
      <c r="AM250" s="616" t="s">
        <v>1141</v>
      </c>
      <c r="AN250" s="616" t="s">
        <v>1142</v>
      </c>
      <c r="AO250" s="616" t="s">
        <v>1143</v>
      </c>
      <c r="AP250" s="616" t="s">
        <v>1144</v>
      </c>
      <c r="AQ250" s="616" t="s">
        <v>1145</v>
      </c>
      <c r="AR250" s="616" t="s">
        <v>1146</v>
      </c>
      <c r="AS250" s="616" t="s">
        <v>1147</v>
      </c>
      <c r="AT250" s="616" t="s">
        <v>1176</v>
      </c>
      <c r="AU250" s="616" t="s">
        <v>1247</v>
      </c>
      <c r="AV250" s="616" t="s">
        <v>1293</v>
      </c>
      <c r="AW250" s="616" t="s">
        <v>1291</v>
      </c>
      <c r="AX250" s="616" t="s">
        <v>1294</v>
      </c>
      <c r="AY250" s="616" t="s">
        <v>1295</v>
      </c>
      <c r="AZ250" s="616" t="s">
        <v>1372</v>
      </c>
      <c r="BA250" s="616" t="s">
        <v>1373</v>
      </c>
      <c r="BB250" s="616" t="s">
        <v>1481</v>
      </c>
    </row>
    <row r="251" spans="1:54">
      <c r="A251" s="616" t="s">
        <v>612</v>
      </c>
      <c r="B251" s="279" t="str">
        <f>IF(AND(お客様情報!$E$2="a-FILTER",COUNTIF(お客様情報!R27:R31,"a-FILTER3")&gt;0),14,"")</f>
        <v/>
      </c>
      <c r="C251" s="278" t="str">
        <f>IFERROR(VLOOKUP("a-FILTER"&amp;3,お客様情報!R27:U31,4,FALSE),"")</f>
        <v/>
      </c>
      <c r="D251" s="286" t="str">
        <f>D$247</f>
        <v/>
      </c>
      <c r="E251" s="314"/>
      <c r="F251" s="286" t="str">
        <f>F$247</f>
        <v/>
      </c>
      <c r="G251" s="278" t="str">
        <f>G$247</f>
        <v/>
      </c>
      <c r="H251" s="314"/>
      <c r="I251" s="286" t="str">
        <f>I$247</f>
        <v/>
      </c>
      <c r="J251" s="314"/>
      <c r="K251" s="314"/>
      <c r="L251" s="314"/>
      <c r="M251" s="286" t="str">
        <f>M$247</f>
        <v/>
      </c>
      <c r="N251" s="286" t="str">
        <f>N$247</f>
        <v/>
      </c>
      <c r="O251" s="314"/>
      <c r="P251" s="314"/>
      <c r="Q251" s="314"/>
      <c r="R251" s="314"/>
      <c r="S251" s="286" t="e">
        <f>S$247</f>
        <v>#N/A</v>
      </c>
      <c r="T251" s="286" t="e">
        <f>T$247</f>
        <v>#N/A</v>
      </c>
      <c r="U251" s="314"/>
      <c r="V251" s="314"/>
      <c r="W251" s="314"/>
      <c r="X251" s="314"/>
      <c r="Y251" s="314"/>
      <c r="Z251" s="314"/>
      <c r="AA251" s="314"/>
      <c r="AB251" s="314"/>
      <c r="AC251" s="314"/>
      <c r="AD251" s="314"/>
      <c r="AE251" s="314"/>
      <c r="AF251" s="314"/>
      <c r="AG251" s="314"/>
      <c r="AH251" s="314"/>
      <c r="AI251" s="314"/>
      <c r="AJ251" s="314"/>
      <c r="AK251" s="278" t="str">
        <f>AK$247</f>
        <v/>
      </c>
      <c r="AL251" s="278" t="str">
        <f>$AL$247</f>
        <v/>
      </c>
      <c r="AM251" s="314"/>
      <c r="AN251" s="314"/>
      <c r="AO251" s="314"/>
      <c r="AP251" s="314"/>
      <c r="AQ251" s="314"/>
      <c r="AR251" s="314"/>
      <c r="AS251" s="314"/>
      <c r="AT251" s="314"/>
      <c r="AU251" s="314"/>
      <c r="AV251" s="314"/>
      <c r="AW251" s="314"/>
      <c r="AX251" s="314"/>
      <c r="AY251" s="314"/>
      <c r="AZ251" s="314"/>
      <c r="BA251" s="314"/>
      <c r="BB251" s="278" t="str">
        <f>$BB$247</f>
        <v/>
      </c>
    </row>
    <row r="252" spans="1:54">
      <c r="A252" s="616" t="s">
        <v>586</v>
      </c>
      <c r="B252" s="616" t="s">
        <v>634</v>
      </c>
      <c r="C252" s="616" t="s">
        <v>620</v>
      </c>
      <c r="D252" s="616" t="s">
        <v>621</v>
      </c>
      <c r="E252" s="616" t="s">
        <v>622</v>
      </c>
      <c r="F252" s="616" t="s">
        <v>614</v>
      </c>
      <c r="G252" s="616" t="s">
        <v>623</v>
      </c>
      <c r="H252" s="616" t="s">
        <v>624</v>
      </c>
      <c r="I252" s="616" t="s">
        <v>625</v>
      </c>
      <c r="J252" s="616" t="s">
        <v>626</v>
      </c>
      <c r="K252" s="616" t="s">
        <v>627</v>
      </c>
      <c r="L252" s="616" t="s">
        <v>628</v>
      </c>
      <c r="M252" s="616" t="s">
        <v>629</v>
      </c>
      <c r="N252" s="616" t="s">
        <v>630</v>
      </c>
      <c r="O252" s="616" t="s">
        <v>631</v>
      </c>
      <c r="P252" s="616" t="s">
        <v>632</v>
      </c>
      <c r="Q252" s="616" t="s">
        <v>633</v>
      </c>
      <c r="R252" s="616" t="s">
        <v>1116</v>
      </c>
      <c r="S252" s="616" t="s">
        <v>701</v>
      </c>
      <c r="T252" s="616" t="s">
        <v>702</v>
      </c>
      <c r="U252" s="616" t="s">
        <v>699</v>
      </c>
      <c r="V252" s="616" t="s">
        <v>700</v>
      </c>
      <c r="W252" s="616" t="s">
        <v>822</v>
      </c>
      <c r="X252" s="616" t="s">
        <v>880</v>
      </c>
      <c r="Y252" s="616" t="s">
        <v>1118</v>
      </c>
      <c r="Z252" s="616" t="s">
        <v>1124</v>
      </c>
      <c r="AA252" s="616" t="s">
        <v>1125</v>
      </c>
      <c r="AB252" s="616" t="s">
        <v>1126</v>
      </c>
      <c r="AC252" s="616" t="s">
        <v>1127</v>
      </c>
      <c r="AD252" s="616" t="s">
        <v>1128</v>
      </c>
      <c r="AE252" s="616" t="s">
        <v>737</v>
      </c>
      <c r="AF252" s="616" t="s">
        <v>741</v>
      </c>
      <c r="AG252" s="616" t="s">
        <v>745</v>
      </c>
      <c r="AH252" s="616" t="s">
        <v>746</v>
      </c>
      <c r="AI252" s="616" t="s">
        <v>748</v>
      </c>
      <c r="AJ252" s="616" t="s">
        <v>747</v>
      </c>
      <c r="AK252" s="616" t="s">
        <v>1096</v>
      </c>
      <c r="AL252" s="616" t="s">
        <v>1140</v>
      </c>
      <c r="AM252" s="616" t="s">
        <v>1141</v>
      </c>
      <c r="AN252" s="616" t="s">
        <v>1142</v>
      </c>
      <c r="AO252" s="616" t="s">
        <v>1143</v>
      </c>
      <c r="AP252" s="616" t="s">
        <v>1144</v>
      </c>
      <c r="AQ252" s="616" t="s">
        <v>1145</v>
      </c>
      <c r="AR252" s="616" t="s">
        <v>1146</v>
      </c>
      <c r="AS252" s="616" t="s">
        <v>1147</v>
      </c>
      <c r="AT252" s="616" t="s">
        <v>1176</v>
      </c>
      <c r="AU252" s="616" t="s">
        <v>1247</v>
      </c>
      <c r="AV252" s="616" t="s">
        <v>1293</v>
      </c>
      <c r="AW252" s="616" t="s">
        <v>1291</v>
      </c>
      <c r="AX252" s="616" t="s">
        <v>1294</v>
      </c>
      <c r="AY252" s="616" t="s">
        <v>1295</v>
      </c>
      <c r="AZ252" s="616" t="s">
        <v>1372</v>
      </c>
      <c r="BA252" s="616" t="s">
        <v>1373</v>
      </c>
      <c r="BB252" s="616" t="s">
        <v>1481</v>
      </c>
    </row>
    <row r="253" spans="1:54">
      <c r="A253" s="616" t="s">
        <v>612</v>
      </c>
      <c r="B253" s="279" t="str">
        <f>IF(AND(お客様情報!$E$2="a-FILTER",COUNTIF(お客様情報!R27:R31,"a-FILTER4")&gt;0),14,"")</f>
        <v/>
      </c>
      <c r="C253" s="278" t="str">
        <f>IFERROR(VLOOKUP("a-FILTER"&amp;4,お客様情報!R27:U31,4,FALSE),"")</f>
        <v/>
      </c>
      <c r="D253" s="286" t="str">
        <f>D$247</f>
        <v/>
      </c>
      <c r="E253" s="314"/>
      <c r="F253" s="286" t="str">
        <f>F$247</f>
        <v/>
      </c>
      <c r="G253" s="278" t="str">
        <f>G$247</f>
        <v/>
      </c>
      <c r="H253" s="314"/>
      <c r="I253" s="286" t="str">
        <f>I$247</f>
        <v/>
      </c>
      <c r="J253" s="314"/>
      <c r="K253" s="314"/>
      <c r="L253" s="314"/>
      <c r="M253" s="286" t="str">
        <f>M$247</f>
        <v/>
      </c>
      <c r="N253" s="286" t="str">
        <f>N$247</f>
        <v/>
      </c>
      <c r="O253" s="314"/>
      <c r="P253" s="314"/>
      <c r="Q253" s="314"/>
      <c r="R253" s="314"/>
      <c r="S253" s="286" t="e">
        <f>S$247</f>
        <v>#N/A</v>
      </c>
      <c r="T253" s="286" t="e">
        <f>T$247</f>
        <v>#N/A</v>
      </c>
      <c r="U253" s="314"/>
      <c r="V253" s="314"/>
      <c r="W253" s="314"/>
      <c r="X253" s="314"/>
      <c r="Y253" s="314"/>
      <c r="Z253" s="314"/>
      <c r="AA253" s="314"/>
      <c r="AB253" s="314"/>
      <c r="AC253" s="314"/>
      <c r="AD253" s="314"/>
      <c r="AE253" s="314"/>
      <c r="AF253" s="314"/>
      <c r="AG253" s="314"/>
      <c r="AH253" s="314"/>
      <c r="AI253" s="314"/>
      <c r="AJ253" s="314"/>
      <c r="AK253" s="278" t="str">
        <f>AK$247</f>
        <v/>
      </c>
      <c r="AL253" s="278" t="str">
        <f>$AL$247</f>
        <v/>
      </c>
      <c r="AM253" s="314"/>
      <c r="AN253" s="314"/>
      <c r="AO253" s="314"/>
      <c r="AP253" s="314"/>
      <c r="AQ253" s="314"/>
      <c r="AR253" s="314"/>
      <c r="AS253" s="314"/>
      <c r="AT253" s="314"/>
      <c r="AU253" s="314"/>
      <c r="AV253" s="314"/>
      <c r="AW253" s="314"/>
      <c r="AX253" s="314"/>
      <c r="AY253" s="314"/>
      <c r="AZ253" s="314"/>
      <c r="BA253" s="314"/>
      <c r="BB253" s="278" t="str">
        <f>$BB$247</f>
        <v/>
      </c>
    </row>
    <row r="254" spans="1:54">
      <c r="A254" s="616" t="s">
        <v>586</v>
      </c>
      <c r="B254" s="616" t="s">
        <v>634</v>
      </c>
      <c r="C254" s="616" t="s">
        <v>620</v>
      </c>
      <c r="D254" s="616" t="s">
        <v>621</v>
      </c>
      <c r="E254" s="616" t="s">
        <v>622</v>
      </c>
      <c r="F254" s="616" t="s">
        <v>614</v>
      </c>
      <c r="G254" s="616" t="s">
        <v>623</v>
      </c>
      <c r="H254" s="616" t="s">
        <v>624</v>
      </c>
      <c r="I254" s="616" t="s">
        <v>625</v>
      </c>
      <c r="J254" s="616" t="s">
        <v>626</v>
      </c>
      <c r="K254" s="616" t="s">
        <v>627</v>
      </c>
      <c r="L254" s="616" t="s">
        <v>628</v>
      </c>
      <c r="M254" s="616" t="s">
        <v>629</v>
      </c>
      <c r="N254" s="616" t="s">
        <v>630</v>
      </c>
      <c r="O254" s="616" t="s">
        <v>631</v>
      </c>
      <c r="P254" s="616" t="s">
        <v>632</v>
      </c>
      <c r="Q254" s="616" t="s">
        <v>633</v>
      </c>
      <c r="R254" s="616" t="s">
        <v>1116</v>
      </c>
      <c r="S254" s="616" t="s">
        <v>701</v>
      </c>
      <c r="T254" s="616" t="s">
        <v>702</v>
      </c>
      <c r="U254" s="616" t="s">
        <v>699</v>
      </c>
      <c r="V254" s="616" t="s">
        <v>700</v>
      </c>
      <c r="W254" s="616" t="s">
        <v>822</v>
      </c>
      <c r="X254" s="616" t="s">
        <v>880</v>
      </c>
      <c r="Y254" s="616" t="s">
        <v>1118</v>
      </c>
      <c r="Z254" s="616" t="s">
        <v>1124</v>
      </c>
      <c r="AA254" s="616" t="s">
        <v>1125</v>
      </c>
      <c r="AB254" s="616" t="s">
        <v>1126</v>
      </c>
      <c r="AC254" s="616" t="s">
        <v>1127</v>
      </c>
      <c r="AD254" s="616" t="s">
        <v>1128</v>
      </c>
      <c r="AE254" s="616" t="s">
        <v>737</v>
      </c>
      <c r="AF254" s="616" t="s">
        <v>741</v>
      </c>
      <c r="AG254" s="616" t="s">
        <v>745</v>
      </c>
      <c r="AH254" s="616" t="s">
        <v>746</v>
      </c>
      <c r="AI254" s="616" t="s">
        <v>748</v>
      </c>
      <c r="AJ254" s="616" t="s">
        <v>747</v>
      </c>
      <c r="AK254" s="616" t="s">
        <v>1096</v>
      </c>
      <c r="AL254" s="616" t="s">
        <v>1140</v>
      </c>
      <c r="AM254" s="616" t="s">
        <v>1141</v>
      </c>
      <c r="AN254" s="616" t="s">
        <v>1142</v>
      </c>
      <c r="AO254" s="616" t="s">
        <v>1143</v>
      </c>
      <c r="AP254" s="616" t="s">
        <v>1144</v>
      </c>
      <c r="AQ254" s="616" t="s">
        <v>1145</v>
      </c>
      <c r="AR254" s="616" t="s">
        <v>1146</v>
      </c>
      <c r="AS254" s="616" t="s">
        <v>1147</v>
      </c>
      <c r="AT254" s="616" t="s">
        <v>1176</v>
      </c>
      <c r="AU254" s="616" t="s">
        <v>1247</v>
      </c>
      <c r="AV254" s="616" t="s">
        <v>1293</v>
      </c>
      <c r="AW254" s="616" t="s">
        <v>1291</v>
      </c>
      <c r="AX254" s="616" t="s">
        <v>1294</v>
      </c>
      <c r="AY254" s="616" t="s">
        <v>1295</v>
      </c>
      <c r="AZ254" s="616" t="s">
        <v>1372</v>
      </c>
      <c r="BA254" s="616" t="s">
        <v>1373</v>
      </c>
      <c r="BB254" s="616" t="s">
        <v>1481</v>
      </c>
    </row>
    <row r="255" spans="1:54">
      <c r="A255" s="616" t="s">
        <v>612</v>
      </c>
      <c r="B255" s="278" t="str">
        <f>IF(AND(お客様情報!$E$2="a-FILTER",COUNTIF(お客様情報!R27:R31,"a-FILTER5")&gt;0),14,"")</f>
        <v/>
      </c>
      <c r="C255" s="278" t="str">
        <f>IFERROR(VLOOKUP("a-FILTER"&amp;5,お客様情報!R27:U31,4,FALSE),"")</f>
        <v/>
      </c>
      <c r="D255" s="286" t="str">
        <f>D$247</f>
        <v/>
      </c>
      <c r="E255" s="314"/>
      <c r="F255" s="286" t="str">
        <f>F$247</f>
        <v/>
      </c>
      <c r="G255" s="278" t="str">
        <f>G$247</f>
        <v/>
      </c>
      <c r="H255" s="314"/>
      <c r="I255" s="286" t="str">
        <f>I$247</f>
        <v/>
      </c>
      <c r="J255" s="314"/>
      <c r="K255" s="314"/>
      <c r="L255" s="314"/>
      <c r="M255" s="286" t="str">
        <f>M$247</f>
        <v/>
      </c>
      <c r="N255" s="286" t="str">
        <f>N$247</f>
        <v/>
      </c>
      <c r="O255" s="314"/>
      <c r="P255" s="314"/>
      <c r="Q255" s="314"/>
      <c r="R255" s="314"/>
      <c r="S255" s="286" t="e">
        <f>S$247</f>
        <v>#N/A</v>
      </c>
      <c r="T255" s="286" t="e">
        <f>T$247</f>
        <v>#N/A</v>
      </c>
      <c r="U255" s="314"/>
      <c r="V255" s="314"/>
      <c r="W255" s="314"/>
      <c r="X255" s="314"/>
      <c r="Y255" s="314"/>
      <c r="Z255" s="314"/>
      <c r="AA255" s="314"/>
      <c r="AB255" s="314"/>
      <c r="AC255" s="314"/>
      <c r="AD255" s="314"/>
      <c r="AE255" s="314"/>
      <c r="AF255" s="314"/>
      <c r="AG255" s="314"/>
      <c r="AH255" s="314"/>
      <c r="AI255" s="314"/>
      <c r="AJ255" s="314"/>
      <c r="AK255" s="278" t="str">
        <f>AK$247</f>
        <v/>
      </c>
      <c r="AL255" s="278" t="str">
        <f>$AL$247</f>
        <v/>
      </c>
      <c r="AM255" s="314"/>
      <c r="AN255" s="314"/>
      <c r="AO255" s="314"/>
      <c r="AP255" s="314"/>
      <c r="AQ255" s="314"/>
      <c r="AR255" s="314"/>
      <c r="AS255" s="314"/>
      <c r="AT255" s="314"/>
      <c r="AU255" s="314"/>
      <c r="AV255" s="314"/>
      <c r="AW255" s="314"/>
      <c r="AX255" s="314"/>
      <c r="AY255" s="314"/>
      <c r="AZ255" s="314"/>
      <c r="BA255" s="314"/>
      <c r="BB255" s="278" t="str">
        <f>$BB$247</f>
        <v/>
      </c>
    </row>
    <row r="256" spans="1:54">
      <c r="A256" s="622" t="s">
        <v>586</v>
      </c>
      <c r="B256" s="622" t="s">
        <v>1348</v>
      </c>
      <c r="C256" s="622" t="s">
        <v>946</v>
      </c>
      <c r="D256" s="622" t="s">
        <v>1366</v>
      </c>
      <c r="E256" s="622" t="s">
        <v>622</v>
      </c>
      <c r="F256" s="622" t="s">
        <v>1383</v>
      </c>
      <c r="G256" s="622" t="s">
        <v>670</v>
      </c>
      <c r="H256" s="622" t="s">
        <v>624</v>
      </c>
      <c r="I256" s="622" t="s">
        <v>625</v>
      </c>
      <c r="J256" s="622" t="s">
        <v>626</v>
      </c>
      <c r="K256" s="622" t="s">
        <v>627</v>
      </c>
      <c r="L256" s="622" t="s">
        <v>628</v>
      </c>
      <c r="M256" s="622" t="s">
        <v>629</v>
      </c>
      <c r="N256" s="622" t="s">
        <v>630</v>
      </c>
      <c r="O256" s="622" t="s">
        <v>631</v>
      </c>
      <c r="P256" s="622" t="s">
        <v>632</v>
      </c>
      <c r="Q256" s="622" t="s">
        <v>633</v>
      </c>
      <c r="R256" s="622" t="s">
        <v>1116</v>
      </c>
      <c r="S256" s="622" t="s">
        <v>701</v>
      </c>
      <c r="T256" s="622" t="s">
        <v>702</v>
      </c>
      <c r="U256" s="622" t="s">
        <v>699</v>
      </c>
      <c r="V256" s="622" t="s">
        <v>700</v>
      </c>
      <c r="W256" s="622" t="s">
        <v>822</v>
      </c>
      <c r="X256" s="622" t="s">
        <v>880</v>
      </c>
      <c r="Y256" s="622" t="s">
        <v>1118</v>
      </c>
      <c r="Z256" s="622" t="s">
        <v>1124</v>
      </c>
      <c r="AA256" s="622" t="s">
        <v>1125</v>
      </c>
      <c r="AB256" s="622" t="s">
        <v>1126</v>
      </c>
      <c r="AC256" s="622" t="s">
        <v>1127</v>
      </c>
      <c r="AD256" s="622" t="s">
        <v>1128</v>
      </c>
      <c r="AE256" s="622" t="s">
        <v>737</v>
      </c>
      <c r="AF256" s="622" t="s">
        <v>741</v>
      </c>
      <c r="AG256" s="622" t="s">
        <v>745</v>
      </c>
      <c r="AH256" s="622" t="s">
        <v>746</v>
      </c>
      <c r="AI256" s="622" t="s">
        <v>748</v>
      </c>
      <c r="AJ256" s="622" t="s">
        <v>747</v>
      </c>
      <c r="AK256" s="622" t="s">
        <v>1096</v>
      </c>
      <c r="AL256" s="622" t="s">
        <v>1140</v>
      </c>
      <c r="AM256" s="622" t="s">
        <v>1141</v>
      </c>
      <c r="AN256" s="622" t="s">
        <v>1142</v>
      </c>
      <c r="AO256" s="622" t="s">
        <v>1143</v>
      </c>
      <c r="AP256" s="622" t="s">
        <v>1144</v>
      </c>
      <c r="AQ256" s="622" t="s">
        <v>1145</v>
      </c>
      <c r="AR256" s="622" t="s">
        <v>1146</v>
      </c>
      <c r="AS256" s="622" t="s">
        <v>1147</v>
      </c>
      <c r="AT256" s="622" t="s">
        <v>1176</v>
      </c>
      <c r="AU256" s="622" t="s">
        <v>1247</v>
      </c>
      <c r="AV256" s="622" t="s">
        <v>1293</v>
      </c>
      <c r="AW256" s="622" t="s">
        <v>1291</v>
      </c>
      <c r="AX256" s="622" t="s">
        <v>1294</v>
      </c>
      <c r="AY256" s="622" t="s">
        <v>1295</v>
      </c>
      <c r="AZ256" s="622" t="s">
        <v>1372</v>
      </c>
      <c r="BA256" s="622" t="s">
        <v>1373</v>
      </c>
      <c r="BB256" s="622" t="s">
        <v>1481</v>
      </c>
    </row>
    <row r="257" spans="1:54">
      <c r="A257" s="622" t="s">
        <v>612</v>
      </c>
      <c r="B257" s="279" t="str">
        <f>IF('中間データ共通・Desk・f-FILTER・Z-FILTER'!AB40="","",'中間データ共通・Desk・f-FILTER・Z-FILTER'!AB40)</f>
        <v/>
      </c>
      <c r="C257" s="278" t="str">
        <f>IF('中間データ共通・Desk・f-FILTER・Z-FILTER'!AC40="","",'中間データ共通・Desk・f-FILTER・Z-FILTER'!AC40)</f>
        <v/>
      </c>
      <c r="D257" s="286" t="str">
        <f>IF('中間データ共通・Desk・f-FILTER・Z-FILTER'!AD40="","",'中間データ共通・Desk・f-FILTER・Z-FILTER'!AD40)</f>
        <v/>
      </c>
      <c r="E257" s="314"/>
      <c r="F257" s="278" t="str">
        <f ca="1">IF('中間データ共通・Desk・f-FILTER・Z-FILTER'!AF40="","",'中間データ共通・Desk・f-FILTER・Z-FILTER'!AF40)</f>
        <v>2026-07-01</v>
      </c>
      <c r="G257" s="278">
        <f>IF('中間データ共通・Desk・f-FILTER・Z-FILTER'!AG40="","",'中間データ共通・Desk・f-FILTER・Z-FILTER'!AG40)</f>
        <v>5</v>
      </c>
      <c r="H257" s="314"/>
      <c r="I257" s="278" t="str">
        <f>IF('中間データ共通・Desk・f-FILTER・Z-FILTER'!AI40="","",'中間データ共通・Desk・f-FILTER・Z-FILTER'!AI40)</f>
        <v/>
      </c>
      <c r="J257" s="314"/>
      <c r="K257" s="314"/>
      <c r="L257" s="314"/>
      <c r="M257" s="278" t="str">
        <f>IF('中間データ共通・Desk・f-FILTER・Z-FILTER'!AM40="","",'中間データ共通・Desk・f-FILTER・Z-FILTER'!AM40)</f>
        <v/>
      </c>
      <c r="N257" s="632" t="str">
        <f>IF('中間データ共通・Desk・f-FILTER・Z-FILTER'!AN40="","",'中間データ共通・Desk・f-FILTER・Z-FILTER'!AN40)</f>
        <v/>
      </c>
      <c r="O257" s="314"/>
      <c r="P257" s="314"/>
      <c r="Q257" s="314"/>
      <c r="R257" s="314"/>
      <c r="S257" s="567" t="e">
        <f>IF(お客様情報!$N$64="","",お客様情報!$N$64)</f>
        <v>#N/A</v>
      </c>
      <c r="T257" s="567" t="e">
        <f>IF(お客様情報!$N$65="","",お客様情報!$N$65)</f>
        <v>#N/A</v>
      </c>
      <c r="U257" s="314"/>
      <c r="V257" s="314"/>
      <c r="W257" s="314"/>
      <c r="X257" s="314"/>
      <c r="Y257" s="314"/>
      <c r="Z257" s="314"/>
      <c r="AA257" s="314"/>
      <c r="AB257" s="314"/>
      <c r="AC257" s="314"/>
      <c r="AD257" s="314"/>
      <c r="AE257" s="314"/>
      <c r="AF257" s="314"/>
      <c r="AG257" s="314"/>
      <c r="AH257" s="314"/>
      <c r="AI257" s="314"/>
      <c r="AJ257" s="314"/>
      <c r="AK257" s="278" t="str">
        <f>IF('中間データ共通・Desk・f-FILTER・Z-FILTER'!BK40="","",'中間データ共通・Desk・f-FILTER・Z-FILTER'!BK40)</f>
        <v/>
      </c>
      <c r="AL257" s="314"/>
      <c r="AM257" s="314"/>
      <c r="AN257" s="314"/>
      <c r="AO257" s="314"/>
      <c r="AP257" s="314"/>
      <c r="AQ257" s="314"/>
      <c r="AR257" s="314"/>
      <c r="AS257" s="314"/>
      <c r="AT257" s="314"/>
      <c r="AU257" s="314"/>
      <c r="AV257" s="314"/>
      <c r="AW257" s="314"/>
      <c r="AX257" s="314"/>
      <c r="AY257" s="314"/>
      <c r="AZ257" s="278" t="str">
        <f>IF('中間データ共通・Desk・f-FILTER・Z-FILTER'!BZ40="","",'中間データ共通・Desk・f-FILTER・Z-FILTER'!BZ40)</f>
        <v/>
      </c>
      <c r="BA257" s="278" t="str">
        <f>IF('中間データ共通・Desk・f-FILTER・Z-FILTER'!CA40="","",'中間データ共通・Desk・f-FILTER・Z-FILTER'!CA40)</f>
        <v/>
      </c>
      <c r="BB257" s="278" t="s">
        <v>1480</v>
      </c>
    </row>
    <row r="258" spans="1:54">
      <c r="A258" s="622" t="s">
        <v>586</v>
      </c>
      <c r="B258" s="622" t="s">
        <v>634</v>
      </c>
      <c r="C258" s="622" t="s">
        <v>620</v>
      </c>
      <c r="D258" s="622" t="s">
        <v>1366</v>
      </c>
      <c r="E258" s="622" t="s">
        <v>622</v>
      </c>
      <c r="F258" s="622" t="s">
        <v>614</v>
      </c>
      <c r="G258" s="622" t="s">
        <v>623</v>
      </c>
      <c r="H258" s="622" t="s">
        <v>624</v>
      </c>
      <c r="I258" s="622" t="s">
        <v>625</v>
      </c>
      <c r="J258" s="622" t="s">
        <v>626</v>
      </c>
      <c r="K258" s="622" t="s">
        <v>627</v>
      </c>
      <c r="L258" s="622" t="s">
        <v>628</v>
      </c>
      <c r="M258" s="622" t="s">
        <v>629</v>
      </c>
      <c r="N258" s="622" t="s">
        <v>630</v>
      </c>
      <c r="O258" s="622" t="s">
        <v>631</v>
      </c>
      <c r="P258" s="622" t="s">
        <v>632</v>
      </c>
      <c r="Q258" s="622" t="s">
        <v>633</v>
      </c>
      <c r="R258" s="622" t="s">
        <v>1116</v>
      </c>
      <c r="S258" s="622" t="s">
        <v>701</v>
      </c>
      <c r="T258" s="622" t="s">
        <v>702</v>
      </c>
      <c r="U258" s="622" t="s">
        <v>699</v>
      </c>
      <c r="V258" s="622" t="s">
        <v>700</v>
      </c>
      <c r="W258" s="622" t="s">
        <v>822</v>
      </c>
      <c r="X258" s="622" t="s">
        <v>880</v>
      </c>
      <c r="Y258" s="622" t="s">
        <v>1118</v>
      </c>
      <c r="Z258" s="622" t="s">
        <v>1124</v>
      </c>
      <c r="AA258" s="622" t="s">
        <v>1125</v>
      </c>
      <c r="AB258" s="622" t="s">
        <v>1126</v>
      </c>
      <c r="AC258" s="622" t="s">
        <v>1127</v>
      </c>
      <c r="AD258" s="622" t="s">
        <v>1128</v>
      </c>
      <c r="AE258" s="622" t="s">
        <v>737</v>
      </c>
      <c r="AF258" s="622" t="s">
        <v>741</v>
      </c>
      <c r="AG258" s="622" t="s">
        <v>745</v>
      </c>
      <c r="AH258" s="622" t="s">
        <v>746</v>
      </c>
      <c r="AI258" s="622" t="s">
        <v>748</v>
      </c>
      <c r="AJ258" s="622" t="s">
        <v>747</v>
      </c>
      <c r="AK258" s="622" t="s">
        <v>1096</v>
      </c>
      <c r="AL258" s="622" t="s">
        <v>1140</v>
      </c>
      <c r="AM258" s="622" t="s">
        <v>1141</v>
      </c>
      <c r="AN258" s="622" t="s">
        <v>1142</v>
      </c>
      <c r="AO258" s="622" t="s">
        <v>1143</v>
      </c>
      <c r="AP258" s="622" t="s">
        <v>1144</v>
      </c>
      <c r="AQ258" s="622" t="s">
        <v>1145</v>
      </c>
      <c r="AR258" s="622" t="s">
        <v>1146</v>
      </c>
      <c r="AS258" s="622" t="s">
        <v>1147</v>
      </c>
      <c r="AT258" s="622" t="s">
        <v>1176</v>
      </c>
      <c r="AU258" s="622" t="s">
        <v>1247</v>
      </c>
      <c r="AV258" s="622" t="s">
        <v>1293</v>
      </c>
      <c r="AW258" s="622" t="s">
        <v>1291</v>
      </c>
      <c r="AX258" s="622" t="s">
        <v>1294</v>
      </c>
      <c r="AY258" s="622" t="s">
        <v>1295</v>
      </c>
      <c r="AZ258" s="622" t="s">
        <v>1372</v>
      </c>
      <c r="BA258" s="622" t="s">
        <v>1373</v>
      </c>
      <c r="BB258" s="622" t="s">
        <v>1481</v>
      </c>
    </row>
    <row r="259" spans="1:54">
      <c r="A259" s="622" t="s">
        <v>612</v>
      </c>
      <c r="B259" s="279" t="str">
        <f>IF(AND(お客様情報!$E$2="f-FILTER",COUNTIF(お客様情報!W5:W9,"f-FILTER2")&gt;0),16,"")</f>
        <v/>
      </c>
      <c r="C259" s="278" t="str">
        <f>IFERROR(VLOOKUP("f-FILTER"&amp;2,お客様情報!W5:Z9,4,FALSE),"")</f>
        <v/>
      </c>
      <c r="D259" s="286" t="str">
        <f>D$257</f>
        <v/>
      </c>
      <c r="E259" s="314"/>
      <c r="F259" s="286" t="str">
        <f ca="1">F$257</f>
        <v>2026-07-01</v>
      </c>
      <c r="G259" s="278">
        <f>G$257</f>
        <v>5</v>
      </c>
      <c r="H259" s="314"/>
      <c r="I259" s="286" t="str">
        <f>I$257</f>
        <v/>
      </c>
      <c r="J259" s="314"/>
      <c r="K259" s="314"/>
      <c r="L259" s="314"/>
      <c r="M259" s="286" t="str">
        <f>M$257</f>
        <v/>
      </c>
      <c r="N259" s="286" t="str">
        <f>N$257</f>
        <v/>
      </c>
      <c r="O259" s="314"/>
      <c r="P259" s="314"/>
      <c r="Q259" s="314"/>
      <c r="R259" s="314"/>
      <c r="S259" s="286" t="e">
        <f>S$257</f>
        <v>#N/A</v>
      </c>
      <c r="T259" s="286" t="e">
        <f>T$257</f>
        <v>#N/A</v>
      </c>
      <c r="U259" s="314"/>
      <c r="V259" s="314"/>
      <c r="W259" s="314"/>
      <c r="X259" s="314"/>
      <c r="Y259" s="314"/>
      <c r="Z259" s="314"/>
      <c r="AA259" s="314"/>
      <c r="AB259" s="314"/>
      <c r="AC259" s="314"/>
      <c r="AD259" s="314"/>
      <c r="AE259" s="314"/>
      <c r="AF259" s="314"/>
      <c r="AG259" s="314"/>
      <c r="AH259" s="314"/>
      <c r="AI259" s="314"/>
      <c r="AJ259" s="314"/>
      <c r="AK259" s="278" t="str">
        <f>AK$257</f>
        <v/>
      </c>
      <c r="AL259" s="314"/>
      <c r="AM259" s="314"/>
      <c r="AN259" s="314"/>
      <c r="AO259" s="314"/>
      <c r="AP259" s="314"/>
      <c r="AQ259" s="314"/>
      <c r="AR259" s="314"/>
      <c r="AS259" s="314"/>
      <c r="AT259" s="314"/>
      <c r="AU259" s="314"/>
      <c r="AV259" s="314"/>
      <c r="AW259" s="314"/>
      <c r="AX259" s="314"/>
      <c r="AY259" s="314"/>
      <c r="AZ259" s="278" t="str">
        <f>$AZ$257</f>
        <v/>
      </c>
      <c r="BA259" s="278" t="str">
        <f>$BA$257</f>
        <v/>
      </c>
      <c r="BB259" s="278" t="s">
        <v>1480</v>
      </c>
    </row>
    <row r="260" spans="1:54" ht="14.15" customHeight="1">
      <c r="A260" s="622" t="s">
        <v>586</v>
      </c>
      <c r="B260" s="622" t="s">
        <v>634</v>
      </c>
      <c r="C260" s="622" t="s">
        <v>620</v>
      </c>
      <c r="D260" s="622" t="s">
        <v>621</v>
      </c>
      <c r="E260" s="622" t="s">
        <v>622</v>
      </c>
      <c r="F260" s="622" t="s">
        <v>614</v>
      </c>
      <c r="G260" s="622" t="s">
        <v>623</v>
      </c>
      <c r="H260" s="622" t="s">
        <v>624</v>
      </c>
      <c r="I260" s="622" t="s">
        <v>625</v>
      </c>
      <c r="J260" s="622" t="s">
        <v>626</v>
      </c>
      <c r="K260" s="622" t="s">
        <v>627</v>
      </c>
      <c r="L260" s="622" t="s">
        <v>628</v>
      </c>
      <c r="M260" s="622" t="s">
        <v>629</v>
      </c>
      <c r="N260" s="622" t="s">
        <v>630</v>
      </c>
      <c r="O260" s="622" t="s">
        <v>631</v>
      </c>
      <c r="P260" s="622" t="s">
        <v>632</v>
      </c>
      <c r="Q260" s="622" t="s">
        <v>633</v>
      </c>
      <c r="R260" s="622" t="s">
        <v>1116</v>
      </c>
      <c r="S260" s="622" t="s">
        <v>701</v>
      </c>
      <c r="T260" s="622" t="s">
        <v>702</v>
      </c>
      <c r="U260" s="622" t="s">
        <v>699</v>
      </c>
      <c r="V260" s="622" t="s">
        <v>700</v>
      </c>
      <c r="W260" s="622" t="s">
        <v>822</v>
      </c>
      <c r="X260" s="622" t="s">
        <v>880</v>
      </c>
      <c r="Y260" s="622" t="s">
        <v>1118</v>
      </c>
      <c r="Z260" s="622" t="s">
        <v>1124</v>
      </c>
      <c r="AA260" s="622" t="s">
        <v>1125</v>
      </c>
      <c r="AB260" s="622" t="s">
        <v>1126</v>
      </c>
      <c r="AC260" s="622" t="s">
        <v>1127</v>
      </c>
      <c r="AD260" s="622" t="s">
        <v>1128</v>
      </c>
      <c r="AE260" s="622" t="s">
        <v>737</v>
      </c>
      <c r="AF260" s="622" t="s">
        <v>741</v>
      </c>
      <c r="AG260" s="622" t="s">
        <v>745</v>
      </c>
      <c r="AH260" s="622" t="s">
        <v>746</v>
      </c>
      <c r="AI260" s="622" t="s">
        <v>748</v>
      </c>
      <c r="AJ260" s="622" t="s">
        <v>747</v>
      </c>
      <c r="AK260" s="622" t="s">
        <v>1096</v>
      </c>
      <c r="AL260" s="622" t="s">
        <v>1140</v>
      </c>
      <c r="AM260" s="622" t="s">
        <v>1141</v>
      </c>
      <c r="AN260" s="622" t="s">
        <v>1142</v>
      </c>
      <c r="AO260" s="622" t="s">
        <v>1143</v>
      </c>
      <c r="AP260" s="622" t="s">
        <v>1144</v>
      </c>
      <c r="AQ260" s="622" t="s">
        <v>1145</v>
      </c>
      <c r="AR260" s="622" t="s">
        <v>1146</v>
      </c>
      <c r="AS260" s="622" t="s">
        <v>1147</v>
      </c>
      <c r="AT260" s="622" t="s">
        <v>1176</v>
      </c>
      <c r="AU260" s="622" t="s">
        <v>1247</v>
      </c>
      <c r="AV260" s="622" t="s">
        <v>1293</v>
      </c>
      <c r="AW260" s="622" t="s">
        <v>1291</v>
      </c>
      <c r="AX260" s="622" t="s">
        <v>1294</v>
      </c>
      <c r="AY260" s="622" t="s">
        <v>1295</v>
      </c>
      <c r="AZ260" s="622" t="s">
        <v>1372</v>
      </c>
      <c r="BA260" s="622" t="s">
        <v>1373</v>
      </c>
      <c r="BB260" s="622" t="s">
        <v>1481</v>
      </c>
    </row>
    <row r="261" spans="1:54">
      <c r="A261" s="622" t="s">
        <v>612</v>
      </c>
      <c r="B261" s="279" t="str">
        <f>IF(AND(お客様情報!$E$2="f-FILTER",COUNTIF(お客様情報!W5:W9,"f-FILTER3")&gt;0),16,"")</f>
        <v/>
      </c>
      <c r="C261" s="278" t="str">
        <f>IFERROR(VLOOKUP("f-FILTER"&amp;3,お客様情報!W5:Z9,4,FALSE),"")</f>
        <v/>
      </c>
      <c r="D261" s="286" t="str">
        <f>D$257</f>
        <v/>
      </c>
      <c r="E261" s="314"/>
      <c r="F261" s="286" t="str">
        <f ca="1">F$257</f>
        <v>2026-07-01</v>
      </c>
      <c r="G261" s="278">
        <f>G$257</f>
        <v>5</v>
      </c>
      <c r="H261" s="314"/>
      <c r="I261" s="286" t="str">
        <f>I$257</f>
        <v/>
      </c>
      <c r="J261" s="314"/>
      <c r="K261" s="314"/>
      <c r="L261" s="314"/>
      <c r="M261" s="286" t="str">
        <f>M$257</f>
        <v/>
      </c>
      <c r="N261" s="286" t="str">
        <f>N$257</f>
        <v/>
      </c>
      <c r="O261" s="314"/>
      <c r="P261" s="314"/>
      <c r="Q261" s="314"/>
      <c r="R261" s="314"/>
      <c r="S261" s="286" t="e">
        <f>S$257</f>
        <v>#N/A</v>
      </c>
      <c r="T261" s="286" t="e">
        <f>T$257</f>
        <v>#N/A</v>
      </c>
      <c r="U261" s="314"/>
      <c r="V261" s="314"/>
      <c r="W261" s="314"/>
      <c r="X261" s="314"/>
      <c r="Y261" s="314"/>
      <c r="Z261" s="314"/>
      <c r="AA261" s="314"/>
      <c r="AB261" s="314"/>
      <c r="AC261" s="314"/>
      <c r="AD261" s="314"/>
      <c r="AE261" s="314"/>
      <c r="AF261" s="314"/>
      <c r="AG261" s="314"/>
      <c r="AH261" s="314"/>
      <c r="AI261" s="314"/>
      <c r="AJ261" s="314"/>
      <c r="AK261" s="278" t="str">
        <f>AK$257</f>
        <v/>
      </c>
      <c r="AL261" s="314"/>
      <c r="AM261" s="314"/>
      <c r="AN261" s="314"/>
      <c r="AO261" s="314"/>
      <c r="AP261" s="314"/>
      <c r="AQ261" s="314"/>
      <c r="AR261" s="314"/>
      <c r="AS261" s="314"/>
      <c r="AT261" s="314"/>
      <c r="AU261" s="314"/>
      <c r="AV261" s="314"/>
      <c r="AW261" s="314"/>
      <c r="AX261" s="314"/>
      <c r="AY261" s="314"/>
      <c r="AZ261" s="278" t="str">
        <f>$AZ$257</f>
        <v/>
      </c>
      <c r="BA261" s="278" t="str">
        <f>$BA$257</f>
        <v/>
      </c>
      <c r="BB261" s="278" t="s">
        <v>1480</v>
      </c>
    </row>
    <row r="262" spans="1:54">
      <c r="A262" s="622" t="s">
        <v>586</v>
      </c>
      <c r="B262" s="622" t="s">
        <v>1348</v>
      </c>
      <c r="C262" s="622" t="s">
        <v>620</v>
      </c>
      <c r="D262" s="622" t="s">
        <v>621</v>
      </c>
      <c r="E262" s="622" t="s">
        <v>622</v>
      </c>
      <c r="F262" s="622" t="s">
        <v>614</v>
      </c>
      <c r="G262" s="622" t="s">
        <v>623</v>
      </c>
      <c r="H262" s="622" t="s">
        <v>624</v>
      </c>
      <c r="I262" s="622" t="s">
        <v>625</v>
      </c>
      <c r="J262" s="622" t="s">
        <v>626</v>
      </c>
      <c r="K262" s="622" t="s">
        <v>627</v>
      </c>
      <c r="L262" s="622" t="s">
        <v>628</v>
      </c>
      <c r="M262" s="622" t="s">
        <v>629</v>
      </c>
      <c r="N262" s="622" t="s">
        <v>630</v>
      </c>
      <c r="O262" s="622" t="s">
        <v>631</v>
      </c>
      <c r="P262" s="622" t="s">
        <v>632</v>
      </c>
      <c r="Q262" s="622" t="s">
        <v>633</v>
      </c>
      <c r="R262" s="622" t="s">
        <v>1116</v>
      </c>
      <c r="S262" s="622" t="s">
        <v>701</v>
      </c>
      <c r="T262" s="622" t="s">
        <v>702</v>
      </c>
      <c r="U262" s="622" t="s">
        <v>699</v>
      </c>
      <c r="V262" s="622" t="s">
        <v>700</v>
      </c>
      <c r="W262" s="622" t="s">
        <v>822</v>
      </c>
      <c r="X262" s="622" t="s">
        <v>880</v>
      </c>
      <c r="Y262" s="622" t="s">
        <v>1118</v>
      </c>
      <c r="Z262" s="622" t="s">
        <v>1124</v>
      </c>
      <c r="AA262" s="622" t="s">
        <v>1125</v>
      </c>
      <c r="AB262" s="622" t="s">
        <v>1126</v>
      </c>
      <c r="AC262" s="622" t="s">
        <v>1127</v>
      </c>
      <c r="AD262" s="622" t="s">
        <v>1128</v>
      </c>
      <c r="AE262" s="622" t="s">
        <v>737</v>
      </c>
      <c r="AF262" s="622" t="s">
        <v>741</v>
      </c>
      <c r="AG262" s="622" t="s">
        <v>745</v>
      </c>
      <c r="AH262" s="622" t="s">
        <v>746</v>
      </c>
      <c r="AI262" s="622" t="s">
        <v>748</v>
      </c>
      <c r="AJ262" s="622" t="s">
        <v>747</v>
      </c>
      <c r="AK262" s="622" t="s">
        <v>1096</v>
      </c>
      <c r="AL262" s="622" t="s">
        <v>1140</v>
      </c>
      <c r="AM262" s="622" t="s">
        <v>1141</v>
      </c>
      <c r="AN262" s="622" t="s">
        <v>1142</v>
      </c>
      <c r="AO262" s="622" t="s">
        <v>1143</v>
      </c>
      <c r="AP262" s="622" t="s">
        <v>1144</v>
      </c>
      <c r="AQ262" s="622" t="s">
        <v>1145</v>
      </c>
      <c r="AR262" s="622" t="s">
        <v>1146</v>
      </c>
      <c r="AS262" s="622" t="s">
        <v>1147</v>
      </c>
      <c r="AT262" s="622" t="s">
        <v>1176</v>
      </c>
      <c r="AU262" s="622" t="s">
        <v>1247</v>
      </c>
      <c r="AV262" s="622" t="s">
        <v>1293</v>
      </c>
      <c r="AW262" s="622" t="s">
        <v>1291</v>
      </c>
      <c r="AX262" s="622" t="s">
        <v>1294</v>
      </c>
      <c r="AY262" s="622" t="s">
        <v>1295</v>
      </c>
      <c r="AZ262" s="622" t="s">
        <v>1372</v>
      </c>
      <c r="BA262" s="622" t="s">
        <v>1373</v>
      </c>
      <c r="BB262" s="622" t="s">
        <v>1481</v>
      </c>
    </row>
    <row r="263" spans="1:54">
      <c r="A263" s="622" t="s">
        <v>612</v>
      </c>
      <c r="B263" s="279" t="str">
        <f>IF(AND(お客様情報!$E$2="f-FILTER",COUNTIF(お客様情報!W5:W9,"f-FILTER4")&gt;0),16,"")</f>
        <v/>
      </c>
      <c r="C263" s="278" t="str">
        <f>IFERROR(VLOOKUP("f-FILTER"&amp;4,お客様情報!W5:Z9,4,FALSE),"")</f>
        <v/>
      </c>
      <c r="D263" s="286" t="str">
        <f>D$257</f>
        <v/>
      </c>
      <c r="E263" s="314"/>
      <c r="F263" s="286" t="str">
        <f ca="1">F$257</f>
        <v>2026-07-01</v>
      </c>
      <c r="G263" s="278">
        <f>G$257</f>
        <v>5</v>
      </c>
      <c r="H263" s="314"/>
      <c r="I263" s="286" t="str">
        <f>I$257</f>
        <v/>
      </c>
      <c r="J263" s="314"/>
      <c r="K263" s="314"/>
      <c r="L263" s="314"/>
      <c r="M263" s="286" t="str">
        <f>M$257</f>
        <v/>
      </c>
      <c r="N263" s="286" t="str">
        <f>N$257</f>
        <v/>
      </c>
      <c r="O263" s="314"/>
      <c r="P263" s="314"/>
      <c r="Q263" s="314"/>
      <c r="R263" s="314"/>
      <c r="S263" s="286" t="e">
        <f>S$257</f>
        <v>#N/A</v>
      </c>
      <c r="T263" s="286" t="e">
        <f>T$257</f>
        <v>#N/A</v>
      </c>
      <c r="U263" s="314"/>
      <c r="V263" s="314"/>
      <c r="W263" s="314"/>
      <c r="X263" s="314"/>
      <c r="Y263" s="314"/>
      <c r="Z263" s="314"/>
      <c r="AA263" s="314"/>
      <c r="AB263" s="314"/>
      <c r="AC263" s="314"/>
      <c r="AD263" s="314"/>
      <c r="AE263" s="314"/>
      <c r="AF263" s="314"/>
      <c r="AG263" s="314"/>
      <c r="AH263" s="314"/>
      <c r="AI263" s="314"/>
      <c r="AJ263" s="314"/>
      <c r="AK263" s="278" t="str">
        <f>AK$257</f>
        <v/>
      </c>
      <c r="AL263" s="314"/>
      <c r="AM263" s="314"/>
      <c r="AN263" s="314"/>
      <c r="AO263" s="314"/>
      <c r="AP263" s="314"/>
      <c r="AQ263" s="314"/>
      <c r="AR263" s="314"/>
      <c r="AS263" s="314"/>
      <c r="AT263" s="314"/>
      <c r="AU263" s="314"/>
      <c r="AV263" s="314"/>
      <c r="AW263" s="314"/>
      <c r="AX263" s="314"/>
      <c r="AY263" s="314"/>
      <c r="AZ263" s="278" t="str">
        <f>$AZ$257</f>
        <v/>
      </c>
      <c r="BA263" s="278" t="str">
        <f>$BA$257</f>
        <v/>
      </c>
      <c r="BB263" s="278" t="s">
        <v>1480</v>
      </c>
    </row>
    <row r="264" spans="1:54">
      <c r="A264" s="622" t="s">
        <v>586</v>
      </c>
      <c r="B264" s="622" t="s">
        <v>634</v>
      </c>
      <c r="C264" s="622" t="s">
        <v>620</v>
      </c>
      <c r="D264" s="622" t="s">
        <v>621</v>
      </c>
      <c r="E264" s="622" t="s">
        <v>622</v>
      </c>
      <c r="F264" s="622" t="s">
        <v>614</v>
      </c>
      <c r="G264" s="622" t="s">
        <v>623</v>
      </c>
      <c r="H264" s="622" t="s">
        <v>624</v>
      </c>
      <c r="I264" s="622" t="s">
        <v>625</v>
      </c>
      <c r="J264" s="622" t="s">
        <v>626</v>
      </c>
      <c r="K264" s="622" t="s">
        <v>627</v>
      </c>
      <c r="L264" s="622" t="s">
        <v>628</v>
      </c>
      <c r="M264" s="622" t="s">
        <v>629</v>
      </c>
      <c r="N264" s="622" t="s">
        <v>630</v>
      </c>
      <c r="O264" s="622" t="s">
        <v>631</v>
      </c>
      <c r="P264" s="622" t="s">
        <v>632</v>
      </c>
      <c r="Q264" s="622" t="s">
        <v>633</v>
      </c>
      <c r="R264" s="622" t="s">
        <v>1116</v>
      </c>
      <c r="S264" s="622" t="s">
        <v>701</v>
      </c>
      <c r="T264" s="622" t="s">
        <v>702</v>
      </c>
      <c r="U264" s="622" t="s">
        <v>699</v>
      </c>
      <c r="V264" s="622" t="s">
        <v>700</v>
      </c>
      <c r="W264" s="622" t="s">
        <v>822</v>
      </c>
      <c r="X264" s="622" t="s">
        <v>880</v>
      </c>
      <c r="Y264" s="622" t="s">
        <v>1118</v>
      </c>
      <c r="Z264" s="622" t="s">
        <v>1124</v>
      </c>
      <c r="AA264" s="622" t="s">
        <v>1125</v>
      </c>
      <c r="AB264" s="622" t="s">
        <v>1126</v>
      </c>
      <c r="AC264" s="622" t="s">
        <v>1127</v>
      </c>
      <c r="AD264" s="622" t="s">
        <v>1128</v>
      </c>
      <c r="AE264" s="622" t="s">
        <v>737</v>
      </c>
      <c r="AF264" s="622" t="s">
        <v>741</v>
      </c>
      <c r="AG264" s="622" t="s">
        <v>745</v>
      </c>
      <c r="AH264" s="622" t="s">
        <v>746</v>
      </c>
      <c r="AI264" s="622" t="s">
        <v>748</v>
      </c>
      <c r="AJ264" s="622" t="s">
        <v>747</v>
      </c>
      <c r="AK264" s="622" t="s">
        <v>1096</v>
      </c>
      <c r="AL264" s="622" t="s">
        <v>1140</v>
      </c>
      <c r="AM264" s="622" t="s">
        <v>1141</v>
      </c>
      <c r="AN264" s="622" t="s">
        <v>1142</v>
      </c>
      <c r="AO264" s="622" t="s">
        <v>1143</v>
      </c>
      <c r="AP264" s="622" t="s">
        <v>1144</v>
      </c>
      <c r="AQ264" s="622" t="s">
        <v>1145</v>
      </c>
      <c r="AR264" s="622" t="s">
        <v>1146</v>
      </c>
      <c r="AS264" s="622" t="s">
        <v>1147</v>
      </c>
      <c r="AT264" s="622" t="s">
        <v>1176</v>
      </c>
      <c r="AU264" s="622" t="s">
        <v>1247</v>
      </c>
      <c r="AV264" s="622" t="s">
        <v>1293</v>
      </c>
      <c r="AW264" s="622" t="s">
        <v>1291</v>
      </c>
      <c r="AX264" s="622" t="s">
        <v>1294</v>
      </c>
      <c r="AY264" s="622" t="s">
        <v>1295</v>
      </c>
      <c r="AZ264" s="622" t="s">
        <v>1372</v>
      </c>
      <c r="BA264" s="622" t="s">
        <v>1373</v>
      </c>
      <c r="BB264" s="622" t="s">
        <v>1481</v>
      </c>
    </row>
    <row r="265" spans="1:54">
      <c r="A265" s="622" t="s">
        <v>612</v>
      </c>
      <c r="B265" s="278" t="str">
        <f>IF(AND(お客様情報!$E$2="f-FILTER",COUNTIF(お客様情報!W5:W9,"f-FILTER5")&gt;0),16,"")</f>
        <v/>
      </c>
      <c r="C265" s="278" t="str">
        <f>IFERROR(VLOOKUP("f-FILTER"&amp;5,お客様情報!W5:Z9,4,FALSE),"")</f>
        <v/>
      </c>
      <c r="D265" s="286" t="str">
        <f>D$257</f>
        <v/>
      </c>
      <c r="E265" s="314"/>
      <c r="F265" s="286" t="str">
        <f ca="1">F$257</f>
        <v>2026-07-01</v>
      </c>
      <c r="G265" s="278">
        <f>G$257</f>
        <v>5</v>
      </c>
      <c r="H265" s="314"/>
      <c r="I265" s="286" t="str">
        <f>I$257</f>
        <v/>
      </c>
      <c r="J265" s="314"/>
      <c r="K265" s="314"/>
      <c r="L265" s="314"/>
      <c r="M265" s="286" t="str">
        <f>M$257</f>
        <v/>
      </c>
      <c r="N265" s="286" t="str">
        <f>N$257</f>
        <v/>
      </c>
      <c r="O265" s="314"/>
      <c r="P265" s="314"/>
      <c r="Q265" s="314"/>
      <c r="R265" s="314"/>
      <c r="S265" s="286" t="e">
        <f>S$257</f>
        <v>#N/A</v>
      </c>
      <c r="T265" s="286" t="e">
        <f>T$257</f>
        <v>#N/A</v>
      </c>
      <c r="U265" s="314"/>
      <c r="V265" s="314"/>
      <c r="W265" s="314"/>
      <c r="X265" s="314"/>
      <c r="Y265" s="314"/>
      <c r="Z265" s="314"/>
      <c r="AA265" s="314"/>
      <c r="AB265" s="314"/>
      <c r="AC265" s="314"/>
      <c r="AD265" s="314"/>
      <c r="AE265" s="314"/>
      <c r="AF265" s="314"/>
      <c r="AG265" s="314"/>
      <c r="AH265" s="314"/>
      <c r="AI265" s="314"/>
      <c r="AJ265" s="314"/>
      <c r="AK265" s="278" t="str">
        <f>AK$257</f>
        <v/>
      </c>
      <c r="AL265" s="314"/>
      <c r="AM265" s="314"/>
      <c r="AN265" s="314"/>
      <c r="AO265" s="314"/>
      <c r="AP265" s="314"/>
      <c r="AQ265" s="314"/>
      <c r="AR265" s="314"/>
      <c r="AS265" s="314"/>
      <c r="AT265" s="314"/>
      <c r="AU265" s="314"/>
      <c r="AV265" s="314"/>
      <c r="AW265" s="314"/>
      <c r="AX265" s="314"/>
      <c r="AY265" s="314"/>
      <c r="AZ265" s="278" t="str">
        <f>$AZ$257</f>
        <v/>
      </c>
      <c r="BA265" s="278" t="str">
        <f>$BA$257</f>
        <v/>
      </c>
      <c r="BB265" s="278" t="s">
        <v>1480</v>
      </c>
    </row>
    <row r="266" spans="1:54">
      <c r="A266" s="659" t="s">
        <v>586</v>
      </c>
      <c r="B266" s="659" t="s">
        <v>1348</v>
      </c>
      <c r="C266" s="659" t="s">
        <v>946</v>
      </c>
      <c r="D266" s="659" t="s">
        <v>1366</v>
      </c>
      <c r="E266" s="659" t="s">
        <v>622</v>
      </c>
      <c r="F266" s="659" t="s">
        <v>1383</v>
      </c>
      <c r="G266" s="659" t="s">
        <v>670</v>
      </c>
      <c r="H266" s="659" t="s">
        <v>624</v>
      </c>
      <c r="I266" s="659" t="s">
        <v>625</v>
      </c>
      <c r="J266" s="659" t="s">
        <v>626</v>
      </c>
      <c r="K266" s="659" t="s">
        <v>627</v>
      </c>
      <c r="L266" s="659" t="s">
        <v>628</v>
      </c>
      <c r="M266" s="659" t="s">
        <v>629</v>
      </c>
      <c r="N266" s="659" t="s">
        <v>630</v>
      </c>
      <c r="O266" s="659" t="s">
        <v>631</v>
      </c>
      <c r="P266" s="659" t="s">
        <v>632</v>
      </c>
      <c r="Q266" s="659" t="s">
        <v>633</v>
      </c>
      <c r="R266" s="659" t="s">
        <v>1116</v>
      </c>
      <c r="S266" s="659" t="s">
        <v>701</v>
      </c>
      <c r="T266" s="659" t="s">
        <v>702</v>
      </c>
      <c r="U266" s="659" t="s">
        <v>699</v>
      </c>
      <c r="V266" s="659" t="s">
        <v>700</v>
      </c>
      <c r="W266" s="659" t="s">
        <v>822</v>
      </c>
      <c r="X266" s="659" t="s">
        <v>880</v>
      </c>
      <c r="Y266" s="659" t="s">
        <v>1118</v>
      </c>
      <c r="Z266" s="659" t="s">
        <v>1124</v>
      </c>
      <c r="AA266" s="659" t="s">
        <v>1125</v>
      </c>
      <c r="AB266" s="659" t="s">
        <v>1126</v>
      </c>
      <c r="AC266" s="659" t="s">
        <v>1127</v>
      </c>
      <c r="AD266" s="659" t="s">
        <v>1128</v>
      </c>
      <c r="AE266" s="659" t="s">
        <v>737</v>
      </c>
      <c r="AF266" s="659" t="s">
        <v>741</v>
      </c>
      <c r="AG266" s="659" t="s">
        <v>745</v>
      </c>
      <c r="AH266" s="659" t="s">
        <v>746</v>
      </c>
      <c r="AI266" s="659" t="s">
        <v>748</v>
      </c>
      <c r="AJ266" s="659" t="s">
        <v>747</v>
      </c>
      <c r="AK266" s="659" t="s">
        <v>1096</v>
      </c>
      <c r="AL266" s="659" t="s">
        <v>1140</v>
      </c>
      <c r="AM266" s="659" t="s">
        <v>1141</v>
      </c>
      <c r="AN266" s="659" t="s">
        <v>1142</v>
      </c>
      <c r="AO266" s="659" t="s">
        <v>1143</v>
      </c>
      <c r="AP266" s="659" t="s">
        <v>1144</v>
      </c>
      <c r="AQ266" s="659" t="s">
        <v>1145</v>
      </c>
      <c r="AR266" s="659" t="s">
        <v>1146</v>
      </c>
      <c r="AS266" s="659" t="s">
        <v>1147</v>
      </c>
      <c r="AT266" s="659" t="s">
        <v>1176</v>
      </c>
      <c r="AU266" s="659" t="s">
        <v>1247</v>
      </c>
      <c r="AV266" s="659" t="s">
        <v>1293</v>
      </c>
      <c r="AW266" s="659" t="s">
        <v>1291</v>
      </c>
      <c r="AX266" s="659" t="s">
        <v>1294</v>
      </c>
      <c r="AY266" s="659" t="s">
        <v>1295</v>
      </c>
      <c r="AZ266" s="659" t="s">
        <v>1372</v>
      </c>
      <c r="BA266" s="659" t="s">
        <v>1373</v>
      </c>
      <c r="BB266" s="659" t="s">
        <v>1481</v>
      </c>
    </row>
    <row r="267" spans="1:54">
      <c r="A267" s="622" t="s">
        <v>612</v>
      </c>
      <c r="B267" s="279" t="str">
        <f>IF(C267&lt;&gt;"","16","")</f>
        <v/>
      </c>
      <c r="C267" s="278" t="str">
        <f>IF(AND(代ホ_入力フォームiF・mF・MA!W87="",代ホ_入力フォームiF・mF・MA!W108=""),"",IF(AND(AND(代ホ_入力フォームiF・mF・MA!W87&lt;&gt;"無",代ホ_入力フォームiF・mF・MA!W87&lt;&gt;""),AND(代ホ_入力フォームiF・mF・MA!W108&lt;&gt;"無",代ホ_入力フォームiF・mF・MA!W108&lt;&gt;"")),"80168771",IF(AND(代ホ_入力フォームiF・mF・MA!W87&lt;&gt;"無",OR(代ホ_入力フォームiF・mF・MA!W108="無",代ホ_入力フォームiF・mF・MA!W108="")),"80168769",IF(AND(OR(代ホ_入力フォームiF・mF・MA!W87="無",代ホ_入力フォームiF・mF・MA!W87=""),代ホ_入力フォームiF・mF・MA!W108&lt;&gt;"無"),"80168770",""))))</f>
        <v/>
      </c>
      <c r="D267" s="286" t="str">
        <f>IF(C267="","",999999)</f>
        <v/>
      </c>
      <c r="E267" s="314"/>
      <c r="F267" s="663" t="str">
        <f>IF(C267="","",TEXT(IF('入力フォーム_f-FILTER'!N86*'入力フォーム_f-FILTER'!U86&lt;&gt;0,('入力フォーム_f-FILTER'!N86+2000)&amp;"/"&amp;'入力フォーム_f-FILTER'!U86&amp;"/"&amp;'入力フォーム_f-FILTER'!AB86,'中間データ共通・Desk・f-FILTER・Z-FILTER'!AE14),"yyyy-mm-dd"))</f>
        <v/>
      </c>
      <c r="G267" s="278" t="str">
        <f>IF(C267="","",5)</f>
        <v/>
      </c>
      <c r="H267" s="314"/>
      <c r="I267" s="278" t="str">
        <f>IF(C267="","",IF(代ホ_入力フォームiF・mF・MA!CD87&lt;&gt;"",代ホ_入力フォームiF・mF・MA!CD87,IF(代ホ_入力フォームiF・mF・MA!BS108&lt;&gt;"",代ホ_入力フォームiF・mF・MA!BS108,"")))</f>
        <v/>
      </c>
      <c r="J267" s="314"/>
      <c r="K267" s="314"/>
      <c r="L267" s="314"/>
      <c r="M267" s="278" t="str">
        <f>IF(代ホ_入力フォームiF・mF・MA!W87="有（f-FILTER保有シリアルあり）",代ホ_入力フォームiF・mF・MA!AV87,IF(代ホ_入力フォームiF・mF・MA!W108="有（f-FILTER保有シリアルあり）",代ホ_入力フォームiF・mF・MA!AS108,""))</f>
        <v/>
      </c>
      <c r="N267" s="632" t="str">
        <f>IF(代ホ_入力フォームiF・mF・MA!W87="有（f-FILTER保有シリアルあり）",代ホ_入力フォームiF・mF・MA!AV87,IF(代ホ_入力フォームiF・mF・MA!W108="有（f-FILTER保有シリアルあり）",代ホ_入力フォームiF・mF・MA!AS108,""))</f>
        <v/>
      </c>
      <c r="O267" s="314"/>
      <c r="P267" s="314"/>
      <c r="Q267" s="314"/>
      <c r="R267" s="314"/>
      <c r="S267" s="567" t="e">
        <f>IF(お客様情報!$N$64="","",お客様情報!$N$64)</f>
        <v>#N/A</v>
      </c>
      <c r="T267" s="567" t="e">
        <f>IF(お客様情報!$N$64="","",お客様情報!$N$64)</f>
        <v>#N/A</v>
      </c>
      <c r="U267" s="314"/>
      <c r="V267" s="314"/>
      <c r="W267" s="314"/>
      <c r="X267" s="314"/>
      <c r="Y267" s="314"/>
      <c r="Z267" s="314"/>
      <c r="AA267" s="314"/>
      <c r="AB267" s="314"/>
      <c r="AC267" s="314"/>
      <c r="AD267" s="314"/>
      <c r="AE267" s="314"/>
      <c r="AF267" s="314"/>
      <c r="AG267" s="314"/>
      <c r="AH267" s="314"/>
      <c r="AI267" s="314"/>
      <c r="AJ267" s="314"/>
      <c r="AK267" s="278" t="str">
        <f>IF(C267="","",IF(代ホ_入力フォームiF・mF・MA!W87="有（f-FILTER試用版シリアルあり）",代ホ_入力フォームiF・mF・MA!AV87,IF(代ホ_入力フォームiF・mF・MA!W108="有（f-FILTER試用版シリアルあり）",代ホ_入力フォームiF・mF・MA!AS108,"")))</f>
        <v/>
      </c>
      <c r="AL267" s="314"/>
      <c r="AM267" s="314"/>
      <c r="AN267" s="314"/>
      <c r="AO267" s="314"/>
      <c r="AP267" s="314"/>
      <c r="AQ267" s="314"/>
      <c r="AR267" s="314"/>
      <c r="AS267" s="314"/>
      <c r="AT267" s="314"/>
      <c r="AU267" s="314"/>
      <c r="AV267" s="314"/>
      <c r="AW267" s="314"/>
      <c r="AX267" s="314"/>
      <c r="AY267" s="314"/>
      <c r="AZ267" s="278" t="str">
        <f>IF('中間データ共通・Desk・f-FILTER・Z-FILTER'!BZ53="","",'中間データ共通・Desk・f-FILTER・Z-FILTER'!BZ53)</f>
        <v/>
      </c>
      <c r="BA267" s="278" t="str">
        <f>IF('中間データ共通・Desk・f-FILTER・Z-FILTER'!CA40="","",'中間データ共通・Desk・f-FILTER・Z-FILTER'!CA40)</f>
        <v/>
      </c>
      <c r="BB267" s="278"/>
    </row>
  </sheetData>
  <phoneticPr fontId="68"/>
  <pageMargins left="0.7" right="0.7" top="0.75" bottom="0.75" header="0.3" footer="0.3"/>
  <pageSetup paperSize="9" orientation="portrait" r:id="rId1"/>
  <ignoredErrors>
    <ignoredError sqref="F239 F241 F243 F245" formula="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2:W97"/>
  <sheetViews>
    <sheetView zoomScale="120" zoomScaleNormal="120" workbookViewId="0">
      <selection activeCell="J20" sqref="J20:L21"/>
    </sheetView>
  </sheetViews>
  <sheetFormatPr defaultColWidth="10.36328125" defaultRowHeight="9.5"/>
  <cols>
    <col min="1" max="1" width="6.90625" style="145" bestFit="1" customWidth="1"/>
    <col min="2" max="2" width="37.6328125" style="145" customWidth="1"/>
    <col min="3" max="3" width="36.7265625" style="145" bestFit="1" customWidth="1"/>
    <col min="4" max="4" width="22" style="145" bestFit="1" customWidth="1"/>
    <col min="5" max="5" width="14.08984375" style="145" bestFit="1" customWidth="1"/>
    <col min="6" max="6" width="12.36328125" style="145" bestFit="1" customWidth="1"/>
    <col min="7" max="7" width="12.7265625" style="145" bestFit="1" customWidth="1"/>
    <col min="8" max="8" width="13.453125" style="145" bestFit="1" customWidth="1"/>
    <col min="9" max="9" width="9.6328125" style="145" bestFit="1" customWidth="1"/>
    <col min="10" max="10" width="7.453125" style="145" bestFit="1" customWidth="1"/>
    <col min="11" max="12" width="9.6328125" style="145" bestFit="1" customWidth="1"/>
    <col min="13" max="13" width="7.453125" style="145" bestFit="1" customWidth="1"/>
    <col min="14" max="14" width="9.7265625" style="145" customWidth="1"/>
    <col min="15" max="15" width="7.453125" style="145" bestFit="1" customWidth="1"/>
    <col min="16" max="16" width="9.6328125" style="145" bestFit="1" customWidth="1"/>
    <col min="17" max="17" width="7.453125" style="145" bestFit="1" customWidth="1"/>
    <col min="18" max="18" width="10.36328125" style="145" bestFit="1" customWidth="1"/>
    <col min="19" max="19" width="19.26953125" style="145" bestFit="1" customWidth="1"/>
    <col min="20" max="20" width="26.36328125" style="145" bestFit="1" customWidth="1"/>
    <col min="21" max="21" width="8.26953125" style="145" customWidth="1"/>
    <col min="22" max="22" width="27.7265625" style="145" bestFit="1" customWidth="1"/>
    <col min="23" max="16384" width="10.36328125" style="145"/>
  </cols>
  <sheetData>
    <row r="2" spans="2:22" ht="13">
      <c r="B2" s="582" t="s">
        <v>1037</v>
      </c>
      <c r="C2" s="582" t="s">
        <v>1036</v>
      </c>
      <c r="D2" s="4902" t="s">
        <v>1039</v>
      </c>
      <c r="E2" s="4902"/>
      <c r="F2" s="4902"/>
      <c r="G2" s="4902"/>
      <c r="H2" s="4902"/>
      <c r="I2" s="4903"/>
      <c r="K2" s="423" t="s">
        <v>1049</v>
      </c>
      <c r="L2" s="435"/>
      <c r="M2" s="435"/>
      <c r="N2" s="424"/>
      <c r="P2" s="423" t="s">
        <v>1051</v>
      </c>
      <c r="Q2" s="437"/>
      <c r="S2" s="423" t="s">
        <v>1053</v>
      </c>
      <c r="T2" s="424"/>
      <c r="V2" s="648" t="s">
        <v>1436</v>
      </c>
    </row>
    <row r="3" spans="2:22" ht="13">
      <c r="B3" s="581" t="s">
        <v>1265</v>
      </c>
      <c r="C3" s="581" t="s">
        <v>1267</v>
      </c>
      <c r="D3" s="145" t="s">
        <v>1042</v>
      </c>
      <c r="E3" s="145" t="s">
        <v>1043</v>
      </c>
      <c r="F3" s="145" t="s">
        <v>1044</v>
      </c>
      <c r="G3" s="145" t="s">
        <v>1045</v>
      </c>
      <c r="H3" s="145" t="s">
        <v>1041</v>
      </c>
      <c r="I3" s="432" t="s">
        <v>1040</v>
      </c>
      <c r="K3" s="292"/>
      <c r="L3" s="145" t="s">
        <v>333</v>
      </c>
      <c r="M3" s="145" t="s">
        <v>334</v>
      </c>
      <c r="N3" s="293"/>
      <c r="P3" s="292">
        <v>1</v>
      </c>
      <c r="Q3" s="293" t="e">
        <f>VLOOKUP(入力フォームDSPA!R116,$P$17:$Q$18,2,FALSE)</f>
        <v>#N/A</v>
      </c>
      <c r="S3" s="292" t="s">
        <v>1059</v>
      </c>
      <c r="T3" s="432" t="str">
        <f>IF(COUNTIF(入力フォームDSPA!AB135,"*○*")&gt;0,S3,"")</f>
        <v/>
      </c>
      <c r="V3" s="580" t="s">
        <v>1437</v>
      </c>
    </row>
    <row r="4" spans="2:22" ht="13">
      <c r="B4" s="583" t="s">
        <v>833</v>
      </c>
      <c r="C4" s="145" t="s">
        <v>903</v>
      </c>
      <c r="D4" s="416">
        <f>入力フォームDSPA!BS97+2000</f>
        <v>2000</v>
      </c>
      <c r="E4" s="416">
        <f>入力フォームDSPA!BX97</f>
        <v>0</v>
      </c>
      <c r="F4" s="416">
        <f>入力フォームDSPA!CC97</f>
        <v>1</v>
      </c>
      <c r="G4" s="416" t="str">
        <f>D4&amp;"/"&amp;E4&amp;"/"&amp;F4</f>
        <v>2000/0/1</v>
      </c>
      <c r="H4" s="416" t="e">
        <f>VALUE(LEFT(入力フォームDSPA!BJ97,1))</f>
        <v>#VALUE!</v>
      </c>
      <c r="I4" s="433" t="e">
        <f>DATEVALUE(D4+H4&amp;"/"&amp;E4&amp;"/"&amp;F4)-1</f>
        <v>#VALUE!</v>
      </c>
      <c r="K4" s="292">
        <f>入力フォームDSPA!W78</f>
        <v>0</v>
      </c>
      <c r="L4" s="145" t="e">
        <f>SEARCH("価",入力フォームDSPA!W78,1)</f>
        <v>#VALUE!</v>
      </c>
      <c r="M4" s="145">
        <f>LEN(入力フォームDSPA!W78)</f>
        <v>0</v>
      </c>
      <c r="N4" s="293" t="str">
        <f>IF(M4=4,LEFT(K4,2),LEFT(K4,3))</f>
        <v>0</v>
      </c>
      <c r="P4" s="292">
        <v>2</v>
      </c>
      <c r="Q4" s="293" t="e">
        <f>VLOOKUP(入力フォームDSPA!R118,P$17:$Q$18,2,FALSE)</f>
        <v>#N/A</v>
      </c>
      <c r="S4" s="292" t="s">
        <v>339</v>
      </c>
      <c r="T4" s="432" t="b">
        <f>IF(入力フォームDSPA!AB137="○ あり",VLOOKUP(入力フォームDSPA!D137,$S$23:$T$33,2,FALSE),IF(入力フォームDSPA!AB137="× なし",""))</f>
        <v>0</v>
      </c>
      <c r="V4" s="580" t="s">
        <v>1438</v>
      </c>
    </row>
    <row r="5" spans="2:22" ht="13">
      <c r="B5" s="583" t="s">
        <v>834</v>
      </c>
      <c r="C5" s="145" t="s">
        <v>904</v>
      </c>
      <c r="E5" s="191"/>
      <c r="F5" s="191"/>
      <c r="G5" s="191"/>
      <c r="H5" s="189"/>
      <c r="I5" s="189"/>
      <c r="K5" s="292">
        <f>入力フォームDSPA!W80</f>
        <v>0</v>
      </c>
      <c r="L5" s="145" t="e">
        <f>SEARCH("価",入力フォームDSPA!W80,1)</f>
        <v>#VALUE!</v>
      </c>
      <c r="M5" s="145">
        <f>LEN(入力フォームDSPA!W80)</f>
        <v>0</v>
      </c>
      <c r="N5" s="293" t="str">
        <f>IF(M5=4,LEFT(K5,2),LEFT(K5,3))</f>
        <v>0</v>
      </c>
      <c r="P5" s="292">
        <v>3</v>
      </c>
      <c r="Q5" s="293" t="e">
        <f>VLOOKUP(入力フォームDSPA!R120,P$17:$Q$18,2,FALSE)</f>
        <v>#N/A</v>
      </c>
      <c r="S5" s="292" t="s">
        <v>1055</v>
      </c>
      <c r="T5" s="432" t="b">
        <f>IF(入力フォームDSPA!AB143="○ あり",VLOOKUP(入力フォームDSPA!AB143,$S$23:$T$33,2,FALSE),IF(入力フォームDSPA!AB143="× なし",""))</f>
        <v>0</v>
      </c>
      <c r="V5" s="580" t="s">
        <v>1439</v>
      </c>
    </row>
    <row r="6" spans="2:22" ht="13">
      <c r="B6" s="583" t="s">
        <v>835</v>
      </c>
      <c r="C6" s="145" t="s">
        <v>905</v>
      </c>
      <c r="E6" s="191"/>
      <c r="F6" s="191"/>
      <c r="G6" s="191"/>
      <c r="H6" s="189"/>
      <c r="I6" s="189"/>
      <c r="K6" s="292">
        <f>入力フォームDSPA!W82</f>
        <v>0</v>
      </c>
      <c r="L6" s="145" t="e">
        <f>SEARCH("価",入力フォームDSPA!W82,1)</f>
        <v>#VALUE!</v>
      </c>
      <c r="M6" s="145">
        <f>LEN(入力フォームDSPA!W82)</f>
        <v>0</v>
      </c>
      <c r="N6" s="293" t="str">
        <f>IF(M6=4,LEFT(K6,2),LEFT(K6,3))</f>
        <v>0</v>
      </c>
      <c r="P6" s="292">
        <v>4</v>
      </c>
      <c r="Q6" s="293" t="e">
        <f>VLOOKUP(入力フォームDSPA!R122,$P$17:$Q$18,2,FALSE)</f>
        <v>#N/A</v>
      </c>
      <c r="S6" s="292" t="s">
        <v>340</v>
      </c>
      <c r="T6" s="432" t="b">
        <f>IF(入力フォームDSPA!AB139="○ あり",VLOOKUP(入力フォームDSPA!D139,$S$23:$T$33,2,FALSE),IF(入力フォームDSPA!AB139="× なし",""))</f>
        <v>0</v>
      </c>
      <c r="V6" s="580" t="s">
        <v>1440</v>
      </c>
    </row>
    <row r="7" spans="2:22">
      <c r="B7" s="583" t="s">
        <v>836</v>
      </c>
      <c r="C7" s="145" t="s">
        <v>906</v>
      </c>
      <c r="D7" s="4902" t="s">
        <v>1047</v>
      </c>
      <c r="E7" s="4902"/>
      <c r="F7" s="4902"/>
      <c r="G7" s="4902"/>
      <c r="H7" s="4902"/>
      <c r="I7" s="4903"/>
      <c r="K7" s="292">
        <f>入力フォームDSPA!W84</f>
        <v>0</v>
      </c>
      <c r="L7" s="145" t="e">
        <f>SEARCH("価",入力フォームDSPA!W84,1)</f>
        <v>#VALUE!</v>
      </c>
      <c r="M7" s="145">
        <f>LEN(入力フォームDSPA!W84)</f>
        <v>0</v>
      </c>
      <c r="N7" s="293" t="str">
        <f>IF(M7=4,LEFT(K7,2),LEFT(K7,3))</f>
        <v>0</v>
      </c>
      <c r="P7" s="294">
        <v>5</v>
      </c>
      <c r="Q7" s="295" t="e">
        <f>VLOOKUP(入力フォームDSPA!R124,$P$17:$Q$18,2,FALSE)</f>
        <v>#N/A</v>
      </c>
      <c r="S7" s="292" t="s">
        <v>1060</v>
      </c>
      <c r="T7" s="432" t="b">
        <f>IF(入力フォームDSPA!AB141="○ (DDI)",VLOOKUP(入力フォームDSPA!AB141,$S$23:$T$33,2,FALSE),IF(入力フォームDSPA!AB141="○ (FE)",VLOOKUP(入力フォームDSPA!AB141,$S$23:$T$33,2,FALSE),IF(入力フォームDSPA!AB141="× なし","")))</f>
        <v>0</v>
      </c>
    </row>
    <row r="8" spans="2:22">
      <c r="B8" s="145" t="s">
        <v>837</v>
      </c>
      <c r="C8" s="145" t="s">
        <v>907</v>
      </c>
      <c r="D8" s="145" t="s">
        <v>1042</v>
      </c>
      <c r="E8" s="145" t="s">
        <v>1043</v>
      </c>
      <c r="F8" s="145" t="s">
        <v>1044</v>
      </c>
      <c r="G8" s="145" t="s">
        <v>1045</v>
      </c>
      <c r="H8" s="145" t="s">
        <v>1041</v>
      </c>
      <c r="I8" s="432" t="s">
        <v>1040</v>
      </c>
      <c r="K8" s="294">
        <f>入力フォームDSPA!W86</f>
        <v>0</v>
      </c>
      <c r="L8" s="416" t="e">
        <f>SEARCH("価",入力フォームDSPA!W86,1)</f>
        <v>#VALUE!</v>
      </c>
      <c r="M8" s="416">
        <f>LEN(入力フォームDSPA!W86)</f>
        <v>0</v>
      </c>
      <c r="N8" s="295" t="str">
        <f>IF(M8=4,LEFT(K8,2),LEFT(K8,3))</f>
        <v>0</v>
      </c>
      <c r="P8" s="190"/>
      <c r="S8" s="292" t="s">
        <v>1056</v>
      </c>
      <c r="T8" s="432" t="b">
        <f>IF(入力フォームDSPA!AB143="○ あり",VLOOKUP(入力フォームDSPA!D143,$S$23:$T$33,2,FALSE),IF(入力フォームDSPA!AB143="× なし",""))</f>
        <v>0</v>
      </c>
    </row>
    <row r="9" spans="2:22">
      <c r="B9" s="145" t="s">
        <v>838</v>
      </c>
      <c r="C9" s="145" t="s">
        <v>908</v>
      </c>
      <c r="D9" s="416">
        <f>代ホ_入力フォームDSPA!BS107+2000</f>
        <v>2000</v>
      </c>
      <c r="E9" s="416">
        <f>代ホ_入力フォームDSPA!BX107</f>
        <v>0</v>
      </c>
      <c r="F9" s="416">
        <f>代ホ_入力フォームDSPA!CC107</f>
        <v>1</v>
      </c>
      <c r="G9" s="416" t="str">
        <f>D9&amp;"/"&amp;E9&amp;"/"&amp;F9</f>
        <v>2000/0/1</v>
      </c>
      <c r="H9" s="416" t="e">
        <f>VALUE(LEFT(代ホ_入力フォームDSPA!BJ107,1))</f>
        <v>#VALUE!</v>
      </c>
      <c r="I9" s="433" t="e">
        <f>DATEVALUE(D9+H9&amp;"/"&amp;E9&amp;"/"&amp;F9)-1</f>
        <v>#VALUE!</v>
      </c>
      <c r="L9" s="189"/>
      <c r="P9" s="190"/>
      <c r="S9" s="292" t="s">
        <v>1057</v>
      </c>
      <c r="T9" s="432" t="b">
        <f>IF(入力フォームDSPA!AB147="○ あり",VLOOKUP(入力フォームDSPA!D147,$S$23:$T$33,2,FALSE),IF(入力フォームDSPA!AB147="× なし",""))</f>
        <v>0</v>
      </c>
    </row>
    <row r="10" spans="2:22">
      <c r="B10" s="145" t="s">
        <v>839</v>
      </c>
      <c r="C10" s="145" t="s">
        <v>909</v>
      </c>
      <c r="E10" s="191"/>
      <c r="F10" s="191"/>
      <c r="G10" s="191"/>
      <c r="H10" s="191"/>
      <c r="I10" s="191"/>
      <c r="K10" s="423" t="s">
        <v>1050</v>
      </c>
      <c r="L10" s="436"/>
      <c r="M10" s="435"/>
      <c r="N10" s="424"/>
      <c r="P10" s="438" t="s">
        <v>1052</v>
      </c>
      <c r="Q10" s="424"/>
      <c r="S10" s="294" t="s">
        <v>1058</v>
      </c>
      <c r="T10" s="433" t="b">
        <f>IF(入力フォームDSPA!AB151="○ あり",VLOOKUP(入力フォームDSPA!D151,$S$23:$T$33,2,FALSE),IF(入力フォームDSPA!AB151="× なし",""))</f>
        <v>0</v>
      </c>
    </row>
    <row r="11" spans="2:22">
      <c r="B11" s="583" t="s">
        <v>1266</v>
      </c>
      <c r="C11" s="581" t="s">
        <v>1268</v>
      </c>
      <c r="E11" s="191"/>
      <c r="F11" s="191"/>
      <c r="G11" s="191"/>
      <c r="H11" s="191"/>
      <c r="I11" s="191"/>
      <c r="K11" s="292">
        <f>代ホ_入力フォームDSPA!W88</f>
        <v>0</v>
      </c>
      <c r="L11" s="145" t="e">
        <f>SEARCH("価",代ホ_入力フォームDSPA!W88,1)</f>
        <v>#VALUE!</v>
      </c>
      <c r="M11" s="145">
        <f>LEN(代ホ_入力フォームDSPA!W88)</f>
        <v>0</v>
      </c>
      <c r="N11" s="293" t="str">
        <f>IF(M11=4,LEFT(K11,2),LEFT(K11,3))</f>
        <v>0</v>
      </c>
      <c r="P11" s="292">
        <v>1</v>
      </c>
      <c r="Q11" s="293" t="e">
        <f>VLOOKUP(代ホ_入力フォームDSPA!R126,$P$17:$Q$18,2,FALSE)</f>
        <v>#N/A</v>
      </c>
    </row>
    <row r="12" spans="2:22">
      <c r="B12" s="583" t="s">
        <v>840</v>
      </c>
      <c r="C12" s="145" t="s">
        <v>910</v>
      </c>
      <c r="D12" s="4902" t="s">
        <v>1046</v>
      </c>
      <c r="E12" s="4902"/>
      <c r="F12" s="4902"/>
      <c r="G12" s="4902"/>
      <c r="H12" s="4902"/>
      <c r="I12" s="4903"/>
      <c r="K12" s="292">
        <f>代ホ_入力フォームDSPA!W90</f>
        <v>0</v>
      </c>
      <c r="L12" s="145" t="e">
        <f>SEARCH("価",代ホ_入力フォームDSPA!W90,1)</f>
        <v>#VALUE!</v>
      </c>
      <c r="M12" s="145">
        <f>LEN(代ホ_入力フォームDSPA!W90)</f>
        <v>0</v>
      </c>
      <c r="N12" s="293" t="str">
        <f>IF(M12=4,LEFT(K12,2),LEFT(K12,3))</f>
        <v>0</v>
      </c>
      <c r="P12" s="292">
        <v>2</v>
      </c>
      <c r="Q12" s="293" t="e">
        <f>VLOOKUP(代ホ_入力フォームDSPA!R128,$P$17:$Q$18,2,FALSE)</f>
        <v>#N/A</v>
      </c>
      <c r="S12" s="423" t="s">
        <v>1054</v>
      </c>
      <c r="T12" s="424"/>
    </row>
    <row r="13" spans="2:22">
      <c r="B13" s="583" t="s">
        <v>841</v>
      </c>
      <c r="C13" s="145" t="s">
        <v>911</v>
      </c>
      <c r="D13" s="145" t="s">
        <v>1042</v>
      </c>
      <c r="E13" s="189" t="s">
        <v>1043</v>
      </c>
      <c r="F13" s="145" t="s">
        <v>1044</v>
      </c>
      <c r="G13" s="145" t="s">
        <v>1045</v>
      </c>
      <c r="H13" s="145" t="s">
        <v>1041</v>
      </c>
      <c r="I13" s="432" t="s">
        <v>1040</v>
      </c>
      <c r="K13" s="292">
        <f>代ホ_入力フォームDSPA!W92</f>
        <v>0</v>
      </c>
      <c r="L13" s="145" t="e">
        <f>SEARCH("価",代ホ_入力フォームDSPA!W92,1)</f>
        <v>#VALUE!</v>
      </c>
      <c r="M13" s="145">
        <f>LEN(代ホ_入力フォームDSPA!W92)</f>
        <v>0</v>
      </c>
      <c r="N13" s="293" t="str">
        <f>IF(M13=4,LEFT(K13,2),LEFT(K13,3))</f>
        <v>0</v>
      </c>
      <c r="P13" s="292">
        <v>3</v>
      </c>
      <c r="Q13" s="293" t="e">
        <f>VLOOKUP(代ホ_入力フォームDSPA!R130,$P$17:$Q$18,2,FALSE)</f>
        <v>#N/A</v>
      </c>
      <c r="S13" s="292" t="s">
        <v>1059</v>
      </c>
      <c r="T13" s="432" t="str">
        <f>IF(COUNTIF(代ホ_入力フォームDSPA!AB145,"*○*")&gt;0,S13,"")</f>
        <v/>
      </c>
    </row>
    <row r="14" spans="2:22">
      <c r="B14" s="583" t="s">
        <v>842</v>
      </c>
      <c r="C14" s="145" t="s">
        <v>912</v>
      </c>
      <c r="D14" s="416">
        <f>IF(入力フォームDSPA!AB153="新規（本体新規購入）",入力フォームDSPA!BS97+2000,入力フォームDSPA!CH135+2000)</f>
        <v>2000</v>
      </c>
      <c r="E14" s="434">
        <f>IF(入力フォームDSPA!AB153="新規（本体新規購入）",入力フォームDSPA!BX97,入力フォームDSPA!CM135)</f>
        <v>0</v>
      </c>
      <c r="F14" s="434">
        <f>入力フォームDSPA!CR135</f>
        <v>1</v>
      </c>
      <c r="G14" s="416" t="str">
        <f>IF(COUNTIF(入力フォームDSPA!AR135:BE148,"*更新*"),"",D14&amp;"/"&amp;E14&amp;"/"&amp;F14)</f>
        <v>2000/0/1</v>
      </c>
      <c r="H14" s="416" t="e">
        <f>IF(入力フォームDSPA!AB153="",VALUE(LEFT(入力フォームDSPA!CB135,1)),VALUE(LEFT(入力フォームDSPA!BJ97,1)))</f>
        <v>#VALUE!</v>
      </c>
      <c r="I14" s="433" t="e">
        <f>DATEVALUE(D14+H14&amp;"/"&amp;E14&amp;"/"&amp;F14)-1</f>
        <v>#VALUE!</v>
      </c>
      <c r="K14" s="292">
        <f>代ホ_入力フォームDSPA!W94</f>
        <v>0</v>
      </c>
      <c r="L14" s="145" t="e">
        <f>SEARCH("価",代ホ_入力フォームDSPA!W94,1)</f>
        <v>#VALUE!</v>
      </c>
      <c r="M14" s="145">
        <f>LEN(代ホ_入力フォームDSPA!W94)</f>
        <v>0</v>
      </c>
      <c r="N14" s="293" t="str">
        <f>IF(M14=4,LEFT(K14,2),LEFT(K14,3))</f>
        <v>0</v>
      </c>
      <c r="P14" s="292">
        <v>4</v>
      </c>
      <c r="Q14" s="293" t="e">
        <f>VLOOKUP(代ホ_入力フォームDSPA!R132,$P$17:$Q$18,2,FALSE)</f>
        <v>#N/A</v>
      </c>
      <c r="S14" s="292" t="s">
        <v>339</v>
      </c>
      <c r="T14" s="432" t="b">
        <f>IF(代ホ_入力フォームDSPA!AB147="○ あり",VLOOKUP(代ホ_入力フォームDSPA!D147,$S$23:$T$33,2,FALSE),IF(代ホ_入力フォームDSPA!AB147="× なし",""))</f>
        <v>0</v>
      </c>
    </row>
    <row r="15" spans="2:22">
      <c r="B15" s="583" t="s">
        <v>843</v>
      </c>
      <c r="C15" s="145" t="s">
        <v>913</v>
      </c>
      <c r="E15" s="191"/>
      <c r="F15" s="191" t="s">
        <v>1234</v>
      </c>
      <c r="G15" s="191" t="str">
        <f>TEXT(G14,"yyyy-mm-dd")</f>
        <v>2000/0/1</v>
      </c>
      <c r="H15" s="191"/>
      <c r="I15" s="191"/>
      <c r="K15" s="294">
        <f>代ホ_入力フォームDSPA!W96</f>
        <v>0</v>
      </c>
      <c r="L15" s="416" t="e">
        <f>SEARCH("価",代ホ_入力フォームDSPA!W96,1)</f>
        <v>#VALUE!</v>
      </c>
      <c r="M15" s="416">
        <f>LEN(代ホ_入力フォームDSPA!W96)</f>
        <v>0</v>
      </c>
      <c r="N15" s="295" t="str">
        <f>IF(M15=4,LEFT(K15,2),LEFT(K15,3))</f>
        <v>0</v>
      </c>
      <c r="P15" s="294">
        <v>5</v>
      </c>
      <c r="Q15" s="295" t="e">
        <f>VLOOKUP(代ホ_入力フォームDSPA!R134,$P$17:$Q$18,2,FALSE)</f>
        <v>#N/A</v>
      </c>
      <c r="S15" s="292" t="s">
        <v>1055</v>
      </c>
      <c r="T15" s="432" t="e">
        <f>IF(代ホ_入力フォームDSPA!#REF!="○ あり",VLOOKUP(代ホ_入力フォームDSPA!#REF!,$S$23:$T$33,2,FALSE),IF(代ホ_入力フォームDSPA!#REF!="× なし",""))</f>
        <v>#REF!</v>
      </c>
    </row>
    <row r="16" spans="2:22">
      <c r="B16" s="145" t="s">
        <v>844</v>
      </c>
      <c r="C16" s="145" t="s">
        <v>914</v>
      </c>
      <c r="E16" s="191"/>
      <c r="F16" s="191"/>
      <c r="G16" s="191"/>
      <c r="H16" s="191"/>
      <c r="I16" s="191"/>
      <c r="Q16" s="190"/>
      <c r="S16" s="292" t="s">
        <v>340</v>
      </c>
      <c r="T16" s="432" t="b">
        <f>IF(代ホ_入力フォームDSPA!AB149="○ あり",VLOOKUP(代ホ_入力フォームDSPA!D149,$S$23:$T$33,2,FALSE),IF(代ホ_入力フォームDSPA!AB149="× なし",""))</f>
        <v>0</v>
      </c>
    </row>
    <row r="17" spans="2:20">
      <c r="B17" s="145" t="s">
        <v>845</v>
      </c>
      <c r="C17" s="145" t="s">
        <v>915</v>
      </c>
      <c r="D17" s="4902" t="s">
        <v>1048</v>
      </c>
      <c r="E17" s="4902"/>
      <c r="F17" s="4902"/>
      <c r="G17" s="4902"/>
      <c r="H17" s="4902"/>
      <c r="I17" s="4903"/>
      <c r="J17" s="196"/>
      <c r="P17" s="145" t="s">
        <v>335</v>
      </c>
      <c r="Q17" s="145">
        <v>1</v>
      </c>
      <c r="S17" s="292" t="s">
        <v>1060</v>
      </c>
      <c r="T17" s="432" t="b">
        <f>IF(代ホ_入力フォームDSPA!AB151="○ (DDI)",VLOOKUP(代ホ_入力フォームDSPA!AB151,$S$23:$T$33,2,FALSE),IF(代ホ_入力フォームDSPA!AB151="○ (FE)",VLOOKUP(代ホ_入力フォームDSPA!AB151,$S$23:$T$33,2,FALSE),IF(代ホ_入力フォームDSPA!AB151="× なし","")))</f>
        <v>0</v>
      </c>
    </row>
    <row r="18" spans="2:20">
      <c r="B18" s="145" t="s">
        <v>846</v>
      </c>
      <c r="C18" s="145" t="s">
        <v>916</v>
      </c>
      <c r="D18" s="145" t="s">
        <v>1042</v>
      </c>
      <c r="E18" s="189" t="s">
        <v>1043</v>
      </c>
      <c r="F18" s="145" t="s">
        <v>1044</v>
      </c>
      <c r="G18" s="145" t="s">
        <v>1045</v>
      </c>
      <c r="H18" s="145" t="s">
        <v>1041</v>
      </c>
      <c r="I18" s="432" t="s">
        <v>1040</v>
      </c>
      <c r="J18" s="197"/>
      <c r="K18" s="194"/>
      <c r="L18" s="194"/>
      <c r="N18" s="191"/>
      <c r="O18" s="191"/>
      <c r="P18" s="145" t="s">
        <v>338</v>
      </c>
      <c r="Q18" s="145">
        <v>2</v>
      </c>
      <c r="S18" s="292" t="s">
        <v>1056</v>
      </c>
      <c r="T18" s="432" t="b">
        <f>IF(代ホ_入力フォームDSPA!AB153="○ あり",VLOOKUP(代ホ_入力フォームDSPA!D153,$S$23:$T$33,2,FALSE),IF(代ホ_入力フォームDSPA!AB153="× なし",""))</f>
        <v>0</v>
      </c>
    </row>
    <row r="19" spans="2:20">
      <c r="B19" s="581" t="s">
        <v>1457</v>
      </c>
      <c r="C19" s="581" t="s">
        <v>1458</v>
      </c>
      <c r="D19" s="416">
        <f>IF(代ホ_入力フォームDSPA!AB161="新規（本体新規購入）",代ホ_入力フォームDSPA!BS107+2000,代ホ_入力フォームDSPA!CH145+2000)</f>
        <v>2000</v>
      </c>
      <c r="E19" s="434">
        <f>IF(代ホ_入力フォームDSPA!AB161="新規（本体新規購入）",代ホ_入力フォームDSPA!BX107,代ホ_入力フォームDSPA!CM145)</f>
        <v>0</v>
      </c>
      <c r="F19" s="434">
        <f>代ホ_入力フォームDSPA!CR145</f>
        <v>1</v>
      </c>
      <c r="G19" s="569" t="str">
        <f>IF(COUNTIF(代ホ_入力フォームDSPA!AR145:BE158,"*更新*"),"",D19&amp;"/"&amp;E19&amp;"/"&amp;F19)</f>
        <v>2000/0/1</v>
      </c>
      <c r="H19" s="416" t="e">
        <f>IF(代ホ_入力フォームDSPA!AB161="",VALUE(LEFT(代ホ_入力フォームDSPA!CB145,1)),VALUE(LEFT(代ホ_入力フォームDSPA!BJ107,1)))</f>
        <v>#VALUE!</v>
      </c>
      <c r="I19" s="433" t="e">
        <f>DATEVALUE(D19+H19&amp;"/"&amp;E19&amp;"/"&amp;F19)-1</f>
        <v>#VALUE!</v>
      </c>
      <c r="N19" s="191"/>
      <c r="O19" s="191"/>
      <c r="P19" s="191"/>
      <c r="Q19" s="191"/>
      <c r="S19" s="292" t="s">
        <v>1057</v>
      </c>
      <c r="T19" s="432" t="b">
        <f>IF(代ホ_入力フォームDSPA!AB157="○ あり",VLOOKUP(代ホ_入力フォームDSPA!D157,$S$23:$T$33,2,FALSE),IF(代ホ_入力フォームDSPA!AB157="× なし",""))</f>
        <v>0</v>
      </c>
    </row>
    <row r="20" spans="2:20">
      <c r="B20" s="581" t="s">
        <v>1442</v>
      </c>
      <c r="C20" s="581" t="s">
        <v>1455</v>
      </c>
      <c r="E20" s="191"/>
      <c r="F20" s="191" t="s">
        <v>1234</v>
      </c>
      <c r="G20" s="570" t="str">
        <f>TEXT(G19,"yyyy-mm-dd")</f>
        <v>2000/0/1</v>
      </c>
      <c r="H20" s="191"/>
      <c r="I20" s="191"/>
      <c r="K20" s="195"/>
      <c r="L20" s="195"/>
      <c r="N20" s="191"/>
      <c r="O20" s="191"/>
      <c r="P20" s="191"/>
      <c r="Q20" s="191"/>
      <c r="S20" s="294" t="s">
        <v>1058</v>
      </c>
      <c r="T20" s="433" t="b">
        <f>IF(代ホ_入力フォームDSPA!AB159="○ あり",VLOOKUP(代ホ_入力フォームDSPA!D159,$S$23:$T$33,2,FALSE),IF(代ホ_入力フォームDSPA!AB159="× なし",""))</f>
        <v>0</v>
      </c>
    </row>
    <row r="21" spans="2:20">
      <c r="B21" s="583" t="s">
        <v>847</v>
      </c>
      <c r="C21" s="145" t="s">
        <v>917</v>
      </c>
      <c r="E21" s="191"/>
      <c r="F21" s="191"/>
      <c r="G21" s="191"/>
      <c r="H21" s="191"/>
      <c r="I21" s="191"/>
      <c r="N21" s="191"/>
      <c r="O21" s="191"/>
      <c r="P21" s="191"/>
      <c r="Q21" s="191"/>
    </row>
    <row r="22" spans="2:20">
      <c r="B22" s="583" t="s">
        <v>848</v>
      </c>
      <c r="C22" s="145" t="s">
        <v>918</v>
      </c>
      <c r="E22" s="191"/>
      <c r="F22" s="191"/>
      <c r="G22" s="191"/>
      <c r="H22" s="191"/>
      <c r="I22" s="191"/>
      <c r="J22" s="190"/>
      <c r="N22" s="191"/>
      <c r="O22" s="191"/>
      <c r="P22" s="191"/>
      <c r="Q22" s="191"/>
    </row>
    <row r="23" spans="2:20">
      <c r="B23" s="583" t="s">
        <v>849</v>
      </c>
      <c r="C23" s="145" t="s">
        <v>919</v>
      </c>
      <c r="E23" s="191"/>
      <c r="F23" s="191"/>
      <c r="G23" s="191"/>
      <c r="H23" s="191"/>
      <c r="I23" s="191"/>
      <c r="K23" s="191"/>
      <c r="L23" s="191"/>
      <c r="N23" s="191"/>
      <c r="O23" s="191"/>
      <c r="P23" s="191"/>
      <c r="Q23" s="191"/>
      <c r="S23" s="145" t="s">
        <v>336</v>
      </c>
      <c r="T23" s="288" t="s">
        <v>337</v>
      </c>
    </row>
    <row r="24" spans="2:20">
      <c r="B24" s="145" t="s">
        <v>850</v>
      </c>
      <c r="C24" s="145" t="s">
        <v>920</v>
      </c>
      <c r="E24" s="191"/>
      <c r="F24" s="191"/>
      <c r="G24" s="191"/>
      <c r="H24" s="191"/>
      <c r="I24" s="191"/>
      <c r="N24" s="191"/>
      <c r="O24" s="191"/>
      <c r="P24" s="191"/>
      <c r="Q24" s="191"/>
      <c r="S24" s="145" t="s">
        <v>873</v>
      </c>
      <c r="T24" s="288" t="s">
        <v>339</v>
      </c>
    </row>
    <row r="25" spans="2:20">
      <c r="B25" s="145" t="s">
        <v>851</v>
      </c>
      <c r="C25" s="145" t="s">
        <v>921</v>
      </c>
      <c r="E25" s="191"/>
      <c r="F25" s="191"/>
      <c r="G25" s="191"/>
      <c r="H25" s="191"/>
      <c r="I25" s="191"/>
      <c r="N25" s="191"/>
      <c r="O25" s="191"/>
      <c r="P25" s="191"/>
      <c r="Q25" s="191"/>
      <c r="S25" s="145" t="s">
        <v>874</v>
      </c>
      <c r="T25" s="288" t="s">
        <v>340</v>
      </c>
    </row>
    <row r="26" spans="2:20">
      <c r="B26" s="581" t="s">
        <v>1459</v>
      </c>
      <c r="C26" s="581" t="s">
        <v>1460</v>
      </c>
      <c r="E26" s="191"/>
      <c r="F26" s="191"/>
      <c r="G26" s="191"/>
      <c r="H26" s="191"/>
      <c r="I26" s="191"/>
      <c r="J26" s="193"/>
      <c r="N26" s="191"/>
      <c r="O26" s="191"/>
      <c r="P26" s="191"/>
      <c r="Q26" s="191"/>
      <c r="S26" s="145" t="s">
        <v>341</v>
      </c>
      <c r="T26" s="288" t="s">
        <v>342</v>
      </c>
    </row>
    <row r="27" spans="2:20">
      <c r="B27" s="581" t="s">
        <v>1444</v>
      </c>
      <c r="C27" s="581" t="s">
        <v>1456</v>
      </c>
      <c r="E27" s="191"/>
      <c r="F27" s="191"/>
      <c r="G27" s="191"/>
      <c r="H27" s="191"/>
      <c r="I27" s="191"/>
      <c r="N27" s="191"/>
      <c r="O27" s="191"/>
      <c r="P27" s="191"/>
      <c r="Q27" s="191"/>
      <c r="S27" s="145" t="s">
        <v>343</v>
      </c>
      <c r="T27" s="145" t="s">
        <v>344</v>
      </c>
    </row>
    <row r="28" spans="2:20">
      <c r="B28" s="583" t="s">
        <v>852</v>
      </c>
      <c r="C28" s="145" t="s">
        <v>922</v>
      </c>
      <c r="E28" s="191"/>
      <c r="F28" s="191"/>
      <c r="G28" s="191"/>
      <c r="H28" s="191"/>
      <c r="I28" s="191"/>
      <c r="S28" s="145" t="s">
        <v>345</v>
      </c>
      <c r="T28" s="145" t="s">
        <v>345</v>
      </c>
    </row>
    <row r="29" spans="2:20">
      <c r="B29" s="583" t="s">
        <v>853</v>
      </c>
      <c r="C29" s="145" t="s">
        <v>923</v>
      </c>
      <c r="E29" s="191"/>
      <c r="F29" s="191"/>
      <c r="G29" s="191"/>
      <c r="H29" s="191"/>
      <c r="I29" s="191"/>
      <c r="S29" s="145" t="s">
        <v>346</v>
      </c>
      <c r="T29" s="145" t="s">
        <v>346</v>
      </c>
    </row>
    <row r="30" spans="2:20">
      <c r="B30" s="583" t="s">
        <v>854</v>
      </c>
      <c r="C30" s="145" t="s">
        <v>924</v>
      </c>
      <c r="E30" s="191"/>
      <c r="F30" s="191"/>
      <c r="G30" s="191"/>
      <c r="H30" s="191"/>
      <c r="I30" s="191"/>
      <c r="S30" s="145" t="s">
        <v>347</v>
      </c>
      <c r="T30" s="145" t="s">
        <v>347</v>
      </c>
    </row>
    <row r="31" spans="2:20">
      <c r="B31" s="145" t="s">
        <v>855</v>
      </c>
      <c r="C31" s="145" t="s">
        <v>925</v>
      </c>
      <c r="E31" s="191"/>
      <c r="F31" s="191"/>
      <c r="G31" s="191"/>
      <c r="H31" s="191"/>
      <c r="I31" s="191"/>
      <c r="S31" s="145" t="s">
        <v>879</v>
      </c>
      <c r="T31" s="145" t="s">
        <v>879</v>
      </c>
    </row>
    <row r="32" spans="2:20">
      <c r="B32" s="145" t="s">
        <v>856</v>
      </c>
      <c r="C32" s="145" t="s">
        <v>926</v>
      </c>
      <c r="E32" s="191"/>
      <c r="F32" s="191"/>
      <c r="G32" s="191"/>
      <c r="H32" s="191"/>
      <c r="I32" s="191"/>
      <c r="S32" s="145" t="s">
        <v>877</v>
      </c>
      <c r="T32" s="288" t="s">
        <v>882</v>
      </c>
    </row>
    <row r="33" spans="1:23">
      <c r="B33" s="145" t="s">
        <v>857</v>
      </c>
      <c r="C33" s="145" t="s">
        <v>927</v>
      </c>
      <c r="S33" s="145" t="s">
        <v>883</v>
      </c>
      <c r="T33" s="145" t="s">
        <v>883</v>
      </c>
    </row>
    <row r="34" spans="1:23">
      <c r="B34" s="145" t="s">
        <v>858</v>
      </c>
      <c r="C34" s="145" t="s">
        <v>928</v>
      </c>
      <c r="S34" s="145" t="s">
        <v>1224</v>
      </c>
      <c r="T34" s="145" t="s">
        <v>1224</v>
      </c>
    </row>
    <row r="35" spans="1:23">
      <c r="B35" s="145" t="s">
        <v>859</v>
      </c>
      <c r="C35" s="145" t="s">
        <v>929</v>
      </c>
    </row>
    <row r="36" spans="1:23">
      <c r="B36" s="145" t="s">
        <v>860</v>
      </c>
      <c r="C36" s="145" t="s">
        <v>930</v>
      </c>
    </row>
    <row r="41" spans="1:23">
      <c r="A41" s="145" t="s">
        <v>348</v>
      </c>
      <c r="B41" s="649" t="s">
        <v>1500</v>
      </c>
      <c r="C41" s="649" t="s">
        <v>1265</v>
      </c>
      <c r="D41" s="649" t="s">
        <v>833</v>
      </c>
      <c r="E41" s="649" t="s">
        <v>834</v>
      </c>
      <c r="F41" s="649" t="s">
        <v>835</v>
      </c>
      <c r="G41" s="649" t="s">
        <v>836</v>
      </c>
      <c r="H41" s="649" t="s">
        <v>1499</v>
      </c>
      <c r="I41" s="649" t="s">
        <v>1266</v>
      </c>
      <c r="J41" s="649" t="s">
        <v>840</v>
      </c>
      <c r="K41" s="649" t="s">
        <v>841</v>
      </c>
      <c r="L41" s="649" t="s">
        <v>842</v>
      </c>
      <c r="M41" s="649" t="s">
        <v>843</v>
      </c>
      <c r="N41" s="650" t="s">
        <v>1432</v>
      </c>
      <c r="O41" s="649" t="s">
        <v>1442</v>
      </c>
      <c r="P41" s="649" t="s">
        <v>847</v>
      </c>
      <c r="Q41" s="649" t="s">
        <v>848</v>
      </c>
      <c r="R41" s="649" t="s">
        <v>849</v>
      </c>
      <c r="S41" s="650" t="s">
        <v>1433</v>
      </c>
      <c r="T41" s="649" t="s">
        <v>1444</v>
      </c>
      <c r="U41" s="649" t="s">
        <v>852</v>
      </c>
      <c r="V41" s="649" t="s">
        <v>853</v>
      </c>
      <c r="W41" s="649" t="s">
        <v>854</v>
      </c>
    </row>
    <row r="42" spans="1:23">
      <c r="C42" s="145" t="s">
        <v>862</v>
      </c>
      <c r="D42" s="145" t="s">
        <v>861</v>
      </c>
      <c r="E42" s="145" t="s">
        <v>1447</v>
      </c>
      <c r="F42" s="145" t="s">
        <v>863</v>
      </c>
      <c r="G42" s="145" t="s">
        <v>864</v>
      </c>
      <c r="H42" s="145" t="s">
        <v>876</v>
      </c>
    </row>
    <row r="43" spans="1:23">
      <c r="C43" s="145" t="s">
        <v>830</v>
      </c>
      <c r="D43" s="145" t="s">
        <v>832</v>
      </c>
      <c r="E43" s="145" t="s">
        <v>1448</v>
      </c>
      <c r="F43" s="145" t="s">
        <v>865</v>
      </c>
      <c r="G43" s="145" t="s">
        <v>869</v>
      </c>
      <c r="H43" s="145" t="s">
        <v>1225</v>
      </c>
    </row>
    <row r="44" spans="1:23">
      <c r="C44" s="145" t="s">
        <v>831</v>
      </c>
      <c r="E44" s="145" t="s">
        <v>832</v>
      </c>
      <c r="F44" s="145" t="s">
        <v>866</v>
      </c>
      <c r="G44" s="145" t="s">
        <v>870</v>
      </c>
      <c r="H44" s="145" t="s">
        <v>1226</v>
      </c>
    </row>
    <row r="45" spans="1:23">
      <c r="C45" s="145" t="s">
        <v>832</v>
      </c>
      <c r="F45" s="145" t="s">
        <v>867</v>
      </c>
      <c r="G45" s="145" t="s">
        <v>871</v>
      </c>
      <c r="H45" s="145" t="s">
        <v>877</v>
      </c>
    </row>
    <row r="46" spans="1:23">
      <c r="G46" s="145" t="s">
        <v>868</v>
      </c>
      <c r="H46" s="145" t="s">
        <v>878</v>
      </c>
    </row>
    <row r="51" spans="1:8">
      <c r="B51" s="420" t="s">
        <v>321</v>
      </c>
      <c r="C51" s="417" t="s">
        <v>349</v>
      </c>
      <c r="D51" s="420" t="s">
        <v>816</v>
      </c>
      <c r="E51" s="417" t="s">
        <v>323</v>
      </c>
      <c r="G51" s="366" t="s">
        <v>1452</v>
      </c>
      <c r="H51" s="366" t="s">
        <v>1453</v>
      </c>
    </row>
    <row r="52" spans="1:8" ht="10.5" customHeight="1">
      <c r="A52"/>
      <c r="B52" s="418" t="s">
        <v>350</v>
      </c>
      <c r="C52" s="293" t="s">
        <v>351</v>
      </c>
      <c r="D52" s="418" t="s">
        <v>157</v>
      </c>
      <c r="E52" s="293" t="s">
        <v>352</v>
      </c>
      <c r="G52" s="650">
        <f>入力フォームDSPA!D78</f>
        <v>0</v>
      </c>
      <c r="H52" s="650" t="e">
        <f>VLOOKUP(G52,G56:H91,2,FALSE)</f>
        <v>#N/A</v>
      </c>
    </row>
    <row r="53" spans="1:8" ht="10.5" customHeight="1">
      <c r="A53"/>
      <c r="B53" s="418" t="s">
        <v>353</v>
      </c>
      <c r="C53" s="293" t="s">
        <v>354</v>
      </c>
      <c r="D53" s="418" t="s">
        <v>243</v>
      </c>
      <c r="E53" s="293" t="s">
        <v>355</v>
      </c>
      <c r="G53" s="366" t="s">
        <v>1454</v>
      </c>
      <c r="H53" s="366" t="s">
        <v>1453</v>
      </c>
    </row>
    <row r="54" spans="1:8" ht="10.5" customHeight="1">
      <c r="A54"/>
      <c r="B54" s="418" t="s">
        <v>356</v>
      </c>
      <c r="C54" s="293" t="s">
        <v>357</v>
      </c>
      <c r="D54" s="418" t="s">
        <v>156</v>
      </c>
      <c r="E54" s="293" t="s">
        <v>358</v>
      </c>
      <c r="G54" s="650">
        <f>代ホ_入力フォームDSPA!D88</f>
        <v>0</v>
      </c>
      <c r="H54" s="650" t="e">
        <f>VLOOKUP(G54,G56:H91,2,FALSE)</f>
        <v>#N/A</v>
      </c>
    </row>
    <row r="55" spans="1:8" ht="10.5" customHeight="1">
      <c r="A55"/>
      <c r="B55" s="418" t="s">
        <v>359</v>
      </c>
      <c r="C55" s="293" t="s">
        <v>360</v>
      </c>
      <c r="D55" s="418" t="s">
        <v>808</v>
      </c>
      <c r="E55" s="295" t="s">
        <v>361</v>
      </c>
      <c r="G55" s="366" t="s">
        <v>1450</v>
      </c>
      <c r="H55" s="366" t="s">
        <v>1451</v>
      </c>
    </row>
    <row r="56" spans="1:8" ht="10.5" customHeight="1">
      <c r="A56"/>
      <c r="B56" s="418" t="s">
        <v>362</v>
      </c>
      <c r="C56" s="295" t="s">
        <v>363</v>
      </c>
      <c r="D56" s="418" t="s">
        <v>809</v>
      </c>
      <c r="G56" s="651" t="s">
        <v>1449</v>
      </c>
      <c r="H56" s="651" t="s">
        <v>1493</v>
      </c>
    </row>
    <row r="57" spans="1:8" ht="10.5" customHeight="1">
      <c r="A57"/>
      <c r="B57" s="418" t="s">
        <v>364</v>
      </c>
      <c r="D57" s="418" t="s">
        <v>106</v>
      </c>
      <c r="G57" s="651" t="s">
        <v>1353</v>
      </c>
      <c r="H57" s="651" t="s">
        <v>1493</v>
      </c>
    </row>
    <row r="58" spans="1:8" ht="10.5" customHeight="1">
      <c r="B58" s="419" t="s">
        <v>365</v>
      </c>
      <c r="D58" s="418" t="s">
        <v>159</v>
      </c>
      <c r="G58" s="651" t="s">
        <v>1497</v>
      </c>
      <c r="H58" s="651" t="s">
        <v>862</v>
      </c>
    </row>
    <row r="59" spans="1:8" ht="10.5" customHeight="1">
      <c r="A59"/>
      <c r="D59" s="418" t="s">
        <v>813</v>
      </c>
      <c r="G59" s="651" t="s">
        <v>1498</v>
      </c>
      <c r="H59" s="651" t="s">
        <v>862</v>
      </c>
    </row>
    <row r="60" spans="1:8">
      <c r="D60" s="419" t="s">
        <v>814</v>
      </c>
      <c r="G60" s="651" t="s">
        <v>1445</v>
      </c>
      <c r="H60" s="651" t="s">
        <v>862</v>
      </c>
    </row>
    <row r="61" spans="1:8" ht="10.5" customHeight="1">
      <c r="B61" s="145" t="s">
        <v>366</v>
      </c>
      <c r="G61" s="651" t="s">
        <v>1446</v>
      </c>
      <c r="H61" s="651" t="s">
        <v>862</v>
      </c>
    </row>
    <row r="62" spans="1:8" ht="10.5" customHeight="1">
      <c r="A62"/>
      <c r="B62" s="290" t="s">
        <v>661</v>
      </c>
      <c r="C62" s="291" t="str">
        <f>""</f>
        <v/>
      </c>
      <c r="G62" s="651" t="s">
        <v>1441</v>
      </c>
      <c r="H62" s="651" t="s">
        <v>1447</v>
      </c>
    </row>
    <row r="63" spans="1:8" ht="10.5" customHeight="1">
      <c r="A63"/>
      <c r="B63" s="292" t="s">
        <v>1502</v>
      </c>
      <c r="C63" s="293" t="s">
        <v>660</v>
      </c>
      <c r="G63" s="651" t="s">
        <v>1443</v>
      </c>
      <c r="H63" s="651" t="s">
        <v>1447</v>
      </c>
    </row>
    <row r="64" spans="1:8" ht="10.5" customHeight="1">
      <c r="A64"/>
      <c r="B64" s="292" t="s">
        <v>1501</v>
      </c>
      <c r="C64" s="293" t="s">
        <v>659</v>
      </c>
      <c r="G64" s="651" t="s">
        <v>833</v>
      </c>
      <c r="H64" s="651" t="s">
        <v>861</v>
      </c>
    </row>
    <row r="65" spans="1:8" ht="10.5" customHeight="1">
      <c r="A65"/>
      <c r="B65" s="292" t="s">
        <v>1503</v>
      </c>
      <c r="C65" s="293" t="s">
        <v>660</v>
      </c>
      <c r="G65" s="651" t="s">
        <v>834</v>
      </c>
      <c r="H65" s="651" t="s">
        <v>861</v>
      </c>
    </row>
    <row r="66" spans="1:8" ht="10.5" customHeight="1">
      <c r="A66"/>
      <c r="B66" s="292" t="s">
        <v>1470</v>
      </c>
      <c r="C66" s="293" t="s">
        <v>659</v>
      </c>
      <c r="G66" s="651" t="s">
        <v>835</v>
      </c>
      <c r="H66" s="651" t="s">
        <v>861</v>
      </c>
    </row>
    <row r="67" spans="1:8" ht="10.5" customHeight="1">
      <c r="A67"/>
      <c r="B67" s="292" t="s">
        <v>1471</v>
      </c>
      <c r="C67" s="293" t="s">
        <v>660</v>
      </c>
      <c r="G67" s="651" t="s">
        <v>836</v>
      </c>
      <c r="H67" s="651" t="s">
        <v>861</v>
      </c>
    </row>
    <row r="68" spans="1:8" ht="10.5" customHeight="1">
      <c r="A68"/>
      <c r="B68" s="294" t="s">
        <v>1472</v>
      </c>
      <c r="C68" s="295" t="s">
        <v>659</v>
      </c>
      <c r="G68" s="651" t="s">
        <v>837</v>
      </c>
      <c r="H68" s="651" t="s">
        <v>861</v>
      </c>
    </row>
    <row r="69" spans="1:8">
      <c r="G69" s="651" t="s">
        <v>838</v>
      </c>
      <c r="H69" s="651" t="s">
        <v>861</v>
      </c>
    </row>
    <row r="70" spans="1:8">
      <c r="G70" s="651" t="s">
        <v>839</v>
      </c>
      <c r="H70" s="651" t="s">
        <v>861</v>
      </c>
    </row>
    <row r="71" spans="1:8">
      <c r="G71" s="651" t="s">
        <v>840</v>
      </c>
      <c r="H71" s="651" t="s">
        <v>861</v>
      </c>
    </row>
    <row r="72" spans="1:8">
      <c r="G72" s="651" t="s">
        <v>841</v>
      </c>
      <c r="H72" s="651" t="s">
        <v>861</v>
      </c>
    </row>
    <row r="73" spans="1:8">
      <c r="G73" s="651" t="s">
        <v>842</v>
      </c>
      <c r="H73" s="651" t="s">
        <v>861</v>
      </c>
    </row>
    <row r="74" spans="1:8">
      <c r="B74" s="145" t="s">
        <v>368</v>
      </c>
      <c r="G74" s="651" t="s">
        <v>843</v>
      </c>
      <c r="H74" s="651" t="s">
        <v>861</v>
      </c>
    </row>
    <row r="75" spans="1:8">
      <c r="B75" s="290" t="s">
        <v>369</v>
      </c>
      <c r="C75" s="291"/>
      <c r="G75" s="651" t="s">
        <v>844</v>
      </c>
      <c r="H75" s="651" t="s">
        <v>861</v>
      </c>
    </row>
    <row r="76" spans="1:8">
      <c r="B76" s="292" t="s">
        <v>370</v>
      </c>
      <c r="C76" s="293"/>
      <c r="G76" s="651" t="s">
        <v>845</v>
      </c>
      <c r="H76" s="651" t="s">
        <v>861</v>
      </c>
    </row>
    <row r="77" spans="1:8">
      <c r="B77" s="294" t="s">
        <v>371</v>
      </c>
      <c r="C77" s="295"/>
      <c r="G77" s="651" t="s">
        <v>846</v>
      </c>
      <c r="H77" s="651" t="s">
        <v>861</v>
      </c>
    </row>
    <row r="78" spans="1:8">
      <c r="G78" s="651" t="s">
        <v>847</v>
      </c>
      <c r="H78" s="651" t="s">
        <v>861</v>
      </c>
    </row>
    <row r="79" spans="1:8" ht="19">
      <c r="B79" s="668" t="s">
        <v>647</v>
      </c>
      <c r="G79" s="651" t="s">
        <v>848</v>
      </c>
      <c r="H79" s="651" t="s">
        <v>861</v>
      </c>
    </row>
    <row r="80" spans="1:8">
      <c r="B80" s="290" t="s">
        <v>372</v>
      </c>
      <c r="C80" s="291" t="str">
        <f>""</f>
        <v/>
      </c>
      <c r="G80" s="651" t="s">
        <v>849</v>
      </c>
      <c r="H80" s="651" t="s">
        <v>861</v>
      </c>
    </row>
    <row r="81" spans="1:8">
      <c r="B81" s="294" t="s">
        <v>279</v>
      </c>
      <c r="C81" s="295" t="s">
        <v>658</v>
      </c>
      <c r="G81" s="651" t="s">
        <v>850</v>
      </c>
      <c r="H81" s="651" t="s">
        <v>861</v>
      </c>
    </row>
    <row r="82" spans="1:8">
      <c r="G82" s="651" t="s">
        <v>851</v>
      </c>
      <c r="H82" s="651" t="s">
        <v>861</v>
      </c>
    </row>
    <row r="83" spans="1:8">
      <c r="B83" s="145" t="s">
        <v>373</v>
      </c>
      <c r="G83" s="651" t="s">
        <v>852</v>
      </c>
      <c r="H83" s="651" t="s">
        <v>861</v>
      </c>
    </row>
    <row r="84" spans="1:8" ht="10.5" customHeight="1">
      <c r="B84" s="290" t="s">
        <v>372</v>
      </c>
      <c r="C84" s="291" t="str">
        <f>""</f>
        <v/>
      </c>
      <c r="G84" s="651" t="s">
        <v>853</v>
      </c>
      <c r="H84" s="651" t="s">
        <v>861</v>
      </c>
    </row>
    <row r="85" spans="1:8" ht="10.5" customHeight="1">
      <c r="A85"/>
      <c r="B85" s="292" t="s">
        <v>1506</v>
      </c>
      <c r="C85" s="293" t="s">
        <v>657</v>
      </c>
      <c r="G85" s="651" t="s">
        <v>854</v>
      </c>
      <c r="H85" s="651" t="s">
        <v>861</v>
      </c>
    </row>
    <row r="86" spans="1:8" ht="10.5" customHeight="1">
      <c r="A86"/>
      <c r="B86" s="294" t="s">
        <v>1473</v>
      </c>
      <c r="C86" s="295" t="s">
        <v>657</v>
      </c>
      <c r="G86" s="651" t="s">
        <v>855</v>
      </c>
      <c r="H86" s="651" t="s">
        <v>861</v>
      </c>
    </row>
    <row r="87" spans="1:8" ht="10.5" customHeight="1">
      <c r="A87"/>
      <c r="G87" s="651" t="s">
        <v>856</v>
      </c>
      <c r="H87" s="651" t="s">
        <v>861</v>
      </c>
    </row>
    <row r="88" spans="1:8" ht="10.5" customHeight="1">
      <c r="A88"/>
      <c r="G88" s="651" t="s">
        <v>857</v>
      </c>
      <c r="H88" s="651" t="s">
        <v>861</v>
      </c>
    </row>
    <row r="89" spans="1:8" ht="10.5" customHeight="1">
      <c r="A89"/>
      <c r="G89" s="651" t="s">
        <v>858</v>
      </c>
      <c r="H89" s="651" t="s">
        <v>861</v>
      </c>
    </row>
    <row r="90" spans="1:8" ht="10.5" customHeight="1">
      <c r="A90"/>
      <c r="G90" s="651" t="s">
        <v>859</v>
      </c>
      <c r="H90" s="651" t="s">
        <v>861</v>
      </c>
    </row>
    <row r="91" spans="1:8">
      <c r="B91" s="145" t="s">
        <v>374</v>
      </c>
      <c r="G91" s="651" t="s">
        <v>860</v>
      </c>
      <c r="H91" s="651" t="s">
        <v>861</v>
      </c>
    </row>
    <row r="92" spans="1:8">
      <c r="B92" s="290" t="s">
        <v>367</v>
      </c>
      <c r="C92" s="291" t="str">
        <f>""</f>
        <v/>
      </c>
    </row>
    <row r="93" spans="1:8">
      <c r="B93" s="292" t="s">
        <v>375</v>
      </c>
      <c r="C93" s="293" t="s">
        <v>652</v>
      </c>
    </row>
    <row r="94" spans="1:8">
      <c r="B94" s="292" t="s">
        <v>376</v>
      </c>
      <c r="C94" s="293" t="s">
        <v>653</v>
      </c>
      <c r="D94" s="292"/>
    </row>
    <row r="95" spans="1:8">
      <c r="B95" s="292" t="s">
        <v>377</v>
      </c>
      <c r="C95" s="293" t="s">
        <v>654</v>
      </c>
    </row>
    <row r="96" spans="1:8">
      <c r="B96" s="292" t="s">
        <v>378</v>
      </c>
      <c r="C96" s="293" t="s">
        <v>655</v>
      </c>
    </row>
    <row r="97" spans="2:3">
      <c r="B97" s="294" t="s">
        <v>379</v>
      </c>
      <c r="C97" s="295" t="s">
        <v>656</v>
      </c>
    </row>
  </sheetData>
  <mergeCells count="4">
    <mergeCell ref="D7:I7"/>
    <mergeCell ref="D17:I17"/>
    <mergeCell ref="D2:I2"/>
    <mergeCell ref="D12:I12"/>
  </mergeCells>
  <phoneticPr fontId="68"/>
  <printOptions horizontalCentered="1"/>
  <pageMargins left="0.11811023622047245" right="0.11811023622047245" top="0.39370078740157483" bottom="0.19685039370078741" header="0.11811023622047245" footer="0.11811023622047245"/>
  <pageSetup paperSize="9" scale="98" orientation="landscape" horizontalDpi="300" verticalDpi="300" r:id="rId1"/>
  <headerFooter>
    <oddFooter>&amp;LDigital Arts Inc.&amp;C&amp;P ページ&amp;R&amp;D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DM64"/>
  <sheetViews>
    <sheetView topLeftCell="DF27" workbookViewId="0">
      <selection activeCell="DL24" sqref="DL24"/>
    </sheetView>
  </sheetViews>
  <sheetFormatPr defaultColWidth="8.6328125" defaultRowHeight="13" outlineLevelCol="1"/>
  <cols>
    <col min="1" max="1" width="23.90625" style="24" bestFit="1" customWidth="1"/>
    <col min="2" max="2" width="15.08984375" style="24" bestFit="1" customWidth="1"/>
    <col min="3" max="3" width="8.6328125" style="24" customWidth="1"/>
    <col min="4" max="4" width="20.6328125" style="24" customWidth="1"/>
    <col min="5" max="13" width="8.6328125" style="24" customWidth="1"/>
    <col min="14" max="19" width="8.6328125" style="24" customWidth="1" outlineLevel="1"/>
    <col min="20" max="20" width="20.90625" style="24" customWidth="1"/>
    <col min="21" max="27" width="12.6328125" style="24" customWidth="1"/>
    <col min="28" max="29" width="32.6328125" style="24" customWidth="1"/>
    <col min="30" max="30" width="8.08984375" style="24" customWidth="1"/>
    <col min="31" max="31" width="12.6328125" style="24" customWidth="1"/>
    <col min="32" max="32" width="32.6328125" style="24" customWidth="1"/>
    <col min="33" max="35" width="12.6328125" style="24" customWidth="1"/>
    <col min="36" max="36" width="28.453125" style="24" customWidth="1"/>
    <col min="37" max="37" width="29.08984375" style="24" customWidth="1"/>
    <col min="38" max="38" width="25.90625" style="24" customWidth="1"/>
    <col min="39" max="39" width="22.90625" style="24" bestFit="1" customWidth="1"/>
    <col min="40" max="40" width="12.6328125" style="24" customWidth="1" outlineLevel="1"/>
    <col min="41" max="41" width="31" style="24" customWidth="1" outlineLevel="1"/>
    <col min="42" max="54" width="16.6328125" style="24" customWidth="1" outlineLevel="1"/>
    <col min="55" max="55" width="39" style="24" customWidth="1" outlineLevel="1"/>
    <col min="56" max="57" width="16.6328125" style="24" customWidth="1" outlineLevel="1"/>
    <col min="58" max="58" width="16.36328125" style="24" customWidth="1" outlineLevel="1"/>
    <col min="59" max="65" width="16.6328125" style="24" customWidth="1" outlineLevel="1"/>
    <col min="66" max="66" width="51.26953125" style="24" customWidth="1"/>
    <col min="67" max="67" width="19.453125" style="24" customWidth="1"/>
    <col min="68" max="68" width="16.6328125" style="24" customWidth="1"/>
    <col min="69" max="69" width="34.36328125" style="24" customWidth="1"/>
    <col min="70" max="70" width="22.7265625" style="24" customWidth="1"/>
    <col min="71" max="71" width="16.6328125" style="24" customWidth="1"/>
    <col min="72" max="72" width="25.36328125" style="24" bestFit="1" customWidth="1"/>
    <col min="73" max="73" width="31.6328125" style="24" bestFit="1" customWidth="1"/>
    <col min="74" max="74" width="31.26953125" style="24" customWidth="1"/>
    <col min="76" max="77" width="8.6328125" style="24"/>
    <col min="78" max="78" width="12.36328125" style="24" bestFit="1" customWidth="1"/>
    <col min="79" max="81" width="8.6328125" style="24"/>
    <col min="82" max="82" width="13.7265625" style="24" customWidth="1"/>
    <col min="83" max="95" width="8.6328125" style="24"/>
    <col min="96" max="96" width="13.6328125" style="24" bestFit="1" customWidth="1"/>
    <col min="97" max="109" width="8.6328125" style="24"/>
    <col min="110" max="110" width="25.26953125" style="24" customWidth="1"/>
    <col min="111" max="111" width="22.26953125" style="24" bestFit="1" customWidth="1"/>
    <col min="112" max="112" width="13.36328125" style="24" bestFit="1" customWidth="1"/>
    <col min="113" max="114" width="8.6328125" style="24"/>
    <col min="115" max="115" width="13.36328125" style="24" bestFit="1" customWidth="1"/>
    <col min="116" max="116" width="8.6328125" style="24"/>
    <col min="117" max="117" width="12.54296875" style="24" bestFit="1" customWidth="1"/>
    <col min="118" max="16384" width="8.6328125" style="24"/>
  </cols>
  <sheetData>
    <row r="1" spans="1:117" ht="11">
      <c r="A1" s="317" t="s">
        <v>1021</v>
      </c>
      <c r="B1" s="317" t="s">
        <v>39</v>
      </c>
      <c r="C1" s="317"/>
      <c r="D1" s="317"/>
      <c r="E1" s="317"/>
      <c r="F1" s="317"/>
      <c r="G1" s="317"/>
      <c r="H1" s="317" t="s">
        <v>44</v>
      </c>
      <c r="I1" s="317"/>
      <c r="J1" s="317"/>
      <c r="K1" s="317"/>
      <c r="L1" s="317"/>
      <c r="M1" s="317"/>
      <c r="N1" s="317" t="s">
        <v>124</v>
      </c>
      <c r="O1" s="317"/>
      <c r="P1" s="317"/>
      <c r="Q1" s="317"/>
      <c r="R1" s="317"/>
      <c r="S1" s="317"/>
      <c r="T1" s="317" t="s">
        <v>45</v>
      </c>
      <c r="U1" s="317"/>
      <c r="V1" s="317"/>
      <c r="W1" s="317"/>
      <c r="X1" s="317"/>
      <c r="Y1" s="317"/>
      <c r="Z1" s="317"/>
      <c r="AA1" s="317" t="s">
        <v>57</v>
      </c>
      <c r="AB1" s="317"/>
      <c r="AC1" s="317"/>
      <c r="AD1" s="317"/>
      <c r="AE1" s="317"/>
      <c r="AF1" s="317"/>
      <c r="AG1" s="317"/>
      <c r="AH1" s="318"/>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317"/>
      <c r="CD1" s="317"/>
      <c r="CE1" s="317"/>
      <c r="CF1" s="317"/>
      <c r="CG1" s="317"/>
      <c r="CH1" s="317"/>
      <c r="CI1" s="317"/>
      <c r="CJ1" s="317"/>
      <c r="CK1" s="317"/>
      <c r="CL1" s="317"/>
      <c r="CM1" s="317"/>
      <c r="CN1" s="317"/>
      <c r="CO1" s="317"/>
      <c r="CP1" s="317"/>
      <c r="CQ1" s="317"/>
      <c r="CR1" s="317"/>
      <c r="CS1" s="317"/>
      <c r="CT1" s="317"/>
      <c r="CU1" s="317"/>
      <c r="CV1" s="317"/>
      <c r="CW1" s="317"/>
      <c r="CX1" s="317"/>
      <c r="CY1" s="317"/>
      <c r="CZ1" s="317"/>
      <c r="DA1" s="317"/>
      <c r="DB1" s="317"/>
      <c r="DC1" s="317"/>
      <c r="DD1" s="317"/>
      <c r="DE1" s="317"/>
      <c r="DF1" s="317"/>
      <c r="DG1" s="317"/>
      <c r="DH1" s="317"/>
      <c r="DI1" s="317"/>
      <c r="DJ1" s="317"/>
      <c r="DK1" s="317"/>
      <c r="DL1" s="317"/>
      <c r="DM1" s="317"/>
    </row>
    <row r="2" spans="1:117" ht="11">
      <c r="A2" s="306" t="s">
        <v>10</v>
      </c>
      <c r="B2" s="298" t="s">
        <v>40</v>
      </c>
      <c r="C2" s="298" t="s">
        <v>41</v>
      </c>
      <c r="D2" s="298" t="s">
        <v>42</v>
      </c>
      <c r="E2" s="298" t="s">
        <v>43</v>
      </c>
      <c r="F2" s="298" t="s">
        <v>59</v>
      </c>
      <c r="G2" s="298" t="s">
        <v>60</v>
      </c>
      <c r="H2" s="299" t="s">
        <v>40</v>
      </c>
      <c r="I2" s="299" t="s">
        <v>41</v>
      </c>
      <c r="J2" s="299" t="s">
        <v>42</v>
      </c>
      <c r="K2" s="299" t="s">
        <v>43</v>
      </c>
      <c r="L2" s="299" t="s">
        <v>59</v>
      </c>
      <c r="M2" s="299" t="s">
        <v>60</v>
      </c>
      <c r="N2" s="300" t="s">
        <v>40</v>
      </c>
      <c r="O2" s="300" t="s">
        <v>41</v>
      </c>
      <c r="P2" s="300" t="s">
        <v>42</v>
      </c>
      <c r="Q2" s="300" t="s">
        <v>43</v>
      </c>
      <c r="R2" s="300" t="s">
        <v>59</v>
      </c>
      <c r="S2" s="300" t="s">
        <v>60</v>
      </c>
      <c r="T2" s="301" t="s">
        <v>40</v>
      </c>
      <c r="U2" s="301" t="s">
        <v>46</v>
      </c>
      <c r="V2" s="301" t="s">
        <v>47</v>
      </c>
      <c r="W2" s="301" t="s">
        <v>48</v>
      </c>
      <c r="X2" s="301" t="s">
        <v>61</v>
      </c>
      <c r="Y2" s="301" t="s">
        <v>49</v>
      </c>
      <c r="Z2" s="301" t="s">
        <v>62</v>
      </c>
      <c r="AA2" s="302" t="s">
        <v>11</v>
      </c>
      <c r="AB2" s="302" t="s">
        <v>12</v>
      </c>
      <c r="AC2" s="24" t="s">
        <v>13</v>
      </c>
      <c r="AD2" s="24" t="s">
        <v>14</v>
      </c>
      <c r="AE2" s="24" t="s">
        <v>15</v>
      </c>
      <c r="AF2" s="24" t="s">
        <v>16</v>
      </c>
      <c r="AG2" s="24" t="s">
        <v>17</v>
      </c>
      <c r="AH2" s="24" t="s">
        <v>18</v>
      </c>
      <c r="AI2" s="24" t="s">
        <v>19</v>
      </c>
      <c r="AJ2" s="24" t="s">
        <v>20</v>
      </c>
      <c r="AK2" s="24" t="s">
        <v>21</v>
      </c>
      <c r="AL2" s="24" t="s">
        <v>22</v>
      </c>
      <c r="AM2" s="24" t="s">
        <v>23</v>
      </c>
      <c r="AN2" s="24" t="s">
        <v>24</v>
      </c>
      <c r="AO2" s="24" t="s">
        <v>25</v>
      </c>
      <c r="AP2" s="24" t="s">
        <v>26</v>
      </c>
      <c r="AQ2" s="24" t="s">
        <v>27</v>
      </c>
      <c r="AR2" s="24" t="s">
        <v>28</v>
      </c>
      <c r="AS2" s="24" t="s">
        <v>133</v>
      </c>
      <c r="AT2" s="24" t="s">
        <v>31</v>
      </c>
      <c r="AU2" s="24" t="s">
        <v>29</v>
      </c>
      <c r="AV2" s="24" t="s">
        <v>30</v>
      </c>
      <c r="AW2" s="24" t="s">
        <v>107</v>
      </c>
      <c r="AX2" s="24" t="s">
        <v>108</v>
      </c>
      <c r="AY2" s="24" t="s">
        <v>11</v>
      </c>
      <c r="AZ2" s="24" t="s">
        <v>109</v>
      </c>
      <c r="BA2" s="24" t="s">
        <v>110</v>
      </c>
      <c r="BB2" s="24" t="s">
        <v>111</v>
      </c>
      <c r="BC2" s="24" t="s">
        <v>112</v>
      </c>
      <c r="BD2" s="24" t="s">
        <v>115</v>
      </c>
      <c r="BE2" s="24" t="s">
        <v>116</v>
      </c>
      <c r="BF2" s="24" t="s">
        <v>113</v>
      </c>
      <c r="BG2" s="24" t="s">
        <v>117</v>
      </c>
      <c r="BH2" s="24" t="s">
        <v>118</v>
      </c>
      <c r="BI2" s="24" t="s">
        <v>114</v>
      </c>
      <c r="BJ2" s="24" t="s">
        <v>119</v>
      </c>
      <c r="BK2" s="24" t="s">
        <v>128</v>
      </c>
      <c r="BL2" s="24" t="s">
        <v>129</v>
      </c>
      <c r="BM2" s="24" t="s">
        <v>130</v>
      </c>
      <c r="BN2" s="24" t="s">
        <v>127</v>
      </c>
      <c r="BO2" s="24" t="s">
        <v>135</v>
      </c>
      <c r="BP2" s="24" t="s">
        <v>136</v>
      </c>
      <c r="BQ2" s="24" t="s">
        <v>131</v>
      </c>
      <c r="BR2" s="24" t="s">
        <v>126</v>
      </c>
      <c r="BS2" s="24" t="s">
        <v>134</v>
      </c>
      <c r="BT2" s="24" t="s">
        <v>162</v>
      </c>
      <c r="BU2" s="24" t="s">
        <v>163</v>
      </c>
      <c r="BV2" s="24" t="s">
        <v>195</v>
      </c>
      <c r="BW2" s="297" t="s">
        <v>197</v>
      </c>
      <c r="BX2" s="297" t="s">
        <v>198</v>
      </c>
      <c r="BY2" s="297" t="s">
        <v>199</v>
      </c>
      <c r="BZ2" s="24" t="s">
        <v>196</v>
      </c>
      <c r="CA2" s="303" t="s">
        <v>507</v>
      </c>
      <c r="CB2" s="304" t="s">
        <v>508</v>
      </c>
      <c r="CC2" s="24" t="s">
        <v>509</v>
      </c>
      <c r="CD2" s="300" t="s">
        <v>673</v>
      </c>
      <c r="CE2" s="300" t="s">
        <v>674</v>
      </c>
      <c r="CF2" s="24" t="s">
        <v>687</v>
      </c>
      <c r="CG2" s="24" t="s">
        <v>688</v>
      </c>
      <c r="CH2" s="24" t="s">
        <v>689</v>
      </c>
      <c r="CI2" s="24" t="s">
        <v>690</v>
      </c>
      <c r="CJ2" s="24" t="s">
        <v>691</v>
      </c>
      <c r="CK2" s="24" t="s">
        <v>692</v>
      </c>
      <c r="CL2" s="24" t="s">
        <v>693</v>
      </c>
      <c r="CM2" s="24" t="s">
        <v>694</v>
      </c>
      <c r="CN2" s="24" t="s">
        <v>695</v>
      </c>
      <c r="CO2" s="24" t="s">
        <v>696</v>
      </c>
      <c r="CP2" s="24" t="s">
        <v>697</v>
      </c>
      <c r="CQ2" s="24" t="s">
        <v>698</v>
      </c>
      <c r="CR2" s="24" t="s">
        <v>1184</v>
      </c>
      <c r="CS2" s="24" t="s">
        <v>881</v>
      </c>
      <c r="CT2" s="24" t="s">
        <v>933</v>
      </c>
      <c r="CU2" s="24" t="s">
        <v>934</v>
      </c>
      <c r="CV2" s="24" t="s">
        <v>954</v>
      </c>
      <c r="CW2" s="24" t="s">
        <v>1152</v>
      </c>
      <c r="CX2" s="24" t="s">
        <v>1153</v>
      </c>
      <c r="CY2" s="24" t="s">
        <v>1154</v>
      </c>
      <c r="CZ2" s="24" t="s">
        <v>1155</v>
      </c>
      <c r="DA2" s="24" t="s">
        <v>1156</v>
      </c>
      <c r="DB2" s="24" t="s">
        <v>1157</v>
      </c>
      <c r="DC2" s="24" t="s">
        <v>1158</v>
      </c>
      <c r="DD2" s="24" t="s">
        <v>1159</v>
      </c>
      <c r="DE2" s="24" t="s">
        <v>1196</v>
      </c>
      <c r="DF2" s="24" t="s">
        <v>1210</v>
      </c>
      <c r="DG2" s="24" t="s">
        <v>1308</v>
      </c>
      <c r="DH2" s="24" t="s">
        <v>1367</v>
      </c>
      <c r="DI2" s="24" t="s">
        <v>1593</v>
      </c>
      <c r="DJ2" s="24" t="s">
        <v>1544</v>
      </c>
      <c r="DK2" s="24" t="s">
        <v>1580</v>
      </c>
      <c r="DL2" s="24" t="s">
        <v>1598</v>
      </c>
      <c r="DM2" s="24" t="s">
        <v>1599</v>
      </c>
    </row>
    <row r="3" spans="1:117">
      <c r="A3" s="40" t="s">
        <v>949</v>
      </c>
      <c r="B3" s="24" t="e">
        <f>お客様情報!N41</f>
        <v>#N/A</v>
      </c>
      <c r="C3" s="24" t="e">
        <f>お客様情報!N47</f>
        <v>#N/A</v>
      </c>
      <c r="D3" s="24" t="e">
        <f>お客様情報!N48&amp;"　"&amp;お客様情報!N49</f>
        <v>#N/A</v>
      </c>
      <c r="E3" s="24" t="e">
        <f>お客様情報!N50</f>
        <v>#N/A</v>
      </c>
      <c r="F3" s="24" t="s">
        <v>380</v>
      </c>
      <c r="G3" s="24" t="e">
        <f>お客様情報!N51</f>
        <v>#N/A</v>
      </c>
      <c r="H3" s="24" t="e">
        <f>お客様情報!N53</f>
        <v>#N/A</v>
      </c>
      <c r="I3" s="24" t="e">
        <f>お客様情報!N59</f>
        <v>#N/A</v>
      </c>
      <c r="J3" s="24" t="e">
        <f>お客様情報!N60&amp;"　"&amp;お客様情報!N61</f>
        <v>#N/A</v>
      </c>
      <c r="K3" s="24" t="e">
        <f>お客様情報!N62</f>
        <v>#N/A</v>
      </c>
      <c r="L3" s="24" t="s">
        <v>380</v>
      </c>
      <c r="M3" s="24" t="e">
        <f>お客様情報!N63</f>
        <v>#N/A</v>
      </c>
      <c r="N3" s="24" t="s">
        <v>380</v>
      </c>
      <c r="O3" s="24" t="s">
        <v>380</v>
      </c>
      <c r="P3" s="24" t="s">
        <v>380</v>
      </c>
      <c r="Q3" s="24" t="s">
        <v>380</v>
      </c>
      <c r="R3" s="24" t="s">
        <v>380</v>
      </c>
      <c r="S3" s="24" t="s">
        <v>380</v>
      </c>
      <c r="T3" s="24" t="e">
        <f>お客様情報!N21</f>
        <v>#N/A</v>
      </c>
      <c r="U3" s="24" t="e">
        <f>お客様情報!N27</f>
        <v>#N/A</v>
      </c>
      <c r="V3" s="24" t="e">
        <f>お客様情報!N28&amp;"　"&amp;お客様情報!N29</f>
        <v>#N/A</v>
      </c>
      <c r="W3" s="24" t="e">
        <f>お客様情報!N30</f>
        <v>#N/A</v>
      </c>
      <c r="X3" s="24" t="s">
        <v>380</v>
      </c>
      <c r="Y3" s="24" t="e">
        <f>IF(お客様情報!N32="はい",TRUE(),FALSE())</f>
        <v>#N/A</v>
      </c>
      <c r="Z3" s="24" t="e">
        <f>お客様情報!N31</f>
        <v>#N/A</v>
      </c>
      <c r="AA3" s="24" t="e">
        <f>お客様情報!N11</f>
        <v>#N/A</v>
      </c>
      <c r="AB3" s="24" t="e">
        <f>お客様情報!N8</f>
        <v>#N/A</v>
      </c>
      <c r="AC3" s="24" t="str">
        <f>IF(OR(入力フォームiF・mF・FC・iFBC・MA!$E$72="",入力フォームiF・mF・FC・iFBC・MA!$U$72=""),"",INDEX(中間データオンプレ!$W$35:$Z$39,MATCH(入力フォームiF・mF・FC・iFBC・MA!$U$72,中間データオンプレ!$W$35:$W$39,0),MATCH(入力フォームiF・mF・FC・iFBC・MA!$E$72,中間データオンプレ!$W$35:$Z$35,0)))</f>
        <v/>
      </c>
      <c r="AD3" s="305"/>
      <c r="AE3" s="307">
        <f>入力フォームiF・mF・FC・iFBC・MA!$BH$72</f>
        <v>0</v>
      </c>
      <c r="AF3" s="24" t="str">
        <f>IF(OR(入力フォームiF・mF・FC・iFBC・MA!AL72="新規",入力フォームiF・mF・FC・iFBC・MA!AL72="乗換"),中間データオンプレ!F21,IF(入力フォームiF・mF・FC・iFBC・MA!CT72="","",入力フォームiF・mF・FC・iFBC・MA!CT72))</f>
        <v/>
      </c>
      <c r="AG3" s="24" t="str">
        <f>IF(ISERROR(中間データオンプレ!E15),"",中間データオンプレ!E15)</f>
        <v/>
      </c>
      <c r="AH3" s="24" t="str">
        <f>IF(入力フォームiF・mF・FC・iFBC・MA!CF72*入力フォームiF・mF・FC・iFBC・MA!CJ72=0,"",中間データオンプレ!F15)</f>
        <v/>
      </c>
      <c r="AI3" s="24" t="str">
        <f>IF(ISERROR(中間データオンプレ!F19),"",中間データオンプレ!F19)</f>
        <v/>
      </c>
      <c r="AJ3" s="24" t="str">
        <f>IF(中間データオンプレ!E10,中間データオンプレ!F10,"")</f>
        <v/>
      </c>
      <c r="AK3" s="24" t="str">
        <f>IF(中間データオンプレ!E12=中間データオンプレ!E12,中間データオンプレ!E12,"")</f>
        <v/>
      </c>
      <c r="AL3" s="24" t="str">
        <f>IF(中間データオンプレ!E11,中間データオンプレ!F11,"")</f>
        <v/>
      </c>
      <c r="AM3" s="24" t="str">
        <f>IF(中間データオンプレ!E13,中間データオンプレ!F13&amp;"："&amp;入力フォームiF・mF・FC・iFBC・MA!N76&amp;"L","")</f>
        <v/>
      </c>
      <c r="AN3" s="24" t="e">
        <f>お客様情報!N10</f>
        <v>#N/A</v>
      </c>
      <c r="AO3" s="24" t="e">
        <f>お客様情報!N12&amp;お客様情報!N13&amp;"　"&amp;お客様情報!N14</f>
        <v>#N/A</v>
      </c>
      <c r="AP3" s="24" t="e">
        <f>お客様情報!N15</f>
        <v>#N/A</v>
      </c>
      <c r="AQ3" s="24" t="e">
        <f>お客様情報!N16&amp;"　"&amp;お客様情報!N17</f>
        <v>#N/A</v>
      </c>
      <c r="AR3" s="24" t="e">
        <f>お客様情報!N18</f>
        <v>#N/A</v>
      </c>
      <c r="AS3" s="24" t="e">
        <f>IF(お客様情報!N20="はい",TRUE(), FALSE())</f>
        <v>#N/A</v>
      </c>
      <c r="AT3" s="24" t="e">
        <f>お客様情報!N19</f>
        <v>#N/A</v>
      </c>
      <c r="AU3" s="24" t="str">
        <f>LEFT(入力フォームiF・mF・FC・iFBC・MA!AL72,2)</f>
        <v/>
      </c>
      <c r="AV3" s="24" t="str">
        <f>IF(ISERROR(中間データオンプレ!E15*12),"",中間データオンプレ!E15*12)</f>
        <v/>
      </c>
      <c r="BC3" s="24" t="e">
        <f>お客様情報!N22&amp;"　"&amp;お客様情報!N23&amp;"　"&amp;お客様情報!N24&amp;"　"&amp;お客様情報!N25&amp;"　"&amp;お客様情報!N26</f>
        <v>#N/A</v>
      </c>
      <c r="BE3" s="402"/>
      <c r="BF3" s="402"/>
      <c r="BG3" s="24" t="str">
        <f>IF(入力フォームiF・mF・FC・iFBC・MA!AB76=0,"",入力フォームiF・mF・FC・iFBC・MA!AB76)</f>
        <v/>
      </c>
      <c r="BH3" s="24" t="s">
        <v>132</v>
      </c>
      <c r="BI3" s="402"/>
      <c r="BJ3" s="402"/>
      <c r="BK3" s="402"/>
      <c r="BL3" s="24" t="e">
        <f>お客様情報!N6</f>
        <v>#N/A</v>
      </c>
      <c r="BM3" s="24" t="e">
        <f>IF(お客様情報!N7=0,"",お客様情報!N7)</f>
        <v>#N/A</v>
      </c>
      <c r="BN3" s="24" t="str">
        <f>IF(中間データオンプレ!E14,中間データオンプレ!F14,"")</f>
        <v/>
      </c>
      <c r="BO3" s="402"/>
      <c r="BP3" s="402"/>
      <c r="BQ3" s="24" t="str">
        <f>IF(入力フォームiF・mF・FC・iFBC・MA!CM76="有",入力フォームiF・mF・FC・iFBC・MA!CD76,"")</f>
        <v/>
      </c>
      <c r="BR3" s="24" t="str">
        <f>IF(入力フォームiF・mF・FC・iFBC・MA!J79="有","Anti-Virus &amp; Sandbox","")</f>
        <v/>
      </c>
      <c r="BS3" s="402"/>
      <c r="BT3" s="24" t="str">
        <f>IF(OR(入力フォームiF・mF・FC・iFBC・MA!W79&lt;&gt;"",入力フォームiF・mF・FC・iFBC・MA!W79&lt;&gt;""),"f-FILTER連携","")</f>
        <v/>
      </c>
      <c r="BU3" s="402"/>
      <c r="BV3" s="402"/>
      <c r="BW3" s="403"/>
      <c r="BX3" s="402"/>
      <c r="BY3" s="402"/>
      <c r="BZ3" s="402"/>
      <c r="CA3" s="402"/>
      <c r="CB3" s="402"/>
      <c r="CC3" s="402"/>
      <c r="CD3" s="24" t="e">
        <f>お客様情報!N64&amp;IF(お客様情報!N65="",""," "&amp;お客様情報!N65)</f>
        <v>#N/A</v>
      </c>
      <c r="CE3" s="24" t="str">
        <f>IFERROR(VLOOKUP("i‐FILTER",お客様情報!$T$5:$U$9,2,FALSE),"")</f>
        <v/>
      </c>
      <c r="CF3" s="24" t="s">
        <v>999</v>
      </c>
      <c r="CG3" s="24" t="e">
        <f>IF(お客様情報!N42=0,"",お客様情報!N42)</f>
        <v>#N/A</v>
      </c>
      <c r="CH3" s="24" t="e">
        <f>IF(お客様情報!N43=0,"",お客様情報!N43)</f>
        <v>#N/A</v>
      </c>
      <c r="CI3" s="24" t="e">
        <f>IF(お客様情報!N44=0,"",お客様情報!N44)</f>
        <v>#N/A</v>
      </c>
      <c r="CJ3" s="24" t="e">
        <f>IF(お客様情報!N45=0,"",お客様情報!N45)</f>
        <v>#N/A</v>
      </c>
      <c r="CK3" s="24" t="e">
        <f>IF(お客様情報!N46=0,"",お客様情報!N46)</f>
        <v>#N/A</v>
      </c>
      <c r="CL3" s="24" t="s">
        <v>999</v>
      </c>
      <c r="CM3" s="24" t="e">
        <f>IF(お客様情報!N54=0,"",お客様情報!N54)</f>
        <v>#N/A</v>
      </c>
      <c r="CN3" s="24" t="e">
        <f>IF(お客様情報!N55=0,"",お客様情報!N55)</f>
        <v>#N/A</v>
      </c>
      <c r="CO3" s="24" t="e">
        <f>IF(お客様情報!N56=0,"",お客様情報!N56)</f>
        <v>#N/A</v>
      </c>
      <c r="CP3" s="24" t="e">
        <f>IF(お客様情報!N57=0,"",お客様情報!N57)</f>
        <v>#N/A</v>
      </c>
      <c r="CQ3" s="24" t="e">
        <f>IF(お客様情報!N58=0,"",お客様情報!N58)</f>
        <v>#N/A</v>
      </c>
      <c r="CR3" s="24" t="str">
        <f>IF(入力フォームiF・mF・FC・iFBC・MA!BR76="有","子ども見守り","")</f>
        <v/>
      </c>
      <c r="CS3" s="24" t="str">
        <f>IF(入力フォームiF・mF・FC・iFBC・MA!CB76="有","TRUE","FALSE")</f>
        <v>FALSE</v>
      </c>
      <c r="CT3" s="305"/>
      <c r="CU3" s="305"/>
      <c r="CV3" s="24" t="str">
        <f>IF(入力フォームiF・mF・FC・iFBC・MA!BP72="","",入力フォームiF・mF・FC・iFBC・MA!BP72)</f>
        <v/>
      </c>
      <c r="CW3" s="296"/>
      <c r="CX3" s="296"/>
      <c r="CY3" s="296"/>
      <c r="CZ3" s="296"/>
      <c r="DA3" s="296"/>
      <c r="DB3" s="296"/>
      <c r="DC3" s="296"/>
      <c r="DD3" s="296"/>
      <c r="DE3" s="296"/>
      <c r="DF3" s="296"/>
      <c r="DG3" s="296"/>
      <c r="DH3" s="296"/>
      <c r="DI3" s="305"/>
      <c r="DK3" s="305"/>
      <c r="DL3" s="305"/>
      <c r="DM3" s="305"/>
    </row>
    <row r="4" spans="1:117">
      <c r="A4" s="41" t="s">
        <v>952</v>
      </c>
      <c r="B4" s="24" t="e">
        <f t="shared" ref="B4:Z4" si="0">B3</f>
        <v>#N/A</v>
      </c>
      <c r="C4" s="24" t="e">
        <f t="shared" si="0"/>
        <v>#N/A</v>
      </c>
      <c r="D4" s="24" t="e">
        <f t="shared" si="0"/>
        <v>#N/A</v>
      </c>
      <c r="E4" s="308" t="e">
        <f t="shared" si="0"/>
        <v>#N/A</v>
      </c>
      <c r="F4" s="24" t="str">
        <f t="shared" si="0"/>
        <v>未記入</v>
      </c>
      <c r="G4" s="24" t="e">
        <f t="shared" si="0"/>
        <v>#N/A</v>
      </c>
      <c r="H4" s="24" t="e">
        <f t="shared" si="0"/>
        <v>#N/A</v>
      </c>
      <c r="I4" s="24" t="e">
        <f t="shared" si="0"/>
        <v>#N/A</v>
      </c>
      <c r="J4" s="24" t="e">
        <f t="shared" si="0"/>
        <v>#N/A</v>
      </c>
      <c r="K4" s="308" t="e">
        <f t="shared" si="0"/>
        <v>#N/A</v>
      </c>
      <c r="L4" s="24" t="str">
        <f t="shared" si="0"/>
        <v>未記入</v>
      </c>
      <c r="M4" s="24" t="e">
        <f t="shared" si="0"/>
        <v>#N/A</v>
      </c>
      <c r="N4" s="24" t="str">
        <f t="shared" si="0"/>
        <v>未記入</v>
      </c>
      <c r="O4" s="24" t="str">
        <f t="shared" si="0"/>
        <v>未記入</v>
      </c>
      <c r="P4" s="24" t="str">
        <f t="shared" si="0"/>
        <v>未記入</v>
      </c>
      <c r="Q4" s="24" t="str">
        <f t="shared" si="0"/>
        <v>未記入</v>
      </c>
      <c r="R4" s="24" t="str">
        <f t="shared" si="0"/>
        <v>未記入</v>
      </c>
      <c r="S4" s="24" t="str">
        <f t="shared" si="0"/>
        <v>未記入</v>
      </c>
      <c r="T4" s="24" t="e">
        <f t="shared" si="0"/>
        <v>#N/A</v>
      </c>
      <c r="U4" s="24" t="e">
        <f t="shared" si="0"/>
        <v>#N/A</v>
      </c>
      <c r="V4" s="24" t="e">
        <f t="shared" si="0"/>
        <v>#N/A</v>
      </c>
      <c r="W4" s="308" t="e">
        <f t="shared" si="0"/>
        <v>#N/A</v>
      </c>
      <c r="X4" s="24" t="str">
        <f t="shared" si="0"/>
        <v>未記入</v>
      </c>
      <c r="Y4" s="24" t="e">
        <f t="shared" si="0"/>
        <v>#N/A</v>
      </c>
      <c r="Z4" s="24" t="e">
        <f t="shared" si="0"/>
        <v>#N/A</v>
      </c>
      <c r="AA4" s="24" t="e">
        <f t="shared" ref="AA4:AB9" si="1">AA$3</f>
        <v>#N/A</v>
      </c>
      <c r="AB4" s="24" t="e">
        <f t="shared" si="1"/>
        <v>#N/A</v>
      </c>
      <c r="AC4" s="24" t="s">
        <v>947</v>
      </c>
      <c r="AD4" s="305"/>
      <c r="AE4" s="307">
        <f>入力フォームiF・mF・FC・iFBC・MA!$AR$142</f>
        <v>0</v>
      </c>
      <c r="AF4" s="24" t="str">
        <f>IF(AND(入力フォームiF・mF・FC・iFBC・MA!X142="新規",入力フォームiF・mF・FC・iFBC・MA!CF142="無"),中間データオンプレ!L9,IF(入力フォームiF・mF・FC・iFBC・MA!CP142="","",入力フォームiF・mF・FC・iFBC・MA!CP142))</f>
        <v/>
      </c>
      <c r="AG4" s="24" t="str">
        <f>IF(ISERROR(中間データオンプレ!K3),"",中間データオンプレ!K3)</f>
        <v/>
      </c>
      <c r="AH4" s="24" t="str">
        <f>IF(入力フォームiF・mF・FC・iFBC・MA!BP142*入力フォームiF・mF・FC・iFBC・MA!BT142=0,"",中間データオンプレ!L3)</f>
        <v/>
      </c>
      <c r="AI4" s="24" t="str">
        <f>IF(ISERROR(中間データオンプレ!L4),"",中間データオンプレ!L7)</f>
        <v/>
      </c>
      <c r="AJ4" s="402"/>
      <c r="AK4" s="402"/>
      <c r="AL4" s="402"/>
      <c r="AM4" s="402"/>
      <c r="AN4" s="24" t="e">
        <f>AN$3</f>
        <v>#N/A</v>
      </c>
      <c r="AO4" s="24" t="e">
        <f t="shared" ref="AO4:AT9" si="2">AO$3</f>
        <v>#N/A</v>
      </c>
      <c r="AP4" s="24" t="e">
        <f t="shared" si="2"/>
        <v>#N/A</v>
      </c>
      <c r="AQ4" s="24" t="e">
        <f t="shared" si="2"/>
        <v>#N/A</v>
      </c>
      <c r="AR4" s="24" t="e">
        <f t="shared" si="2"/>
        <v>#N/A</v>
      </c>
      <c r="AS4" s="24" t="e">
        <f t="shared" si="2"/>
        <v>#N/A</v>
      </c>
      <c r="AT4" s="24" t="e">
        <f t="shared" si="2"/>
        <v>#N/A</v>
      </c>
      <c r="AU4" s="24" t="str">
        <f>LEFT(入力フォームiF・mF・FC・iFBC・MA!X142,2)</f>
        <v/>
      </c>
      <c r="AV4" s="24" t="str">
        <f>IF(ISERROR(中間データオンプレ!K3*12),"",中間データオンプレ!K3*12)</f>
        <v/>
      </c>
      <c r="BC4" s="24" t="e">
        <f>BC$3</f>
        <v>#N/A</v>
      </c>
      <c r="BE4" s="402"/>
      <c r="BF4" s="402"/>
      <c r="BG4" s="402"/>
      <c r="BH4" s="24" t="s">
        <v>132</v>
      </c>
      <c r="BI4" s="402"/>
      <c r="BJ4" s="553"/>
      <c r="BK4" s="402"/>
      <c r="BL4" s="24" t="e">
        <f>BL$3</f>
        <v>#N/A</v>
      </c>
      <c r="BM4" s="24" t="e">
        <f t="shared" ref="BM4:BM9" si="3">BM$3</f>
        <v>#N/A</v>
      </c>
      <c r="BN4" s="402"/>
      <c r="BO4" s="402"/>
      <c r="BP4" s="402"/>
      <c r="BQ4" s="402"/>
      <c r="BR4" s="402"/>
      <c r="BS4" s="402"/>
      <c r="BT4" s="402"/>
      <c r="BU4" s="402"/>
      <c r="BV4" s="402"/>
      <c r="BW4" s="403"/>
      <c r="BX4" s="402"/>
      <c r="BY4" s="402"/>
      <c r="BZ4" s="402"/>
      <c r="CA4" s="402"/>
      <c r="CB4" s="402"/>
      <c r="CC4" s="402"/>
      <c r="CD4" s="24" t="e">
        <f>CD$3</f>
        <v>#N/A</v>
      </c>
      <c r="CE4" s="24" t="str">
        <f>IFERROR(VLOOKUP("i-FILTER ブラウザー&amp;クラウド",お客様情報!$T$5:$U$9,2,FALSE),"")</f>
        <v/>
      </c>
      <c r="CF4" s="24" t="s">
        <v>999</v>
      </c>
      <c r="CG4" s="24" t="e">
        <f>CG$3</f>
        <v>#N/A</v>
      </c>
      <c r="CH4" s="24" t="e">
        <f t="shared" ref="CH4:CK9" si="4">CH$3</f>
        <v>#N/A</v>
      </c>
      <c r="CI4" s="24" t="e">
        <f t="shared" si="4"/>
        <v>#N/A</v>
      </c>
      <c r="CJ4" s="24" t="e">
        <f t="shared" si="4"/>
        <v>#N/A</v>
      </c>
      <c r="CK4" s="24" t="e">
        <f t="shared" si="4"/>
        <v>#N/A</v>
      </c>
      <c r="CL4" s="24" t="s">
        <v>999</v>
      </c>
      <c r="CM4" s="24" t="e">
        <f t="shared" ref="CM4:CQ9" si="5">CM$3</f>
        <v>#N/A</v>
      </c>
      <c r="CN4" s="24" t="e">
        <f t="shared" si="5"/>
        <v>#N/A</v>
      </c>
      <c r="CO4" s="24" t="e">
        <f t="shared" si="5"/>
        <v>#N/A</v>
      </c>
      <c r="CP4" s="24" t="e">
        <f t="shared" si="5"/>
        <v>#N/A</v>
      </c>
      <c r="CQ4" s="24" t="e">
        <f t="shared" si="5"/>
        <v>#N/A</v>
      </c>
      <c r="CR4" s="305"/>
      <c r="CS4" s="305"/>
      <c r="CT4" s="305"/>
      <c r="CU4" s="305"/>
      <c r="CV4" s="24" t="str">
        <f>IF(入力フォームiF・mF・FC・iFBC・MA!$AZ$142="","",入力フォームiF・mF・FC・iFBC・MA!$AZ$142)</f>
        <v/>
      </c>
      <c r="CW4" s="296"/>
      <c r="CX4" s="296"/>
      <c r="CY4" s="296"/>
      <c r="CZ4" s="296"/>
      <c r="DA4" s="296"/>
      <c r="DB4" s="296"/>
      <c r="DC4" s="296"/>
      <c r="DD4" s="296"/>
      <c r="DE4" s="296"/>
      <c r="DF4" s="296"/>
      <c r="DG4" s="296"/>
      <c r="DH4" s="296"/>
      <c r="DI4" s="305"/>
      <c r="DJ4" s="305"/>
      <c r="DK4" s="305"/>
      <c r="DL4" s="305"/>
      <c r="DM4" s="305"/>
    </row>
    <row r="5" spans="1:117">
      <c r="A5" s="42" t="s">
        <v>950</v>
      </c>
      <c r="B5" s="24" t="e">
        <f t="shared" ref="B5:Z5" si="6">B3</f>
        <v>#N/A</v>
      </c>
      <c r="C5" s="24" t="e">
        <f t="shared" si="6"/>
        <v>#N/A</v>
      </c>
      <c r="D5" s="24" t="e">
        <f t="shared" si="6"/>
        <v>#N/A</v>
      </c>
      <c r="E5" s="308" t="e">
        <f t="shared" si="6"/>
        <v>#N/A</v>
      </c>
      <c r="F5" s="24" t="str">
        <f t="shared" si="6"/>
        <v>未記入</v>
      </c>
      <c r="G5" s="24" t="e">
        <f t="shared" si="6"/>
        <v>#N/A</v>
      </c>
      <c r="H5" s="24" t="e">
        <f t="shared" si="6"/>
        <v>#N/A</v>
      </c>
      <c r="I5" s="24" t="e">
        <f t="shared" si="6"/>
        <v>#N/A</v>
      </c>
      <c r="J5" s="24" t="e">
        <f t="shared" si="6"/>
        <v>#N/A</v>
      </c>
      <c r="K5" s="308" t="e">
        <f t="shared" si="6"/>
        <v>#N/A</v>
      </c>
      <c r="L5" s="24" t="str">
        <f t="shared" si="6"/>
        <v>未記入</v>
      </c>
      <c r="M5" s="24" t="e">
        <f t="shared" si="6"/>
        <v>#N/A</v>
      </c>
      <c r="N5" s="24" t="str">
        <f t="shared" si="6"/>
        <v>未記入</v>
      </c>
      <c r="O5" s="24" t="str">
        <f t="shared" si="6"/>
        <v>未記入</v>
      </c>
      <c r="P5" s="24" t="str">
        <f t="shared" si="6"/>
        <v>未記入</v>
      </c>
      <c r="Q5" s="24" t="str">
        <f t="shared" si="6"/>
        <v>未記入</v>
      </c>
      <c r="R5" s="24" t="str">
        <f t="shared" si="6"/>
        <v>未記入</v>
      </c>
      <c r="S5" s="24" t="str">
        <f t="shared" si="6"/>
        <v>未記入</v>
      </c>
      <c r="T5" s="24" t="e">
        <f t="shared" si="6"/>
        <v>#N/A</v>
      </c>
      <c r="U5" s="24" t="e">
        <f t="shared" si="6"/>
        <v>#N/A</v>
      </c>
      <c r="V5" s="24" t="e">
        <f t="shared" si="6"/>
        <v>#N/A</v>
      </c>
      <c r="W5" s="308" t="e">
        <f t="shared" si="6"/>
        <v>#N/A</v>
      </c>
      <c r="X5" s="24" t="str">
        <f t="shared" si="6"/>
        <v>未記入</v>
      </c>
      <c r="Y5" s="24" t="e">
        <f t="shared" si="6"/>
        <v>#N/A</v>
      </c>
      <c r="Z5" s="24" t="e">
        <f t="shared" si="6"/>
        <v>#N/A</v>
      </c>
      <c r="AA5" s="24" t="e">
        <f t="shared" si="1"/>
        <v>#N/A</v>
      </c>
      <c r="AB5" s="24" t="e">
        <f t="shared" si="1"/>
        <v>#N/A</v>
      </c>
      <c r="AC5" s="24" t="str">
        <f>IF(OR(入力フォームiF・mF・FC・iFBC・MA!$E$90="",入力フォームiF・mF・FC・iFBC・MA!$Z$90=""),"",INDEX(中間データオンプレ!$W$43:$AA$45,MATCH(入力フォームiF・mF・FC・iFBC・MA!$Z$90,中間データオンプレ!$W$43:$W$45,0),MATCH(入力フォームiF・mF・FC・iFBC・MA!$E$90,中間データオンプレ!$W$43:$AA$43,0)))</f>
        <v/>
      </c>
      <c r="AD5" s="305"/>
      <c r="AE5" s="307">
        <f>入力フォームiF・mF・FC・iFBC・MA!$BH$90</f>
        <v>0</v>
      </c>
      <c r="AF5" s="24" t="str">
        <f>IF(OR(COUNTIF(入力フォームiF・mF・FC・iFBC・MA!AL90,"*新規*"),COUNTIF(入力フォームiF・mF・FC・iFBC・MA!AL90,"*乗換*")),中間データオンプレ!O22,IF(入力フォームiF・mF・FC・iFBC・MA!CT90="","",入力フォームiF・mF・FC・iFBC・MA!CT90))</f>
        <v/>
      </c>
      <c r="AG5" s="24" t="str">
        <f>IF(ISERROR(中間データオンプレ!N16),"",中間データオンプレ!N16)</f>
        <v/>
      </c>
      <c r="AH5" s="24" t="str">
        <f>IF(入力フォームiF・mF・FC・iFBC・MA!CF90*入力フォームiF・mF・FC・iFBC・MA!CJ90=0,"",中間データオンプレ!O16)</f>
        <v/>
      </c>
      <c r="AI5" s="24" t="str">
        <f>IF(ISERROR(中間データオンプレ!O20),"",中間データオンプレ!O20)</f>
        <v/>
      </c>
      <c r="AJ5" s="24" t="str">
        <f>IF(中間データオンプレ!N3,中間データオンプレ!O3,"")</f>
        <v/>
      </c>
      <c r="AK5" s="24" t="str">
        <f>IF(中間データオンプレ!N4,中間データオンプレ!O4,"")</f>
        <v/>
      </c>
      <c r="AL5" s="24" t="str">
        <f>IF(中間データオンプレ!N5,中間データオンプレ!O5,"")</f>
        <v/>
      </c>
      <c r="AM5" s="24" t="str">
        <f>IF(中間データオンプレ!N6,中間データオンプレ!O6,"")</f>
        <v/>
      </c>
      <c r="AN5" s="24" t="e">
        <f t="shared" ref="AN5:AN9" si="7">AN$3</f>
        <v>#N/A</v>
      </c>
      <c r="AO5" s="24" t="e">
        <f t="shared" si="2"/>
        <v>#N/A</v>
      </c>
      <c r="AP5" s="24" t="e">
        <f t="shared" si="2"/>
        <v>#N/A</v>
      </c>
      <c r="AQ5" s="24" t="e">
        <f t="shared" si="2"/>
        <v>#N/A</v>
      </c>
      <c r="AR5" s="24" t="e">
        <f t="shared" si="2"/>
        <v>#N/A</v>
      </c>
      <c r="AS5" s="24" t="e">
        <f t="shared" si="2"/>
        <v>#N/A</v>
      </c>
      <c r="AT5" s="24" t="e">
        <f t="shared" si="2"/>
        <v>#N/A</v>
      </c>
      <c r="AU5" s="24" t="str">
        <f>LEFT(入力フォームiF・mF・FC・iFBC・MA!AL90,2)</f>
        <v/>
      </c>
      <c r="AV5" s="24" t="str">
        <f>IF(ISERROR(中間データオンプレ!N16*12),"",中間データオンプレ!N16*12)</f>
        <v/>
      </c>
      <c r="BC5" s="24" t="e">
        <f t="shared" ref="BC5:BC9" si="8">BC$3</f>
        <v>#N/A</v>
      </c>
      <c r="BE5" s="402"/>
      <c r="BF5" s="402"/>
      <c r="BG5" s="402"/>
      <c r="BH5" s="24" t="s">
        <v>132</v>
      </c>
      <c r="BI5" s="402"/>
      <c r="BJ5" s="24" t="str">
        <f>IF(入力フォームiF・mF・FC・iFBC・MA!H97="有/今回購入",入力フォームiF・mF・FC・iFBC・MA!AR97,"")</f>
        <v/>
      </c>
      <c r="BK5" s="402"/>
      <c r="BL5" s="24" t="e">
        <f t="shared" ref="BL5:BL9" si="9">BL$3</f>
        <v>#N/A</v>
      </c>
      <c r="BM5" s="24" t="e">
        <f t="shared" si="3"/>
        <v>#N/A</v>
      </c>
      <c r="BN5" s="563" t="str">
        <f>IF(中間データオンプレ!N10,中間データオンプレ!O10,"")</f>
        <v/>
      </c>
      <c r="BO5" s="24" t="str">
        <f>IF(中間データオンプレ!N7,中間データオンプレ!O7&amp;"："&amp;入力フォームiF・mF・FC・iFBC・MA!BF94&amp;"L","")</f>
        <v/>
      </c>
      <c r="BQ5" s="24" t="str">
        <f>IF(中間データオンプレ!N9=TRUE,中間データオンプレ!O9,IF(中間データオンプレ!N11=TRUE,中間データオンプレ!O11,""))</f>
        <v/>
      </c>
      <c r="BR5" s="24" t="str">
        <f>IF(中間データオンプレ!N23=TRUE,中間データオンプレ!O23,"")</f>
        <v/>
      </c>
      <c r="BS5" s="24" t="str">
        <f>IF(BU5&lt;&gt;"",入力フォームiF・mF・FC・iFBC・MA!BJ100,"")</f>
        <v/>
      </c>
      <c r="BT5" s="24" t="str">
        <f>IF(中間データオンプレ!N13=TRUE,IF(中間データオンプレ!N14=TRUE,中間データオンプレ!O14,中間データオンプレ!O13),IF(中間データオンプレ!N15=TRUE,中間データオンプレ!O15,""))</f>
        <v/>
      </c>
      <c r="BU5" s="568" t="str">
        <f>IF(COUNTIF(入力フォームiF・mF・FC・iFBC・MA!U100,"*有*"),"m-FILTER クリプト便連携","")</f>
        <v/>
      </c>
      <c r="BV5" s="568" t="str">
        <f>IF(BU5&lt;&gt;"","クリプト便　"&amp;VLOOKUP(入力フォームiF・mF・FC・iFBC・MA!U100,中間データオンプレ!W49:X51,2,FALSE),"")</f>
        <v/>
      </c>
      <c r="BW5" s="403"/>
      <c r="BX5" s="402"/>
      <c r="BY5" s="402"/>
      <c r="BZ5" s="402"/>
      <c r="CA5" s="402"/>
      <c r="CB5" s="402"/>
      <c r="CC5" s="402"/>
      <c r="CD5" s="24" t="e">
        <f t="shared" ref="CD5:CD9" si="10">CD$3</f>
        <v>#N/A</v>
      </c>
      <c r="CE5" s="24" t="str">
        <f>IFERROR(VLOOKUP("m‐FILTER",お客様情報!$T$5:$U$9,2,FALSE),"")</f>
        <v/>
      </c>
      <c r="CF5" s="24" t="s">
        <v>999</v>
      </c>
      <c r="CG5" s="24" t="e">
        <f t="shared" ref="CG5:CG9" si="11">CG$3</f>
        <v>#N/A</v>
      </c>
      <c r="CH5" s="24" t="e">
        <f t="shared" si="4"/>
        <v>#N/A</v>
      </c>
      <c r="CI5" s="24" t="e">
        <f t="shared" si="4"/>
        <v>#N/A</v>
      </c>
      <c r="CJ5" s="24" t="e">
        <f t="shared" si="4"/>
        <v>#N/A</v>
      </c>
      <c r="CK5" s="24" t="e">
        <f t="shared" si="4"/>
        <v>#N/A</v>
      </c>
      <c r="CL5" s="24" t="s">
        <v>999</v>
      </c>
      <c r="CM5" s="24" t="e">
        <f t="shared" si="5"/>
        <v>#N/A</v>
      </c>
      <c r="CN5" s="24" t="e">
        <f t="shared" si="5"/>
        <v>#N/A</v>
      </c>
      <c r="CO5" s="24" t="e">
        <f t="shared" si="5"/>
        <v>#N/A</v>
      </c>
      <c r="CP5" s="24" t="e">
        <f t="shared" si="5"/>
        <v>#N/A</v>
      </c>
      <c r="CQ5" s="24" t="e">
        <f t="shared" si="5"/>
        <v>#N/A</v>
      </c>
      <c r="CR5" s="24" t="str">
        <f>IF(入力フォームiF・mF・FC・iFBC・MA!DC100&gt;=1,"OPSWAT台数："&amp;入力フォームiF・mF・FC・iFBC・MA!DC100,"")</f>
        <v/>
      </c>
      <c r="CS5" s="305"/>
      <c r="CT5" s="305"/>
      <c r="CU5" s="305"/>
      <c r="CV5" s="24" t="str">
        <f>IF(入力フォームiF・mF・FC・iFBC・MA!$BP$90="","",入力フォームiF・mF・FC・iFBC・MA!$BP$90)</f>
        <v/>
      </c>
      <c r="CW5" s="296"/>
      <c r="CX5" s="296"/>
      <c r="CY5" s="296"/>
      <c r="CZ5" s="296"/>
      <c r="DA5" s="296"/>
      <c r="DB5" s="296"/>
      <c r="DC5" s="296"/>
      <c r="DD5" s="296"/>
      <c r="DE5" s="563" t="str">
        <f>IF(入力フォームiF・mF・FC・iFBC・MA!AG97="有",中間データオンプレ!O24,"")</f>
        <v/>
      </c>
      <c r="DF5" s="563" t="str">
        <f>IF(中間データオンプレ!N25=TRUE,中間データオンプレ!O25,"")</f>
        <v/>
      </c>
      <c r="DG5" s="24" t="str">
        <f>IF(入力フォームiF・mF・FC・iFBC・MA!DC97="有","OPSWAT MetaDefender Core","")</f>
        <v/>
      </c>
      <c r="DH5" s="24" t="str">
        <f>IF(OR(入力フォームiF・mF・FC・iFBC・MA!O103&lt;&gt;"",入力フォームiF・mF・FC・iFBC・MA!O103&lt;&gt;""),"f-FILTER連携","")</f>
        <v/>
      </c>
      <c r="DI5" s="305"/>
      <c r="DK5" s="568" t="str">
        <f>IF(COUNTIF(入力フォームiF・mF・FC・iFBC・MA!BQ97,"有"),"ファイル無害化OP","")</f>
        <v/>
      </c>
      <c r="DL5" s="305"/>
      <c r="DM5" s="305"/>
    </row>
    <row r="6" spans="1:117">
      <c r="A6" s="43" t="s">
        <v>951</v>
      </c>
      <c r="B6" s="24" t="e">
        <f t="shared" ref="B6:Z6" si="12">B3</f>
        <v>#N/A</v>
      </c>
      <c r="C6" s="24" t="e">
        <f t="shared" si="12"/>
        <v>#N/A</v>
      </c>
      <c r="D6" s="24" t="e">
        <f t="shared" si="12"/>
        <v>#N/A</v>
      </c>
      <c r="E6" s="308" t="e">
        <f t="shared" si="12"/>
        <v>#N/A</v>
      </c>
      <c r="F6" s="24" t="str">
        <f t="shared" si="12"/>
        <v>未記入</v>
      </c>
      <c r="G6" s="24" t="e">
        <f t="shared" si="12"/>
        <v>#N/A</v>
      </c>
      <c r="H6" s="24" t="e">
        <f t="shared" si="12"/>
        <v>#N/A</v>
      </c>
      <c r="I6" s="24" t="e">
        <f t="shared" si="12"/>
        <v>#N/A</v>
      </c>
      <c r="J6" s="24" t="e">
        <f t="shared" si="12"/>
        <v>#N/A</v>
      </c>
      <c r="K6" s="308" t="e">
        <f t="shared" si="12"/>
        <v>#N/A</v>
      </c>
      <c r="L6" s="24" t="str">
        <f t="shared" si="12"/>
        <v>未記入</v>
      </c>
      <c r="M6" s="24" t="e">
        <f t="shared" si="12"/>
        <v>#N/A</v>
      </c>
      <c r="N6" s="24" t="str">
        <f t="shared" si="12"/>
        <v>未記入</v>
      </c>
      <c r="O6" s="24" t="str">
        <f t="shared" si="12"/>
        <v>未記入</v>
      </c>
      <c r="P6" s="24" t="str">
        <f t="shared" si="12"/>
        <v>未記入</v>
      </c>
      <c r="Q6" s="24" t="str">
        <f t="shared" si="12"/>
        <v>未記入</v>
      </c>
      <c r="R6" s="24" t="str">
        <f t="shared" si="12"/>
        <v>未記入</v>
      </c>
      <c r="S6" s="24" t="str">
        <f t="shared" si="12"/>
        <v>未記入</v>
      </c>
      <c r="T6" s="24" t="e">
        <f t="shared" si="12"/>
        <v>#N/A</v>
      </c>
      <c r="U6" s="24" t="e">
        <f t="shared" si="12"/>
        <v>#N/A</v>
      </c>
      <c r="V6" s="24" t="e">
        <f t="shared" si="12"/>
        <v>#N/A</v>
      </c>
      <c r="W6" s="308" t="e">
        <f t="shared" si="12"/>
        <v>#N/A</v>
      </c>
      <c r="X6" s="24" t="str">
        <f t="shared" si="12"/>
        <v>未記入</v>
      </c>
      <c r="Y6" s="24" t="e">
        <f t="shared" si="12"/>
        <v>#N/A</v>
      </c>
      <c r="Z6" s="24" t="e">
        <f t="shared" si="12"/>
        <v>#N/A</v>
      </c>
      <c r="AA6" s="24" t="e">
        <f t="shared" si="1"/>
        <v>#N/A</v>
      </c>
      <c r="AB6" s="24" t="e">
        <f t="shared" si="1"/>
        <v>#N/A</v>
      </c>
      <c r="AC6" s="24" t="s">
        <v>948</v>
      </c>
      <c r="AD6" s="305"/>
      <c r="AE6" s="307">
        <f>入力フォームiF・mF・FC・iFBC・MA!$AR$148</f>
        <v>0</v>
      </c>
      <c r="AF6" s="24" t="str">
        <f>IF(入力フォームiF・mF・FC・iFBC・MA!CR148="","-01",入力フォームiF・mF・FC・iFBC・MA!CR148)</f>
        <v>-01</v>
      </c>
      <c r="AG6" s="24" t="str">
        <f>IF(ISERROR(中間データオンプレ!T3),"",中間データオンプレ!T3)</f>
        <v/>
      </c>
      <c r="AH6" s="305"/>
      <c r="AI6" s="305"/>
      <c r="AJ6" s="555"/>
      <c r="AK6" s="555"/>
      <c r="AL6" s="555"/>
      <c r="AM6" s="555"/>
      <c r="AN6" s="24" t="e">
        <f t="shared" si="7"/>
        <v>#N/A</v>
      </c>
      <c r="AO6" s="24" t="e">
        <f t="shared" si="2"/>
        <v>#N/A</v>
      </c>
      <c r="AP6" s="24" t="e">
        <f t="shared" si="2"/>
        <v>#N/A</v>
      </c>
      <c r="AQ6" s="24" t="e">
        <f t="shared" si="2"/>
        <v>#N/A</v>
      </c>
      <c r="AR6" s="24" t="e">
        <f t="shared" si="2"/>
        <v>#N/A</v>
      </c>
      <c r="AS6" s="24" t="e">
        <f t="shared" si="2"/>
        <v>#N/A</v>
      </c>
      <c r="AT6" s="24" t="e">
        <f t="shared" si="2"/>
        <v>#N/A</v>
      </c>
      <c r="AU6" s="24" t="str">
        <f>LEFT(入力フォームiF・mF・FC・iFBC・MA!X148,2)</f>
        <v/>
      </c>
      <c r="AV6" s="24" t="str">
        <f>IF(ISERROR(中間データオンプレ!T3*12),"",中間データオンプレ!T3*12)</f>
        <v/>
      </c>
      <c r="BC6" s="24" t="e">
        <f t="shared" si="8"/>
        <v>#N/A</v>
      </c>
      <c r="BE6" s="402"/>
      <c r="BF6" s="402"/>
      <c r="BG6" s="402"/>
      <c r="BH6" s="24" t="s">
        <v>132</v>
      </c>
      <c r="BI6" s="402"/>
      <c r="BJ6" s="554"/>
      <c r="BK6" s="402"/>
      <c r="BL6" s="24" t="e">
        <f t="shared" si="9"/>
        <v>#N/A</v>
      </c>
      <c r="BM6" s="24" t="e">
        <f t="shared" si="3"/>
        <v>#N/A</v>
      </c>
      <c r="BN6" s="402"/>
      <c r="BO6" s="402"/>
      <c r="BP6" s="402"/>
      <c r="BQ6" s="402"/>
      <c r="BR6" s="402"/>
      <c r="BS6" s="402"/>
      <c r="BT6" s="402"/>
      <c r="BU6" s="402"/>
      <c r="BV6" s="402"/>
      <c r="BW6" s="403"/>
      <c r="BX6" s="402"/>
      <c r="BY6" s="402"/>
      <c r="BZ6" s="402"/>
      <c r="CA6" s="402"/>
      <c r="CB6" s="402"/>
      <c r="CC6" s="402"/>
      <c r="CD6" s="24" t="e">
        <f t="shared" si="10"/>
        <v>#N/A</v>
      </c>
      <c r="CE6" s="24" t="str">
        <f>IFERROR(VLOOKUP("m-FILTER MailAdviser",お客様情報!$T$5:$U$9,2,FALSE),"")</f>
        <v/>
      </c>
      <c r="CF6" s="24" t="s">
        <v>999</v>
      </c>
      <c r="CG6" s="24" t="e">
        <f t="shared" si="11"/>
        <v>#N/A</v>
      </c>
      <c r="CH6" s="24" t="e">
        <f t="shared" si="4"/>
        <v>#N/A</v>
      </c>
      <c r="CI6" s="24" t="e">
        <f t="shared" si="4"/>
        <v>#N/A</v>
      </c>
      <c r="CJ6" s="24" t="e">
        <f t="shared" si="4"/>
        <v>#N/A</v>
      </c>
      <c r="CK6" s="24" t="e">
        <f t="shared" si="4"/>
        <v>#N/A</v>
      </c>
      <c r="CL6" s="24" t="s">
        <v>999</v>
      </c>
      <c r="CM6" s="24" t="e">
        <f t="shared" si="5"/>
        <v>#N/A</v>
      </c>
      <c r="CN6" s="24" t="e">
        <f t="shared" si="5"/>
        <v>#N/A</v>
      </c>
      <c r="CO6" s="24" t="e">
        <f t="shared" si="5"/>
        <v>#N/A</v>
      </c>
      <c r="CP6" s="24" t="e">
        <f t="shared" si="5"/>
        <v>#N/A</v>
      </c>
      <c r="CQ6" s="24" t="e">
        <f t="shared" si="5"/>
        <v>#N/A</v>
      </c>
      <c r="CR6" s="305"/>
      <c r="CS6" s="305"/>
      <c r="CT6" s="305"/>
      <c r="CU6" s="305"/>
      <c r="CV6" s="24">
        <v>1</v>
      </c>
      <c r="CW6" s="296"/>
      <c r="CX6" s="296"/>
      <c r="CY6" s="296"/>
      <c r="CZ6" s="296"/>
      <c r="DA6" s="296"/>
      <c r="DB6" s="296"/>
      <c r="DC6" s="296"/>
      <c r="DD6" s="296"/>
      <c r="DE6" s="296"/>
      <c r="DF6" s="296"/>
      <c r="DG6" s="296"/>
      <c r="DH6" s="296"/>
      <c r="DI6" s="305"/>
      <c r="DJ6" s="305"/>
      <c r="DK6" s="305"/>
      <c r="DL6" s="305"/>
      <c r="DM6" s="305"/>
    </row>
    <row r="7" spans="1:117" ht="11">
      <c r="A7" s="43" t="s">
        <v>1463</v>
      </c>
      <c r="B7" s="24" t="e">
        <f t="shared" ref="B7:R7" si="13">B3</f>
        <v>#N/A</v>
      </c>
      <c r="C7" s="24" t="e">
        <f t="shared" ref="C7:Q7" si="14">C3</f>
        <v>#N/A</v>
      </c>
      <c r="D7" s="24" t="e">
        <f t="shared" si="14"/>
        <v>#N/A</v>
      </c>
      <c r="E7" s="308" t="e">
        <f t="shared" si="14"/>
        <v>#N/A</v>
      </c>
      <c r="F7" s="24" t="str">
        <f t="shared" si="14"/>
        <v>未記入</v>
      </c>
      <c r="G7" s="24" t="e">
        <f t="shared" si="14"/>
        <v>#N/A</v>
      </c>
      <c r="H7" s="24" t="e">
        <f t="shared" si="14"/>
        <v>#N/A</v>
      </c>
      <c r="I7" s="24" t="e">
        <f t="shared" si="14"/>
        <v>#N/A</v>
      </c>
      <c r="J7" s="24" t="e">
        <f t="shared" si="14"/>
        <v>#N/A</v>
      </c>
      <c r="K7" s="308" t="e">
        <f t="shared" si="14"/>
        <v>#N/A</v>
      </c>
      <c r="L7" s="24" t="str">
        <f t="shared" si="14"/>
        <v>未記入</v>
      </c>
      <c r="M7" s="24" t="e">
        <f t="shared" si="14"/>
        <v>#N/A</v>
      </c>
      <c r="N7" s="24" t="str">
        <f t="shared" si="14"/>
        <v>未記入</v>
      </c>
      <c r="O7" s="24" t="str">
        <f t="shared" si="14"/>
        <v>未記入</v>
      </c>
      <c r="P7" s="24" t="str">
        <f t="shared" si="14"/>
        <v>未記入</v>
      </c>
      <c r="Q7" s="24" t="str">
        <f t="shared" si="14"/>
        <v>未記入</v>
      </c>
      <c r="R7" s="24" t="str">
        <f t="shared" si="13"/>
        <v>未記入</v>
      </c>
      <c r="S7" s="24" t="str">
        <f t="shared" ref="S7:Z7" si="15">S3</f>
        <v>未記入</v>
      </c>
      <c r="T7" s="24" t="e">
        <f t="shared" si="15"/>
        <v>#N/A</v>
      </c>
      <c r="U7" s="24" t="e">
        <f t="shared" si="15"/>
        <v>#N/A</v>
      </c>
      <c r="V7" s="24" t="e">
        <f t="shared" si="15"/>
        <v>#N/A</v>
      </c>
      <c r="W7" s="308" t="e">
        <f t="shared" si="15"/>
        <v>#N/A</v>
      </c>
      <c r="X7" s="24" t="str">
        <f t="shared" si="15"/>
        <v>未記入</v>
      </c>
      <c r="Y7" s="24" t="e">
        <f t="shared" si="15"/>
        <v>#N/A</v>
      </c>
      <c r="Z7" s="24" t="e">
        <f t="shared" si="15"/>
        <v>#N/A</v>
      </c>
      <c r="AA7" s="24" t="e">
        <f>AA$3</f>
        <v>#N/A</v>
      </c>
      <c r="AB7" s="24" t="e">
        <f>AB$3</f>
        <v>#N/A</v>
      </c>
      <c r="AC7" s="24" t="s">
        <v>1467</v>
      </c>
      <c r="AD7" s="305"/>
      <c r="AE7" s="307">
        <f>AE6</f>
        <v>0</v>
      </c>
      <c r="AF7" s="24" t="str">
        <f>AF6</f>
        <v>-01</v>
      </c>
      <c r="AG7" s="24" t="str">
        <f>AG6</f>
        <v/>
      </c>
      <c r="AH7" s="24" t="str">
        <f>IF(入力フォームiF・mF・FC・iFBC・MA!BJ148*入力フォームiF・mF・FC・iFBC・MA!BN148=0,"",中間データオンプレ!U3)</f>
        <v/>
      </c>
      <c r="AI7" s="327" t="str">
        <f>IF(ISERROR(中間データオンプレ!U7),"",中間データオンプレ!U7)</f>
        <v/>
      </c>
      <c r="AJ7" s="24" t="str">
        <f>IF(LEFT(入力フォームiF・mF・FC・iFBC・MA!I152,1)="有","暗号化強固オプション","")</f>
        <v/>
      </c>
      <c r="AK7" s="563" t="str">
        <f>IF(中間データオンプレ!T9,中間データオンプレ!U9,"")</f>
        <v/>
      </c>
      <c r="AL7" s="555"/>
      <c r="AM7" s="555"/>
      <c r="AN7" s="24" t="e">
        <f>AN$3</f>
        <v>#N/A</v>
      </c>
      <c r="AO7" s="24" t="e">
        <f>AO$3</f>
        <v>#N/A</v>
      </c>
      <c r="AP7" s="24" t="e">
        <f t="shared" si="2"/>
        <v>#N/A</v>
      </c>
      <c r="AQ7" s="24" t="e">
        <f t="shared" si="2"/>
        <v>#N/A</v>
      </c>
      <c r="AR7" s="24" t="e">
        <f t="shared" si="2"/>
        <v>#N/A</v>
      </c>
      <c r="AS7" s="24" t="e">
        <f t="shared" si="2"/>
        <v>#N/A</v>
      </c>
      <c r="AT7" s="24" t="e">
        <f t="shared" si="2"/>
        <v>#N/A</v>
      </c>
      <c r="AU7" s="24" t="str">
        <f>AU6</f>
        <v/>
      </c>
      <c r="AV7" s="24" t="str">
        <f>AV6</f>
        <v/>
      </c>
      <c r="BC7" s="24" t="e">
        <f t="shared" si="8"/>
        <v>#N/A</v>
      </c>
      <c r="BE7" s="402"/>
      <c r="BF7" s="402"/>
      <c r="BG7" s="402"/>
      <c r="BH7" s="24" t="s">
        <v>132</v>
      </c>
      <c r="BI7" s="402"/>
      <c r="BJ7" s="24" t="str">
        <f>IF(入力フォームiF・mF・FC・iFBC・MA!I152="有/今回購入",入力フォームiF・mF・FC・iFBC・MA!BU152,"")</f>
        <v/>
      </c>
      <c r="BK7" s="402"/>
      <c r="BL7" s="24" t="e">
        <f t="shared" si="9"/>
        <v>#N/A</v>
      </c>
      <c r="BM7" s="24" t="e">
        <f t="shared" si="3"/>
        <v>#N/A</v>
      </c>
      <c r="BN7" s="402"/>
      <c r="BO7" s="24" t="str">
        <f>IF(中間データオンプレ!T8,中間データオンプレ!U8&amp;"："&amp;入力フォームiF・mF・FC・iFBC・MA!DJ152&amp;"L","")</f>
        <v/>
      </c>
      <c r="BP7" s="24" t="str">
        <f>IF(入力フォームiF・mF・FC・iFBC・MA!CR152="有/FinalCode保有",IF(入力フォームiF・mF・FC・iFBC・MA!AF152="","100F-",入力フォームiF・mF・FC・iFBC・MA!AF152),"")</f>
        <v/>
      </c>
      <c r="BQ7" s="402"/>
      <c r="BR7" s="402"/>
      <c r="BS7" s="402"/>
      <c r="BT7" s="402"/>
      <c r="BU7" s="402"/>
      <c r="BV7" s="402"/>
      <c r="BW7" s="402"/>
      <c r="BX7" s="402"/>
      <c r="BY7" s="402"/>
      <c r="BZ7" s="402"/>
      <c r="CA7" s="402"/>
      <c r="CB7" s="402"/>
      <c r="CC7" s="402"/>
      <c r="CD7" s="24" t="e">
        <f t="shared" si="10"/>
        <v>#N/A</v>
      </c>
      <c r="CE7" s="24" t="str">
        <f>CE6</f>
        <v/>
      </c>
      <c r="CF7" s="24" t="s">
        <v>999</v>
      </c>
      <c r="CG7" s="24" t="e">
        <f t="shared" si="11"/>
        <v>#N/A</v>
      </c>
      <c r="CH7" s="24" t="e">
        <f t="shared" si="4"/>
        <v>#N/A</v>
      </c>
      <c r="CI7" s="24" t="e">
        <f t="shared" si="4"/>
        <v>#N/A</v>
      </c>
      <c r="CJ7" s="24" t="e">
        <f t="shared" si="4"/>
        <v>#N/A</v>
      </c>
      <c r="CK7" s="24" t="e">
        <f t="shared" si="4"/>
        <v>#N/A</v>
      </c>
      <c r="CL7" s="24" t="s">
        <v>999</v>
      </c>
      <c r="CM7" s="24" t="e">
        <f t="shared" si="5"/>
        <v>#N/A</v>
      </c>
      <c r="CN7" s="24" t="e">
        <f t="shared" si="5"/>
        <v>#N/A</v>
      </c>
      <c r="CO7" s="24" t="e">
        <f t="shared" si="5"/>
        <v>#N/A</v>
      </c>
      <c r="CP7" s="24" t="e">
        <f t="shared" si="5"/>
        <v>#N/A</v>
      </c>
      <c r="CQ7" s="24" t="e">
        <f t="shared" si="5"/>
        <v>#N/A</v>
      </c>
      <c r="CR7" s="305"/>
      <c r="CS7" s="305"/>
      <c r="CT7" s="305"/>
      <c r="CU7" s="305"/>
      <c r="CV7" s="24">
        <v>1</v>
      </c>
      <c r="CW7" s="296"/>
      <c r="CX7" s="296"/>
      <c r="CY7" s="296"/>
      <c r="CZ7" s="296"/>
      <c r="DA7" s="296"/>
      <c r="DB7" s="296"/>
      <c r="DC7" s="296"/>
      <c r="DD7" s="296"/>
      <c r="DE7" s="296"/>
      <c r="DF7" s="296"/>
      <c r="DG7" s="296"/>
      <c r="DH7" s="296"/>
      <c r="DI7" s="305"/>
      <c r="DJ7" s="305"/>
      <c r="DK7" s="305"/>
      <c r="DL7" s="305"/>
      <c r="DM7" s="305"/>
    </row>
    <row r="8" spans="1:117" ht="11">
      <c r="A8" s="43" t="s">
        <v>1464</v>
      </c>
      <c r="B8" s="24" t="e">
        <f t="shared" ref="B8:Z8" si="16">B3</f>
        <v>#N/A</v>
      </c>
      <c r="C8" s="24" t="e">
        <f t="shared" si="16"/>
        <v>#N/A</v>
      </c>
      <c r="D8" s="24" t="e">
        <f t="shared" si="16"/>
        <v>#N/A</v>
      </c>
      <c r="E8" s="308" t="e">
        <f t="shared" si="16"/>
        <v>#N/A</v>
      </c>
      <c r="F8" s="24" t="str">
        <f t="shared" si="16"/>
        <v>未記入</v>
      </c>
      <c r="G8" s="24" t="e">
        <f t="shared" si="16"/>
        <v>#N/A</v>
      </c>
      <c r="H8" s="24" t="e">
        <f t="shared" si="16"/>
        <v>#N/A</v>
      </c>
      <c r="I8" s="24" t="e">
        <f t="shared" si="16"/>
        <v>#N/A</v>
      </c>
      <c r="J8" s="24" t="e">
        <f t="shared" si="16"/>
        <v>#N/A</v>
      </c>
      <c r="K8" s="308" t="e">
        <f t="shared" si="16"/>
        <v>#N/A</v>
      </c>
      <c r="L8" s="24" t="str">
        <f t="shared" si="16"/>
        <v>未記入</v>
      </c>
      <c r="M8" s="24" t="e">
        <f t="shared" si="16"/>
        <v>#N/A</v>
      </c>
      <c r="N8" s="24" t="str">
        <f t="shared" si="16"/>
        <v>未記入</v>
      </c>
      <c r="O8" s="24" t="str">
        <f t="shared" si="16"/>
        <v>未記入</v>
      </c>
      <c r="P8" s="24" t="str">
        <f t="shared" si="16"/>
        <v>未記入</v>
      </c>
      <c r="Q8" s="24" t="str">
        <f t="shared" si="16"/>
        <v>未記入</v>
      </c>
      <c r="R8" s="24" t="str">
        <f t="shared" si="16"/>
        <v>未記入</v>
      </c>
      <c r="S8" s="24" t="str">
        <f t="shared" si="16"/>
        <v>未記入</v>
      </c>
      <c r="T8" s="24" t="e">
        <f t="shared" si="16"/>
        <v>#N/A</v>
      </c>
      <c r="U8" s="24" t="e">
        <f t="shared" si="16"/>
        <v>#N/A</v>
      </c>
      <c r="V8" s="24" t="e">
        <f t="shared" si="16"/>
        <v>#N/A</v>
      </c>
      <c r="W8" s="308" t="e">
        <f t="shared" si="16"/>
        <v>#N/A</v>
      </c>
      <c r="X8" s="24" t="str">
        <f t="shared" si="16"/>
        <v>未記入</v>
      </c>
      <c r="Y8" s="24" t="e">
        <f t="shared" si="16"/>
        <v>#N/A</v>
      </c>
      <c r="Z8" s="24" t="e">
        <f t="shared" si="16"/>
        <v>#N/A</v>
      </c>
      <c r="AA8" s="24" t="e">
        <f>AA$3</f>
        <v>#N/A</v>
      </c>
      <c r="AB8" s="24" t="e">
        <f>AB$3</f>
        <v>#N/A</v>
      </c>
      <c r="AC8" s="24" t="s">
        <v>1468</v>
      </c>
      <c r="AD8" s="305"/>
      <c r="AE8" s="307">
        <f>AE6</f>
        <v>0</v>
      </c>
      <c r="AF8" s="333" t="str">
        <f>AF6</f>
        <v>-01</v>
      </c>
      <c r="AG8" s="24" t="str">
        <f>AG6</f>
        <v/>
      </c>
      <c r="AH8" s="24" t="str">
        <f>IF(入力フォームiF・mF・FC・iFBC・MA!BJ148*入力フォームiF・mF・FC・iFBC・MA!BN148=0,"",中間データオンプレ!U3)</f>
        <v/>
      </c>
      <c r="AI8" s="327" t="str">
        <f>IF(ISERROR(中間データオンプレ!U7),"",中間データオンプレ!U7)</f>
        <v/>
      </c>
      <c r="AJ8" s="555"/>
      <c r="AK8" s="555"/>
      <c r="AL8" s="555"/>
      <c r="AM8" s="555"/>
      <c r="AN8" s="24" t="e">
        <f>AN$3</f>
        <v>#N/A</v>
      </c>
      <c r="AO8" s="24" t="e">
        <f>AO$3</f>
        <v>#N/A</v>
      </c>
      <c r="AP8" s="24" t="e">
        <f t="shared" si="2"/>
        <v>#N/A</v>
      </c>
      <c r="AQ8" s="24" t="e">
        <f t="shared" si="2"/>
        <v>#N/A</v>
      </c>
      <c r="AR8" s="24" t="e">
        <f t="shared" si="2"/>
        <v>#N/A</v>
      </c>
      <c r="AS8" s="24" t="e">
        <f t="shared" si="2"/>
        <v>#N/A</v>
      </c>
      <c r="AT8" s="24" t="e">
        <f t="shared" si="2"/>
        <v>#N/A</v>
      </c>
      <c r="AU8" s="24" t="str">
        <f>AU6</f>
        <v/>
      </c>
      <c r="AV8" s="24" t="str">
        <f>AV6</f>
        <v/>
      </c>
      <c r="BC8" s="24" t="e">
        <f t="shared" si="8"/>
        <v>#N/A</v>
      </c>
      <c r="BE8" s="402"/>
      <c r="BF8" s="402"/>
      <c r="BG8" s="402"/>
      <c r="BH8" s="24" t="s">
        <v>132</v>
      </c>
      <c r="BI8" s="402"/>
      <c r="BJ8" s="24" t="str">
        <f>IF(入力フォームiF・mF・FC・iFBC・MA!BU152&lt;&gt;"",入力フォームiF・mF・FC・iFBC・MA!BU152,"")</f>
        <v/>
      </c>
      <c r="BK8" s="402"/>
      <c r="BL8" s="24" t="e">
        <f t="shared" si="9"/>
        <v>#N/A</v>
      </c>
      <c r="BM8" s="24" t="e">
        <f t="shared" si="3"/>
        <v>#N/A</v>
      </c>
      <c r="BN8" s="402"/>
      <c r="BO8" s="24" t="str">
        <f>IF(中間データオンプレ!T8,中間データオンプレ!U8&amp;"："&amp;入力フォームiF・mF・FC・iFBC・MA!DJ152&amp;"L","")</f>
        <v/>
      </c>
      <c r="BP8" s="24" t="str">
        <f>IF(AND(入力フォームiF・mF・FC・iFBC・MA!E148="MailAdviser_OWA",入力フォームiF・mF・FC・iFBC・MA!X148="新規"),入力フォームiF・mF・FC・iFBC・MA!AF152,"")</f>
        <v/>
      </c>
      <c r="BQ8" s="402"/>
      <c r="BR8" s="402"/>
      <c r="BS8" s="402"/>
      <c r="BT8" s="402"/>
      <c r="BU8" s="402"/>
      <c r="BV8" s="402"/>
      <c r="BW8" s="402"/>
      <c r="BX8" s="402"/>
      <c r="BY8" s="402"/>
      <c r="BZ8" s="402"/>
      <c r="CA8" s="402"/>
      <c r="CB8" s="402"/>
      <c r="CC8" s="402"/>
      <c r="CD8" s="24" t="e">
        <f t="shared" si="10"/>
        <v>#N/A</v>
      </c>
      <c r="CE8" s="24" t="str">
        <f>CE6</f>
        <v/>
      </c>
      <c r="CF8" s="24" t="s">
        <v>999</v>
      </c>
      <c r="CG8" s="24" t="e">
        <f t="shared" si="11"/>
        <v>#N/A</v>
      </c>
      <c r="CH8" s="24" t="e">
        <f t="shared" si="4"/>
        <v>#N/A</v>
      </c>
      <c r="CI8" s="24" t="e">
        <f t="shared" si="4"/>
        <v>#N/A</v>
      </c>
      <c r="CJ8" s="24" t="e">
        <f t="shared" si="4"/>
        <v>#N/A</v>
      </c>
      <c r="CK8" s="24" t="e">
        <f t="shared" si="4"/>
        <v>#N/A</v>
      </c>
      <c r="CL8" s="24" t="s">
        <v>999</v>
      </c>
      <c r="CM8" s="24" t="e">
        <f t="shared" si="5"/>
        <v>#N/A</v>
      </c>
      <c r="CN8" s="24" t="e">
        <f t="shared" si="5"/>
        <v>#N/A</v>
      </c>
      <c r="CO8" s="24" t="e">
        <f t="shared" si="5"/>
        <v>#N/A</v>
      </c>
      <c r="CP8" s="24" t="e">
        <f t="shared" si="5"/>
        <v>#N/A</v>
      </c>
      <c r="CQ8" s="24" t="e">
        <f t="shared" si="5"/>
        <v>#N/A</v>
      </c>
      <c r="CR8" s="305"/>
      <c r="CS8" s="305"/>
      <c r="CT8" s="305"/>
      <c r="CU8" s="305"/>
      <c r="CV8" s="24">
        <v>0</v>
      </c>
      <c r="CW8" s="296"/>
      <c r="CX8" s="296"/>
      <c r="CY8" s="296"/>
      <c r="CZ8" s="296"/>
      <c r="DA8" s="296"/>
      <c r="DB8" s="296"/>
      <c r="DC8" s="296"/>
      <c r="DD8" s="296"/>
      <c r="DE8" s="296"/>
      <c r="DF8" s="296"/>
      <c r="DG8" s="296"/>
      <c r="DH8" s="296"/>
      <c r="DI8" s="305"/>
      <c r="DJ8" s="305"/>
      <c r="DK8" s="305"/>
      <c r="DL8" s="305"/>
      <c r="DM8" s="305"/>
    </row>
    <row r="9" spans="1:117" ht="11">
      <c r="A9" s="225" t="s">
        <v>953</v>
      </c>
      <c r="B9" s="24" t="e">
        <f>B3</f>
        <v>#N/A</v>
      </c>
      <c r="C9" s="24" t="e">
        <f t="shared" ref="C9:Z9" si="17">C3</f>
        <v>#N/A</v>
      </c>
      <c r="D9" s="24" t="e">
        <f t="shared" si="17"/>
        <v>#N/A</v>
      </c>
      <c r="E9" s="24" t="e">
        <f t="shared" si="17"/>
        <v>#N/A</v>
      </c>
      <c r="F9" s="24" t="str">
        <f t="shared" si="17"/>
        <v>未記入</v>
      </c>
      <c r="G9" s="24" t="e">
        <f t="shared" si="17"/>
        <v>#N/A</v>
      </c>
      <c r="H9" s="24" t="e">
        <f t="shared" si="17"/>
        <v>#N/A</v>
      </c>
      <c r="I9" s="24" t="e">
        <f t="shared" si="17"/>
        <v>#N/A</v>
      </c>
      <c r="J9" s="24" t="e">
        <f t="shared" si="17"/>
        <v>#N/A</v>
      </c>
      <c r="K9" s="24" t="e">
        <f t="shared" si="17"/>
        <v>#N/A</v>
      </c>
      <c r="L9" s="24" t="str">
        <f t="shared" si="17"/>
        <v>未記入</v>
      </c>
      <c r="M9" s="24" t="e">
        <f t="shared" si="17"/>
        <v>#N/A</v>
      </c>
      <c r="N9" s="24" t="str">
        <f t="shared" si="17"/>
        <v>未記入</v>
      </c>
      <c r="O9" s="24" t="str">
        <f t="shared" si="17"/>
        <v>未記入</v>
      </c>
      <c r="P9" s="24" t="str">
        <f t="shared" si="17"/>
        <v>未記入</v>
      </c>
      <c r="Q9" s="24" t="str">
        <f t="shared" si="17"/>
        <v>未記入</v>
      </c>
      <c r="R9" s="24" t="str">
        <f t="shared" si="17"/>
        <v>未記入</v>
      </c>
      <c r="S9" s="24" t="str">
        <f t="shared" si="17"/>
        <v>未記入</v>
      </c>
      <c r="T9" s="24" t="e">
        <f t="shared" si="17"/>
        <v>#N/A</v>
      </c>
      <c r="U9" s="24" t="e">
        <f t="shared" si="17"/>
        <v>#N/A</v>
      </c>
      <c r="V9" s="24" t="e">
        <f t="shared" si="17"/>
        <v>#N/A</v>
      </c>
      <c r="W9" s="24" t="e">
        <f t="shared" si="17"/>
        <v>#N/A</v>
      </c>
      <c r="X9" s="24" t="str">
        <f t="shared" si="17"/>
        <v>未記入</v>
      </c>
      <c r="Y9" s="24" t="e">
        <f t="shared" si="17"/>
        <v>#N/A</v>
      </c>
      <c r="Z9" s="24" t="e">
        <f t="shared" si="17"/>
        <v>#N/A</v>
      </c>
      <c r="AA9" s="24" t="e">
        <f t="shared" si="1"/>
        <v>#N/A</v>
      </c>
      <c r="AB9" s="24" t="e">
        <f t="shared" si="1"/>
        <v>#N/A</v>
      </c>
      <c r="AC9" s="24">
        <f>入力フォームiF・mF・FC・iFBC・MA!E116</f>
        <v>0</v>
      </c>
      <c r="AD9" s="305"/>
      <c r="AE9" s="307">
        <f>入力フォームiF・mF・FC・iFBC・MA!AZ116</f>
        <v>0</v>
      </c>
      <c r="AF9" s="24" t="str">
        <f>IF(入力フォームiF・mF・FC・iFBC・MA!CO116="","",入力フォームiF・mF・FC・iFBC・MA!CO116)</f>
        <v/>
      </c>
      <c r="AG9" s="24" t="str">
        <f>IF(ISERROR(中間データオンプレ!T35),"",中間データオンプレ!T35)</f>
        <v/>
      </c>
      <c r="AH9" s="24" t="str">
        <f>IF(入力フォームiF・mF・FC・iFBC・MA!BR116*入力フォームiF・mF・FC・iFBC・MA!BV116=0,"",中間データオンプレ!U35)</f>
        <v/>
      </c>
      <c r="AI9" s="24" t="str">
        <f>IF(ISERROR(中間データオンプレ!U39),"",中間データオンプレ!U39)</f>
        <v/>
      </c>
      <c r="AJ9" s="24" t="str">
        <f>IF(入力フォームiF・mF・FC・iFBC・MA!BW120="有","オフライン閲覧機能",IF(入力フォームiF・mF・FC・iFBC・MA!K123="有","オフライン閲覧機能",""))</f>
        <v/>
      </c>
      <c r="AK9" s="24" t="str">
        <f>IF(入力フォームiF・mF・FC・iFBC・MA!CK120&lt;&gt;"",CONCATENATE("CADファイル暗号化・閲覧機能：",入力フォームiF・mF・FC・iFBC・MA!CK120,"ライセンス"),"")</f>
        <v/>
      </c>
      <c r="AL9" s="24" t="str">
        <f>IF(入力フォームiF・mF・FC・iFBC・MA!CR120="有","API","")</f>
        <v/>
      </c>
      <c r="AM9" s="24" t="str">
        <f>IF(入力フォームiF・mF・FC・iFBC・MA!K123="有","オフライン暗号機能","")</f>
        <v/>
      </c>
      <c r="AN9" s="24" t="e">
        <f t="shared" si="7"/>
        <v>#N/A</v>
      </c>
      <c r="AO9" s="24" t="e">
        <f t="shared" si="2"/>
        <v>#N/A</v>
      </c>
      <c r="AP9" s="24" t="e">
        <f t="shared" si="2"/>
        <v>#N/A</v>
      </c>
      <c r="AQ9" s="24" t="e">
        <f t="shared" si="2"/>
        <v>#N/A</v>
      </c>
      <c r="AR9" s="24" t="e">
        <f t="shared" si="2"/>
        <v>#N/A</v>
      </c>
      <c r="AS9" s="24" t="e">
        <f t="shared" si="2"/>
        <v>#N/A</v>
      </c>
      <c r="AT9" s="24" t="e">
        <f t="shared" si="2"/>
        <v>#N/A</v>
      </c>
      <c r="AU9" s="24" t="str">
        <f>LEFT(入力フォームiF・mF・FC・iFBC・MA!AA116,2)</f>
        <v/>
      </c>
      <c r="AV9" s="24" t="str">
        <f>IF(ISERROR(中間データオンプレ!T35*12),"",中間データオンプレ!T35*12)</f>
        <v/>
      </c>
      <c r="BC9" s="24" t="e">
        <f t="shared" si="8"/>
        <v>#N/A</v>
      </c>
      <c r="BE9" s="402"/>
      <c r="BF9" s="402"/>
      <c r="BG9" s="402"/>
      <c r="BH9" s="24" t="s">
        <v>132</v>
      </c>
      <c r="BI9" s="402"/>
      <c r="BJ9" s="24" t="str">
        <f>IF(入力フォームiF・mF・FC・iFBC・MA!K120=0,"",入力フォームiF・mF・FC・iFBC・MA!K120)</f>
        <v/>
      </c>
      <c r="BK9" s="402"/>
      <c r="BL9" s="24" t="e">
        <f t="shared" si="9"/>
        <v>#N/A</v>
      </c>
      <c r="BM9" s="24" t="e">
        <f t="shared" si="3"/>
        <v>#N/A</v>
      </c>
      <c r="BN9" s="24" t="str">
        <f>IF(入力フォームiF・mF・FC・iFBC・MA!Y123="有","FCLチェックツール","")</f>
        <v/>
      </c>
      <c r="BO9" s="24" t="str">
        <f>IF(入力フォームiF・mF・FC・iFBC・MA!AH120="有/m-FILTER保有","m-FILTER","")</f>
        <v/>
      </c>
      <c r="BP9" s="24" t="str">
        <f>IF(入力フォームiF・mF・FC・iFBC・MA!AH120="有/m-FILTER保有",入力フォームiF・mF・FC・iFBC・MA!AY120,"")</f>
        <v/>
      </c>
      <c r="BQ9" s="402"/>
      <c r="BR9" s="402"/>
      <c r="BS9" s="402"/>
      <c r="BT9" s="402"/>
      <c r="BU9" s="402"/>
      <c r="BV9" s="402"/>
      <c r="BW9" s="404"/>
      <c r="BX9" s="404"/>
      <c r="BY9" s="404"/>
      <c r="BZ9" s="402"/>
      <c r="CA9" s="405"/>
      <c r="CB9" s="406"/>
      <c r="CC9" s="402"/>
      <c r="CD9" s="24" t="e">
        <f t="shared" si="10"/>
        <v>#N/A</v>
      </c>
      <c r="CE9" s="24" t="str">
        <f>IFERROR(VLOOKUP("FinalCode Ver.6 VA",お客様情報!$T$5:$U$9,2,FALSE),"")</f>
        <v/>
      </c>
      <c r="CF9" s="24" t="s">
        <v>999</v>
      </c>
      <c r="CG9" s="24" t="e">
        <f t="shared" si="11"/>
        <v>#N/A</v>
      </c>
      <c r="CH9" s="24" t="e">
        <f t="shared" si="4"/>
        <v>#N/A</v>
      </c>
      <c r="CI9" s="24" t="e">
        <f t="shared" si="4"/>
        <v>#N/A</v>
      </c>
      <c r="CJ9" s="24" t="e">
        <f t="shared" si="4"/>
        <v>#N/A</v>
      </c>
      <c r="CK9" s="24" t="e">
        <f t="shared" si="4"/>
        <v>#N/A</v>
      </c>
      <c r="CL9" s="24" t="s">
        <v>999</v>
      </c>
      <c r="CM9" s="24" t="e">
        <f t="shared" si="5"/>
        <v>#N/A</v>
      </c>
      <c r="CN9" s="24" t="e">
        <f t="shared" si="5"/>
        <v>#N/A</v>
      </c>
      <c r="CO9" s="24" t="e">
        <f t="shared" si="5"/>
        <v>#N/A</v>
      </c>
      <c r="CP9" s="24" t="e">
        <f t="shared" si="5"/>
        <v>#N/A</v>
      </c>
      <c r="CQ9" s="24" t="e">
        <f t="shared" si="5"/>
        <v>#N/A</v>
      </c>
      <c r="CR9" s="305"/>
      <c r="CS9" s="305"/>
      <c r="CT9" s="305"/>
      <c r="CU9" s="305"/>
      <c r="CV9" s="305"/>
      <c r="CW9" s="296"/>
      <c r="CX9" s="296"/>
      <c r="CY9" s="296"/>
      <c r="CZ9" s="296"/>
      <c r="DA9" s="296"/>
      <c r="DB9" s="296"/>
      <c r="DC9" s="296"/>
      <c r="DD9" s="296"/>
      <c r="DE9" s="296"/>
      <c r="DF9" s="296"/>
      <c r="DG9" s="296"/>
      <c r="DH9" s="296"/>
      <c r="DI9" s="305"/>
      <c r="DJ9" s="305"/>
      <c r="DK9" s="305"/>
      <c r="DL9" s="305"/>
      <c r="DM9" s="305"/>
    </row>
    <row r="10" spans="1:117" ht="11">
      <c r="A10" s="401"/>
      <c r="AE10" s="307"/>
      <c r="BW10" s="297"/>
      <c r="BX10" s="297"/>
      <c r="BY10" s="297"/>
      <c r="CA10" s="303"/>
      <c r="CB10" s="304"/>
      <c r="CR10" s="565"/>
    </row>
    <row r="11" spans="1:117" ht="11">
      <c r="A11" s="401"/>
      <c r="AE11" s="307"/>
      <c r="BW11" s="297"/>
      <c r="BX11" s="297"/>
      <c r="BY11" s="297"/>
      <c r="CA11" s="303"/>
      <c r="CB11" s="304"/>
      <c r="CR11" s="565"/>
    </row>
    <row r="12" spans="1:117" ht="11">
      <c r="A12" s="317" t="s">
        <v>1014</v>
      </c>
      <c r="B12" s="317" t="s">
        <v>39</v>
      </c>
      <c r="C12" s="317"/>
      <c r="D12" s="317"/>
      <c r="E12" s="317"/>
      <c r="F12" s="317"/>
      <c r="G12" s="317"/>
      <c r="H12" s="317" t="s">
        <v>44</v>
      </c>
      <c r="I12" s="317"/>
      <c r="J12" s="317"/>
      <c r="K12" s="317"/>
      <c r="L12" s="317"/>
      <c r="M12" s="317"/>
      <c r="N12" s="317" t="s">
        <v>124</v>
      </c>
      <c r="O12" s="317"/>
      <c r="P12" s="317"/>
      <c r="Q12" s="317"/>
      <c r="R12" s="317"/>
      <c r="S12" s="317"/>
      <c r="T12" s="317" t="s">
        <v>45</v>
      </c>
      <c r="U12" s="317"/>
      <c r="V12" s="317"/>
      <c r="W12" s="317"/>
      <c r="X12" s="317"/>
      <c r="Y12" s="317"/>
      <c r="Z12" s="317"/>
      <c r="AA12" s="317" t="s">
        <v>57</v>
      </c>
      <c r="AB12" s="317"/>
      <c r="AC12" s="317"/>
      <c r="AD12" s="317"/>
      <c r="AE12" s="317"/>
      <c r="AF12" s="317"/>
      <c r="AG12" s="317"/>
      <c r="AH12" s="318"/>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row>
    <row r="13" spans="1:117" ht="11">
      <c r="A13" s="306" t="s">
        <v>10</v>
      </c>
      <c r="B13" s="298" t="s">
        <v>40</v>
      </c>
      <c r="C13" s="298" t="s">
        <v>41</v>
      </c>
      <c r="D13" s="298" t="s">
        <v>42</v>
      </c>
      <c r="E13" s="298" t="s">
        <v>43</v>
      </c>
      <c r="F13" s="298" t="s">
        <v>59</v>
      </c>
      <c r="G13" s="298" t="s">
        <v>60</v>
      </c>
      <c r="H13" s="299" t="s">
        <v>40</v>
      </c>
      <c r="I13" s="299" t="s">
        <v>41</v>
      </c>
      <c r="J13" s="299" t="s">
        <v>42</v>
      </c>
      <c r="K13" s="299" t="s">
        <v>43</v>
      </c>
      <c r="L13" s="299" t="s">
        <v>59</v>
      </c>
      <c r="M13" s="299" t="s">
        <v>60</v>
      </c>
      <c r="N13" s="300" t="s">
        <v>40</v>
      </c>
      <c r="O13" s="300" t="s">
        <v>41</v>
      </c>
      <c r="P13" s="300" t="s">
        <v>42</v>
      </c>
      <c r="Q13" s="300" t="s">
        <v>43</v>
      </c>
      <c r="R13" s="300" t="s">
        <v>59</v>
      </c>
      <c r="S13" s="300" t="s">
        <v>60</v>
      </c>
      <c r="T13" s="301" t="s">
        <v>40</v>
      </c>
      <c r="U13" s="301" t="s">
        <v>46</v>
      </c>
      <c r="V13" s="301" t="s">
        <v>47</v>
      </c>
      <c r="W13" s="301" t="s">
        <v>48</v>
      </c>
      <c r="X13" s="301" t="s">
        <v>61</v>
      </c>
      <c r="Y13" s="301" t="s">
        <v>49</v>
      </c>
      <c r="Z13" s="301" t="s">
        <v>62</v>
      </c>
      <c r="AA13" s="302" t="s">
        <v>11</v>
      </c>
      <c r="AB13" s="302" t="s">
        <v>12</v>
      </c>
      <c r="AC13" s="24" t="s">
        <v>13</v>
      </c>
      <c r="AD13" s="24" t="s">
        <v>14</v>
      </c>
      <c r="AE13" s="24" t="s">
        <v>15</v>
      </c>
      <c r="AF13" s="24" t="s">
        <v>16</v>
      </c>
      <c r="AG13" s="24" t="s">
        <v>17</v>
      </c>
      <c r="AH13" s="24" t="s">
        <v>18</v>
      </c>
      <c r="AI13" s="24" t="s">
        <v>19</v>
      </c>
      <c r="AJ13" s="24" t="s">
        <v>20</v>
      </c>
      <c r="AK13" s="24" t="s">
        <v>21</v>
      </c>
      <c r="AL13" s="24" t="s">
        <v>22</v>
      </c>
      <c r="AM13" s="24" t="s">
        <v>23</v>
      </c>
      <c r="AN13" s="24" t="s">
        <v>24</v>
      </c>
      <c r="AO13" s="24" t="s">
        <v>25</v>
      </c>
      <c r="AP13" s="24" t="s">
        <v>26</v>
      </c>
      <c r="AQ13" s="24" t="s">
        <v>27</v>
      </c>
      <c r="AR13" s="24" t="s">
        <v>28</v>
      </c>
      <c r="AS13" s="24" t="s">
        <v>133</v>
      </c>
      <c r="AT13" s="24" t="s">
        <v>31</v>
      </c>
      <c r="AU13" s="24" t="s">
        <v>29</v>
      </c>
      <c r="AV13" s="24" t="s">
        <v>30</v>
      </c>
      <c r="AW13" s="24" t="s">
        <v>107</v>
      </c>
      <c r="AX13" s="24" t="s">
        <v>108</v>
      </c>
      <c r="AY13" s="24" t="s">
        <v>11</v>
      </c>
      <c r="AZ13" s="24" t="s">
        <v>109</v>
      </c>
      <c r="BA13" s="24" t="s">
        <v>110</v>
      </c>
      <c r="BB13" s="24" t="s">
        <v>111</v>
      </c>
      <c r="BC13" s="24" t="s">
        <v>112</v>
      </c>
      <c r="BD13" s="24" t="s">
        <v>115</v>
      </c>
      <c r="BE13" s="24" t="s">
        <v>116</v>
      </c>
      <c r="BF13" s="24" t="s">
        <v>113</v>
      </c>
      <c r="BG13" s="24" t="s">
        <v>117</v>
      </c>
      <c r="BH13" s="24" t="s">
        <v>118</v>
      </c>
      <c r="BI13" s="24" t="s">
        <v>114</v>
      </c>
      <c r="BJ13" s="24" t="s">
        <v>119</v>
      </c>
      <c r="BK13" s="24" t="s">
        <v>128</v>
      </c>
      <c r="BL13" s="24" t="s">
        <v>129</v>
      </c>
      <c r="BM13" s="24" t="s">
        <v>130</v>
      </c>
      <c r="BN13" s="24" t="s">
        <v>127</v>
      </c>
      <c r="BO13" s="24" t="s">
        <v>135</v>
      </c>
      <c r="BP13" s="24" t="s">
        <v>136</v>
      </c>
      <c r="BQ13" s="24" t="s">
        <v>131</v>
      </c>
      <c r="BR13" s="24" t="s">
        <v>126</v>
      </c>
      <c r="BS13" s="24" t="s">
        <v>134</v>
      </c>
      <c r="BT13" s="24" t="s">
        <v>162</v>
      </c>
      <c r="BU13" s="24" t="s">
        <v>163</v>
      </c>
      <c r="BV13" s="24" t="s">
        <v>195</v>
      </c>
      <c r="BW13" s="297" t="s">
        <v>197</v>
      </c>
      <c r="BX13" s="297" t="s">
        <v>198</v>
      </c>
      <c r="BY13" s="297" t="s">
        <v>199</v>
      </c>
      <c r="BZ13" s="24" t="s">
        <v>196</v>
      </c>
      <c r="CA13" s="303" t="s">
        <v>507</v>
      </c>
      <c r="CB13" s="304" t="s">
        <v>508</v>
      </c>
      <c r="CC13" s="24" t="s">
        <v>509</v>
      </c>
      <c r="CD13" s="300" t="s">
        <v>673</v>
      </c>
      <c r="CE13" s="300" t="s">
        <v>674</v>
      </c>
      <c r="CF13" s="24" t="s">
        <v>687</v>
      </c>
      <c r="CG13" s="24" t="s">
        <v>688</v>
      </c>
      <c r="CH13" s="24" t="s">
        <v>689</v>
      </c>
      <c r="CI13" s="24" t="s">
        <v>690</v>
      </c>
      <c r="CJ13" s="24" t="s">
        <v>691</v>
      </c>
      <c r="CK13" s="24" t="s">
        <v>692</v>
      </c>
      <c r="CL13" s="24" t="s">
        <v>693</v>
      </c>
      <c r="CM13" s="24" t="s">
        <v>694</v>
      </c>
      <c r="CN13" s="24" t="s">
        <v>695</v>
      </c>
      <c r="CO13" s="24" t="s">
        <v>696</v>
      </c>
      <c r="CP13" s="24" t="s">
        <v>697</v>
      </c>
      <c r="CQ13" s="24" t="s">
        <v>698</v>
      </c>
      <c r="CR13" s="24" t="s">
        <v>821</v>
      </c>
      <c r="CS13" s="24" t="s">
        <v>881</v>
      </c>
      <c r="CT13" s="24" t="s">
        <v>933</v>
      </c>
      <c r="CU13" s="24" t="s">
        <v>934</v>
      </c>
      <c r="CV13" s="24" t="s">
        <v>954</v>
      </c>
      <c r="CW13" s="24" t="s">
        <v>1152</v>
      </c>
      <c r="CX13" s="24" t="s">
        <v>1153</v>
      </c>
      <c r="CY13" s="24" t="s">
        <v>1154</v>
      </c>
      <c r="CZ13" s="24" t="s">
        <v>1155</v>
      </c>
      <c r="DA13" s="24" t="s">
        <v>1156</v>
      </c>
      <c r="DB13" s="24" t="s">
        <v>1157</v>
      </c>
      <c r="DC13" s="24" t="s">
        <v>1158</v>
      </c>
      <c r="DD13" s="24" t="s">
        <v>1159</v>
      </c>
      <c r="DE13" s="24" t="s">
        <v>1196</v>
      </c>
      <c r="DF13" s="24" t="s">
        <v>1210</v>
      </c>
      <c r="DG13" s="24" t="s">
        <v>1309</v>
      </c>
      <c r="DH13" s="24" t="s">
        <v>1367</v>
      </c>
      <c r="DI13" s="24" t="s">
        <v>1593</v>
      </c>
      <c r="DJ13" s="24" t="s">
        <v>1544</v>
      </c>
      <c r="DK13" s="24" t="s">
        <v>1580</v>
      </c>
      <c r="DL13" s="24" t="s">
        <v>1598</v>
      </c>
      <c r="DM13" s="24" t="s">
        <v>1599</v>
      </c>
    </row>
    <row r="14" spans="1:117">
      <c r="A14" s="560" t="s">
        <v>498</v>
      </c>
      <c r="B14" s="24" t="e">
        <f t="shared" ref="B14:M24" si="18">B$3</f>
        <v>#N/A</v>
      </c>
      <c r="C14" s="24" t="e">
        <f t="shared" si="18"/>
        <v>#N/A</v>
      </c>
      <c r="D14" s="24" t="e">
        <f t="shared" si="18"/>
        <v>#N/A</v>
      </c>
      <c r="E14" s="24" t="e">
        <f t="shared" si="18"/>
        <v>#N/A</v>
      </c>
      <c r="F14" s="24" t="str">
        <f t="shared" si="18"/>
        <v>未記入</v>
      </c>
      <c r="G14" s="24" t="e">
        <f t="shared" si="18"/>
        <v>#N/A</v>
      </c>
      <c r="H14" s="24" t="e">
        <f t="shared" si="18"/>
        <v>#N/A</v>
      </c>
      <c r="I14" s="24" t="e">
        <f t="shared" si="18"/>
        <v>#N/A</v>
      </c>
      <c r="J14" s="24" t="e">
        <f t="shared" si="18"/>
        <v>#N/A</v>
      </c>
      <c r="K14" s="24" t="e">
        <f t="shared" si="18"/>
        <v>#N/A</v>
      </c>
      <c r="L14" s="24" t="str">
        <f t="shared" si="18"/>
        <v>未記入</v>
      </c>
      <c r="M14" s="24" t="e">
        <f t="shared" si="18"/>
        <v>#N/A</v>
      </c>
      <c r="N14" s="24" t="s">
        <v>380</v>
      </c>
      <c r="O14" s="24" t="s">
        <v>380</v>
      </c>
      <c r="P14" s="24" t="s">
        <v>380</v>
      </c>
      <c r="Q14" s="24" t="s">
        <v>380</v>
      </c>
      <c r="R14" s="24" t="s">
        <v>380</v>
      </c>
      <c r="S14" s="24" t="s">
        <v>380</v>
      </c>
      <c r="T14" s="24" t="e">
        <f t="shared" ref="T14:AB24" si="19">T$3</f>
        <v>#N/A</v>
      </c>
      <c r="U14" s="24" t="e">
        <f t="shared" si="19"/>
        <v>#N/A</v>
      </c>
      <c r="V14" s="24" t="e">
        <f t="shared" si="19"/>
        <v>#N/A</v>
      </c>
      <c r="W14" s="24" t="e">
        <f t="shared" si="19"/>
        <v>#N/A</v>
      </c>
      <c r="X14" s="24" t="str">
        <f t="shared" si="19"/>
        <v>未記入</v>
      </c>
      <c r="Y14" s="24" t="e">
        <f t="shared" si="19"/>
        <v>#N/A</v>
      </c>
      <c r="Z14" s="24" t="e">
        <f t="shared" si="19"/>
        <v>#N/A</v>
      </c>
      <c r="AA14" s="24" t="e">
        <f t="shared" si="19"/>
        <v>#N/A</v>
      </c>
      <c r="AB14" s="24" t="e">
        <f t="shared" si="19"/>
        <v>#N/A</v>
      </c>
      <c r="AC14" s="24" t="str">
        <f>IF(OR(入力フォームDA_Cloud!J87=中間データ共通・DACloud!N4,入力フォームDA_Cloud!J87=""),"i-FILTER @Cloud","i-FILTER @Cloud "&amp;入力フォームDA_Cloud!J87)</f>
        <v>i-FILTER @Cloud</v>
      </c>
      <c r="AD14" s="305"/>
      <c r="AE14" s="307">
        <f>入力フォームDA_Cloud!BA87</f>
        <v>0</v>
      </c>
      <c r="AF14" s="24" t="str">
        <f>IF(OR(入力フォームDA_Cloud!AD87="",AND(入力フォームDA_Cloud!AD87="新規",入力フォームDA_Cloud!BO87="無")),"-01",IF(OR(AND(入力フォームDA_Cloud!AD87="新規",入力フォームDA_Cloud!BO87="有"),AND(入力フォームDA_Cloud!AD87&lt;&gt;"",入力フォームDA_Cloud!AD87&lt;&gt;"新規")),入力フォームDA_Cloud!BZ87,""))</f>
        <v>-01</v>
      </c>
      <c r="AG14" s="24" t="str">
        <f>IF(入力フォームDA_Cloud!DG87=0,"",入力フォームDA_Cloud!DG87)</f>
        <v/>
      </c>
      <c r="AH14" s="229" t="str">
        <f>TEXT(IF(入力フォームDA_Cloud!N90*入力フォームDA_Cloud!U90=0,"",(入力フォームDA_Cloud!N90+2000)&amp;"/"&amp;入力フォームDA_Cloud!U90&amp;"/"&amp;入力フォームDA_Cloud!AB90),"yyyy/mm/dd")</f>
        <v/>
      </c>
      <c r="AI14" s="24" t="str">
        <f>IF(入力フォームDA_Cloud!N90*入力フォームDA_Cloud!U90=0,"",TEXT(DATEVALUE(入力フォームDA_Cloud!N90+2000+VALUE(LEFT(入力フォームDA_Cloud!DG87))&amp;"/"&amp;入力フォームDA_Cloud!U90&amp;"/"&amp;入力フォームDA_Cloud!AB90)-1,"yyyy/mm/dd"))</f>
        <v/>
      </c>
      <c r="AJ14" s="24" t="str">
        <f>IF(AND(入力フォームDA_Cloud!BP90&lt;&gt;"",入力フォームDA_Cloud!BP90&lt;&gt;中間データ共通・DACloud!M4),"i-FILTER @Cloud "&amp;入力フォームDA_Cloud!BP90,"")</f>
        <v/>
      </c>
      <c r="AK14" s="24" t="str">
        <f>IF(入力フォームDA_Cloud!CJ90="有","i-FILTER @Cloud "&amp;入力フォームDA_Cloud!CB90,"")</f>
        <v/>
      </c>
      <c r="AL14" s="24" t="str">
        <f>IF(入力フォームDA_Cloud!CU90="有","i-FILTER @Cloud "&amp;入力フォームDA_Cloud!CM90,"")</f>
        <v/>
      </c>
      <c r="AM14" s="24" t="str">
        <f>IF(入力フォームDA_Cloud!DJ90="有","i-FILTER @Cloud Anti-Virus &amp; Sandbox","")</f>
        <v/>
      </c>
      <c r="AN14" s="24" t="e">
        <f t="shared" ref="AN14:AT24" si="20">AN$3</f>
        <v>#N/A</v>
      </c>
      <c r="AO14" s="24" t="e">
        <f t="shared" si="20"/>
        <v>#N/A</v>
      </c>
      <c r="AP14" s="24" t="e">
        <f t="shared" si="20"/>
        <v>#N/A</v>
      </c>
      <c r="AQ14" s="24" t="e">
        <f t="shared" si="20"/>
        <v>#N/A</v>
      </c>
      <c r="AR14" s="24" t="e">
        <f t="shared" si="20"/>
        <v>#N/A</v>
      </c>
      <c r="AS14" s="24" t="e">
        <f t="shared" si="20"/>
        <v>#N/A</v>
      </c>
      <c r="AT14" s="24" t="e">
        <f t="shared" si="20"/>
        <v>#N/A</v>
      </c>
      <c r="AU14" s="24" t="str">
        <f>LEFT(入力フォームDA_Cloud!AD87,2)</f>
        <v/>
      </c>
      <c r="AV14" s="24" t="str">
        <f>IF(ISERROR(VALUE(LEFT(入力フォームDA_Cloud!DG87))*12),"",VALUE(LEFT(入力フォームDA_Cloud!DG87))*12)</f>
        <v/>
      </c>
      <c r="BC14" s="24" t="e">
        <f t="shared" ref="BC14:BC24" si="21">BC$3</f>
        <v>#N/A</v>
      </c>
      <c r="BE14" s="402"/>
      <c r="BF14" s="402"/>
      <c r="BH14" s="25" t="s">
        <v>132</v>
      </c>
      <c r="BL14" s="24" t="e">
        <f t="shared" ref="BL14:BM24" si="22">BL$3</f>
        <v>#N/A</v>
      </c>
      <c r="BM14" s="24" t="e">
        <f t="shared" si="22"/>
        <v>#N/A</v>
      </c>
      <c r="BN14" s="24" t="str">
        <f>IF(入力フォームDA_Cloud!BU93="有","Dアラート発信レポートサービス","")</f>
        <v/>
      </c>
      <c r="BQ14" s="24" t="str">
        <f>IF(入力フォームDA_Cloud!CJ93="有","i-FILTER @Cloud Splunk連携","")</f>
        <v/>
      </c>
      <c r="BR14" s="24" t="str">
        <f>IF(AND(入力フォームDA_Cloud!DE99="了承しました",入力フォームDA_Cloud!N99="有"),"専有IPアドレス","")</f>
        <v/>
      </c>
      <c r="BT14" s="24" t="str">
        <f>IF(OR(入力フォームDA_Cloud!N96="無",入力フォームDA_Cloud!N96=""),"","f-FILTER連携")</f>
        <v/>
      </c>
      <c r="BW14" t="str">
        <f>IF(入力フォームDA_Cloud!M71="有","",IF(入力フォームDA_Cloud!M71="無",IF(OR(入力フォームDA_Cloud!BO87="有",入力フォームDA_Cloud!BR113="有",入力フォームDA_Cloud!CC131="有",入力フォームDA_Cloud!J152="有",),"",IF(入力フォームDA_Cloud!M74="","",入力フォームDA_Cloud!M74)),""))</f>
        <v/>
      </c>
      <c r="BX14" s="338" t="b">
        <f>IF(COUNTIF(入力フォームDA_Cloud!J87,"*対策*")=0,TRUE(),FALSE())</f>
        <v>1</v>
      </c>
      <c r="BY14" s="309"/>
      <c r="BZ14" s="310"/>
      <c r="CA14" s="311"/>
      <c r="CB14" s="24" t="str">
        <f>IF(入力フォームDA_Cloud!M71="無","",IF(入力フォームDA_Cloud!M71="有",IF(入力フォームDA_Cloud!M77="","",入力フォームDA_Cloud!M77),""))</f>
        <v/>
      </c>
      <c r="CD14" s="300" t="e">
        <f t="shared" ref="CD14:CD24" si="23">CD$3</f>
        <v>#N/A</v>
      </c>
      <c r="CE14" s="300" t="str">
        <f>IFERROR(VLOOKUP("i‐FILTER@Cloud",お客様情報!$T$13:$U$17,2,FALSE),"")</f>
        <v/>
      </c>
      <c r="CF14" s="24" t="s">
        <v>999</v>
      </c>
      <c r="CG14" s="24" t="e">
        <f t="shared" ref="CG14:CK24" si="24">CG$3</f>
        <v>#N/A</v>
      </c>
      <c r="CH14" s="24" t="e">
        <f t="shared" si="24"/>
        <v>#N/A</v>
      </c>
      <c r="CI14" s="24" t="e">
        <f t="shared" si="24"/>
        <v>#N/A</v>
      </c>
      <c r="CJ14" s="24" t="e">
        <f t="shared" si="24"/>
        <v>#N/A</v>
      </c>
      <c r="CK14" s="24" t="e">
        <f t="shared" si="24"/>
        <v>#N/A</v>
      </c>
      <c r="CL14" s="24" t="s">
        <v>999</v>
      </c>
      <c r="CM14" s="24" t="e">
        <f t="shared" ref="CM14:CQ24" si="25">CM$3</f>
        <v>#N/A</v>
      </c>
      <c r="CN14" s="24" t="e">
        <f t="shared" si="25"/>
        <v>#N/A</v>
      </c>
      <c r="CO14" s="24" t="e">
        <f t="shared" si="25"/>
        <v>#N/A</v>
      </c>
      <c r="CP14" s="24" t="e">
        <f t="shared" si="25"/>
        <v>#N/A</v>
      </c>
      <c r="CQ14" s="24" t="e">
        <f t="shared" si="25"/>
        <v>#N/A</v>
      </c>
      <c r="CR14" s="24" t="str">
        <f>IF(入力フォームDA_Cloud!P102="有","子ども見守り","")</f>
        <v/>
      </c>
      <c r="CS14" s="24" t="str">
        <f>IF(入力フォームDA_Cloud!Z102="有","TRUE","FALSE")</f>
        <v>FALSE</v>
      </c>
      <c r="CT14" s="305"/>
      <c r="CU14" s="305"/>
      <c r="CV14" s="24">
        <v>1</v>
      </c>
      <c r="CW14" s="24" t="str">
        <f>IF(入力フォームDA_Cloud!V105="","",入力フォームDA_Cloud!V105)</f>
        <v/>
      </c>
      <c r="CX14" s="24" t="str">
        <f>IF(入力フォームDA_Cloud!J105="端末数",1,IF(入力フォームDA_Cloud!J105="ユーザー数",2,""))</f>
        <v/>
      </c>
      <c r="CY14" s="307" t="str">
        <f>IF(ISBLANK(入力フォームDA_Cloud!BA102),"",入力フォームDA_Cloud!BA102)</f>
        <v/>
      </c>
      <c r="CZ14" s="307" t="str">
        <f>IF(ISBLANK(入力フォームDA_Cloud!BT102),"",入力フォームDA_Cloud!BT102)</f>
        <v/>
      </c>
      <c r="DA14" s="307" t="str">
        <f>IF(ISBLANK(入力フォームDA_Cloud!CM102),"",入力フォームDA_Cloud!CM102)</f>
        <v/>
      </c>
      <c r="DB14" s="307" t="str">
        <f>IF(ISBLANK(入力フォームDA_Cloud!BA105),"",入力フォームDA_Cloud!BA105)</f>
        <v/>
      </c>
      <c r="DC14" s="307" t="str">
        <f>IF(ISBLANK(入力フォームDA_Cloud!BT105),"",入力フォームDA_Cloud!BT105)</f>
        <v/>
      </c>
      <c r="DD14" s="307" t="str">
        <f>IF(ISBLANK(入力フォームDA_Cloud!CM105),"",入力フォームDA_Cloud!CM105)</f>
        <v/>
      </c>
      <c r="DI14" s="296"/>
      <c r="DK14" s="296"/>
      <c r="DL14" s="296"/>
      <c r="DM14" s="296"/>
    </row>
    <row r="15" spans="1:117" ht="11">
      <c r="A15" s="224" t="s">
        <v>499</v>
      </c>
      <c r="B15" s="24" t="e">
        <f t="shared" si="18"/>
        <v>#N/A</v>
      </c>
      <c r="C15" s="24" t="e">
        <f t="shared" si="18"/>
        <v>#N/A</v>
      </c>
      <c r="D15" s="24" t="e">
        <f t="shared" si="18"/>
        <v>#N/A</v>
      </c>
      <c r="E15" s="24" t="e">
        <f t="shared" si="18"/>
        <v>#N/A</v>
      </c>
      <c r="F15" s="24" t="str">
        <f t="shared" si="18"/>
        <v>未記入</v>
      </c>
      <c r="G15" s="24" t="e">
        <f t="shared" si="18"/>
        <v>#N/A</v>
      </c>
      <c r="H15" s="24" t="e">
        <f t="shared" si="18"/>
        <v>#N/A</v>
      </c>
      <c r="I15" s="24" t="e">
        <f t="shared" si="18"/>
        <v>#N/A</v>
      </c>
      <c r="J15" s="24" t="e">
        <f t="shared" si="18"/>
        <v>#N/A</v>
      </c>
      <c r="K15" s="24" t="e">
        <f t="shared" si="18"/>
        <v>#N/A</v>
      </c>
      <c r="L15" s="24" t="str">
        <f t="shared" si="18"/>
        <v>未記入</v>
      </c>
      <c r="M15" s="24" t="e">
        <f t="shared" si="18"/>
        <v>#N/A</v>
      </c>
      <c r="N15" s="24" t="str">
        <f t="shared" ref="N15:S16" si="26">N14</f>
        <v>未記入</v>
      </c>
      <c r="O15" s="24" t="str">
        <f t="shared" si="26"/>
        <v>未記入</v>
      </c>
      <c r="P15" s="24" t="str">
        <f t="shared" si="26"/>
        <v>未記入</v>
      </c>
      <c r="Q15" s="24" t="str">
        <f t="shared" si="26"/>
        <v>未記入</v>
      </c>
      <c r="R15" s="24" t="str">
        <f t="shared" si="26"/>
        <v>未記入</v>
      </c>
      <c r="S15" s="24" t="str">
        <f t="shared" si="26"/>
        <v>未記入</v>
      </c>
      <c r="T15" s="24" t="e">
        <f t="shared" si="19"/>
        <v>#N/A</v>
      </c>
      <c r="U15" s="24" t="e">
        <f t="shared" si="19"/>
        <v>#N/A</v>
      </c>
      <c r="V15" s="24" t="e">
        <f t="shared" si="19"/>
        <v>#N/A</v>
      </c>
      <c r="W15" s="24" t="e">
        <f t="shared" si="19"/>
        <v>#N/A</v>
      </c>
      <c r="X15" s="24" t="str">
        <f t="shared" si="19"/>
        <v>未記入</v>
      </c>
      <c r="Y15" s="24" t="e">
        <f t="shared" si="19"/>
        <v>#N/A</v>
      </c>
      <c r="Z15" s="24" t="e">
        <f t="shared" si="19"/>
        <v>#N/A</v>
      </c>
      <c r="AA15" s="24" t="e">
        <f t="shared" si="19"/>
        <v>#N/A</v>
      </c>
      <c r="AB15" s="24" t="e">
        <f t="shared" si="19"/>
        <v>#N/A</v>
      </c>
      <c r="AC15" s="24" t="str">
        <f>中間データ共通・DACloud!S20</f>
        <v xml:space="preserve">m-FILTER @Cloud </v>
      </c>
      <c r="AD15" s="305"/>
      <c r="AE15" s="307">
        <f>入力フォームDA_Cloud!BF113</f>
        <v>0</v>
      </c>
      <c r="AF15" s="24" t="str">
        <f>IF(OR(入力フォームDA_Cloud!AA113="",AND(入力フォームDA_Cloud!AA113="新規",入力フォームDA_Cloud!BR113="無")),"-01",IF(OR(AND(入力フォームDA_Cloud!AA113="新規",入力フォームDA_Cloud!BR113="有"),AND(入力フォームDA_Cloud!AA113&lt;&gt;"",入力フォームDA_Cloud!AA113&lt;&gt;"新規")),入力フォームDA_Cloud!CC113,""))</f>
        <v>-01</v>
      </c>
      <c r="AG15" s="24" t="str">
        <f>IF(入力フォームDA_Cloud!DH113=0,"",入力フォームDA_Cloud!DH113)</f>
        <v/>
      </c>
      <c r="AH15" s="229" t="str">
        <f>TEXT(IF(入力フォームDA_Cloud!N116*入力フォームDA_Cloud!U116=0,"",(入力フォームDA_Cloud!N116+2000)&amp;"/"&amp;入力フォームDA_Cloud!U116&amp;"/"&amp;入力フォームDA_Cloud!AB116),"yyyy/mm/dd")</f>
        <v/>
      </c>
      <c r="AI15" s="24" t="str">
        <f>IF(入力フォームDA_Cloud!N116*入力フォームDA_Cloud!U116=0,"",TEXT(DATEVALUE(入力フォームDA_Cloud!N116+2000+VALUE(LEFT(入力フォームDA_Cloud!DH113))&amp;"/"&amp;入力フォームDA_Cloud!U116&amp;"/"&amp;入力フォームDA_Cloud!AB116)-1,"yyyy/mm/dd"))</f>
        <v/>
      </c>
      <c r="AJ15" s="24" t="str">
        <f>IF(AND(入力フォームDA_Cloud!BR116&lt;&gt;"",入力フォームDA_Cloud!BR116&lt;&gt;中間データ共通・DACloud!S4,入力フォームDA_Cloud!H113&lt;&gt;中間データ共通・DACloud!V5),"m-FILTER @Cloud "&amp;入力フォームDA_Cloud!BR116,"")</f>
        <v/>
      </c>
      <c r="AK15" s="24" t="str">
        <f>IF(LEFT(入力フォームDA_Cloud!I119,1)="有","暗号化強固オプション","")</f>
        <v/>
      </c>
      <c r="AL15" s="24" t="str">
        <f>IF(入力フォームDA_Cloud!CM116="有","m-FILTER @Cloud Anti-Virus &amp; Sandbox","")</f>
        <v/>
      </c>
      <c r="AM15" s="24" t="str">
        <f>IF(入力フォームDA_Cloud!BT122="有","Dアラート Quick-IR","")</f>
        <v/>
      </c>
      <c r="AN15" s="24" t="e">
        <f t="shared" si="20"/>
        <v>#N/A</v>
      </c>
      <c r="AO15" s="24" t="e">
        <f t="shared" si="20"/>
        <v>#N/A</v>
      </c>
      <c r="AP15" s="24" t="e">
        <f t="shared" si="20"/>
        <v>#N/A</v>
      </c>
      <c r="AQ15" s="24" t="e">
        <f t="shared" si="20"/>
        <v>#N/A</v>
      </c>
      <c r="AR15" s="24" t="e">
        <f t="shared" si="20"/>
        <v>#N/A</v>
      </c>
      <c r="AS15" s="24" t="e">
        <f t="shared" si="20"/>
        <v>#N/A</v>
      </c>
      <c r="AT15" s="24" t="e">
        <f t="shared" si="20"/>
        <v>#N/A</v>
      </c>
      <c r="AU15" s="24" t="str">
        <f>LEFT(入力フォームDA_Cloud!AA113,2)</f>
        <v/>
      </c>
      <c r="AV15" s="24" t="str">
        <f>IF(ISERROR(VALUE(LEFT(入力フォームDA_Cloud!DH113))*12),"",VALUE(LEFT(入力フォームDA_Cloud!DH113))*12)</f>
        <v/>
      </c>
      <c r="BC15" s="24" t="e">
        <f t="shared" si="21"/>
        <v>#N/A</v>
      </c>
      <c r="BE15" s="402"/>
      <c r="BF15" s="402"/>
      <c r="BH15" s="25" t="s">
        <v>132</v>
      </c>
      <c r="BJ15" s="24" t="str">
        <f>IF(入力フォームDA_Cloud!I119="有/今回購入",入力フォームDA_Cloud!AT119,"")</f>
        <v/>
      </c>
      <c r="BL15" s="24" t="e">
        <f t="shared" si="22"/>
        <v>#N/A</v>
      </c>
      <c r="BM15" s="24" t="e">
        <f t="shared" si="22"/>
        <v>#N/A</v>
      </c>
      <c r="BN15" s="24" t="str">
        <f>IF(LEFT(入力フォームDA_Cloud!AK119,1)="有","CAD暗号機能","")</f>
        <v/>
      </c>
      <c r="BP15" s="24" t="str">
        <f>IF(入力フォームDA_Cloud!I119="有/契約中",入力フォームDA_Cloud!CB119,"")</f>
        <v/>
      </c>
      <c r="BQ15" s="24" t="str">
        <f>IF(入力フォームDA_Cloud!CY116="有","m-FILTER @Cloud Splunk連携","")</f>
        <v/>
      </c>
      <c r="BR15" s="24" t="str">
        <f>IF(入力フォームDA_Cloud!DJ116="有","m-FILTER @Cloud 脅威URLブロック","")</f>
        <v/>
      </c>
      <c r="BS15" s="24" t="str">
        <f>IF(ISBLANK(入力フォームDA_Cloud!AT122),"",入力フォームDA_Cloud!AT122)</f>
        <v/>
      </c>
      <c r="BT15" s="24" t="str">
        <f>IF(OR(入力フォームDA_Cloud!$M$122="無",入力フォームDA_Cloud!$M$122=""),"","m-FILTER @Cloud クリプト便連携")</f>
        <v/>
      </c>
      <c r="BU15" s="24" t="str">
        <f>中間データ共通・DACloud!T8</f>
        <v/>
      </c>
      <c r="BV15" s="24" t="str">
        <f>IF(入力フォームDA_Cloud!CZ119="有","Dアラート発信レポートサービス","")</f>
        <v/>
      </c>
      <c r="BW15" s="24" t="str">
        <f>BW14</f>
        <v/>
      </c>
      <c r="BX15" s="338" t="b">
        <f>IF(COUNTIF(入力フォームDA_Cloud!H113,"*対策*")=0,TRUE(),FALSE())</f>
        <v>1</v>
      </c>
      <c r="BY15" s="338" t="b">
        <v>1</v>
      </c>
      <c r="BZ15" s="310"/>
      <c r="CA15" s="311"/>
      <c r="CB15" s="24" t="str">
        <f>CB14</f>
        <v/>
      </c>
      <c r="CD15" s="300" t="e">
        <f t="shared" si="23"/>
        <v>#N/A</v>
      </c>
      <c r="CE15" s="300" t="str">
        <f>IFERROR(VLOOKUP("m-FILTER@Cloud",お客様情報!$T$13:$U$17,2,FALSE),"")</f>
        <v/>
      </c>
      <c r="CF15" s="24" t="s">
        <v>999</v>
      </c>
      <c r="CG15" s="24" t="e">
        <f t="shared" si="24"/>
        <v>#N/A</v>
      </c>
      <c r="CH15" s="24" t="e">
        <f t="shared" si="24"/>
        <v>#N/A</v>
      </c>
      <c r="CI15" s="24" t="e">
        <f t="shared" si="24"/>
        <v>#N/A</v>
      </c>
      <c r="CJ15" s="24" t="e">
        <f t="shared" si="24"/>
        <v>#N/A</v>
      </c>
      <c r="CK15" s="24" t="e">
        <f t="shared" si="24"/>
        <v>#N/A</v>
      </c>
      <c r="CL15" s="24" t="s">
        <v>999</v>
      </c>
      <c r="CM15" s="24" t="e">
        <f t="shared" si="25"/>
        <v>#N/A</v>
      </c>
      <c r="CN15" s="24" t="e">
        <f t="shared" si="25"/>
        <v>#N/A</v>
      </c>
      <c r="CO15" s="24" t="e">
        <f t="shared" si="25"/>
        <v>#N/A</v>
      </c>
      <c r="CP15" s="24" t="e">
        <f t="shared" si="25"/>
        <v>#N/A</v>
      </c>
      <c r="CQ15" s="24" t="e">
        <f t="shared" si="25"/>
        <v>#N/A</v>
      </c>
      <c r="CR15" s="305"/>
      <c r="CS15" s="305"/>
      <c r="CT15" s="305"/>
      <c r="CU15" s="305"/>
      <c r="CV15" s="24">
        <v>1</v>
      </c>
      <c r="CW15" s="296"/>
      <c r="CX15" s="296"/>
      <c r="CY15" s="296"/>
      <c r="CZ15" s="296"/>
      <c r="DA15" s="296"/>
      <c r="DB15" s="296"/>
      <c r="DC15" s="296"/>
      <c r="DD15" s="296"/>
      <c r="DE15" s="24" t="str">
        <f>IF(入力フォームDA_Cloud!M125="*有*","f-FILTER連携","")</f>
        <v/>
      </c>
      <c r="DF15" s="568" t="str">
        <f>IF(COUNTIF(入力フォームDA_Cloud!DJ119,"有"),"ファイル無害化OP","")</f>
        <v/>
      </c>
      <c r="DG15" s="296"/>
      <c r="DH15" s="296"/>
      <c r="DI15" s="296"/>
      <c r="DK15" s="296"/>
      <c r="DL15" s="296"/>
      <c r="DM15" s="296"/>
    </row>
    <row r="16" spans="1:117" ht="11">
      <c r="A16" s="225" t="s">
        <v>500</v>
      </c>
      <c r="B16" s="24" t="e">
        <f t="shared" si="18"/>
        <v>#N/A</v>
      </c>
      <c r="C16" s="24" t="e">
        <f t="shared" si="18"/>
        <v>#N/A</v>
      </c>
      <c r="D16" s="24" t="e">
        <f t="shared" si="18"/>
        <v>#N/A</v>
      </c>
      <c r="E16" s="24" t="e">
        <f t="shared" si="18"/>
        <v>#N/A</v>
      </c>
      <c r="F16" s="24" t="str">
        <f t="shared" si="18"/>
        <v>未記入</v>
      </c>
      <c r="G16" s="24" t="e">
        <f t="shared" si="18"/>
        <v>#N/A</v>
      </c>
      <c r="H16" s="24" t="e">
        <f t="shared" si="18"/>
        <v>#N/A</v>
      </c>
      <c r="I16" s="24" t="e">
        <f t="shared" si="18"/>
        <v>#N/A</v>
      </c>
      <c r="J16" s="24" t="e">
        <f t="shared" si="18"/>
        <v>#N/A</v>
      </c>
      <c r="K16" s="24" t="e">
        <f t="shared" si="18"/>
        <v>#N/A</v>
      </c>
      <c r="L16" s="24" t="str">
        <f t="shared" si="18"/>
        <v>未記入</v>
      </c>
      <c r="M16" s="24" t="e">
        <f t="shared" si="18"/>
        <v>#N/A</v>
      </c>
      <c r="N16" s="24" t="str">
        <f t="shared" si="26"/>
        <v>未記入</v>
      </c>
      <c r="O16" s="24" t="str">
        <f t="shared" si="26"/>
        <v>未記入</v>
      </c>
      <c r="P16" s="24" t="str">
        <f t="shared" si="26"/>
        <v>未記入</v>
      </c>
      <c r="Q16" s="24" t="str">
        <f t="shared" si="26"/>
        <v>未記入</v>
      </c>
      <c r="R16" s="24" t="str">
        <f t="shared" si="26"/>
        <v>未記入</v>
      </c>
      <c r="S16" s="24" t="str">
        <f t="shared" si="26"/>
        <v>未記入</v>
      </c>
      <c r="T16" s="24" t="e">
        <f t="shared" si="19"/>
        <v>#N/A</v>
      </c>
      <c r="U16" s="24" t="e">
        <f t="shared" si="19"/>
        <v>#N/A</v>
      </c>
      <c r="V16" s="24" t="e">
        <f t="shared" si="19"/>
        <v>#N/A</v>
      </c>
      <c r="W16" s="24" t="e">
        <f t="shared" si="19"/>
        <v>#N/A</v>
      </c>
      <c r="X16" s="24" t="str">
        <f t="shared" si="19"/>
        <v>未記入</v>
      </c>
      <c r="Y16" s="24" t="e">
        <f t="shared" si="19"/>
        <v>#N/A</v>
      </c>
      <c r="Z16" s="24" t="e">
        <f t="shared" si="19"/>
        <v>#N/A</v>
      </c>
      <c r="AA16" s="24" t="e">
        <f t="shared" si="19"/>
        <v>#N/A</v>
      </c>
      <c r="AB16" s="24" t="e">
        <f t="shared" si="19"/>
        <v>#N/A</v>
      </c>
      <c r="AC16" s="24" t="str">
        <f>IF(OR(入力フォームDA_Cloud!J131=中間データ共通・DACloud!Y4,入力フォームDA_Cloud!J131=""),"FinalCode @Cloud","FinalCode @Cloud ("&amp;中間データ共通・DACloud!Y5&amp;")")</f>
        <v>FinalCode @Cloud</v>
      </c>
      <c r="AD16" s="305"/>
      <c r="AE16" s="307">
        <f>入力フォームDA_Cloud!BO131</f>
        <v>0</v>
      </c>
      <c r="AF16" s="24" t="str">
        <f>IF(OR(入力フォームDA_Cloud!AD131="",AND(入力フォームDA_Cloud!AD131="新規",入力フォームDA_Cloud!CC131="無")),"-01",IF(OR(AND(入力フォームDA_Cloud!AD131="新規",入力フォームDA_Cloud!CC131="有"),AND(入力フォームDA_Cloud!AD131&lt;&gt;"",入力フォームDA_Cloud!AD131&lt;&gt;"新規")),入力フォームDA_Cloud!CN131,""))</f>
        <v>-01</v>
      </c>
      <c r="AG16" s="24" t="str">
        <f>IF(入力フォームDA_Cloud!J134=0,"",入力フォームDA_Cloud!J134)</f>
        <v/>
      </c>
      <c r="AH16" s="229" t="str">
        <f>TEXT(IF(入力フォームDA_Cloud!AB134*入力フォームDA_Cloud!AI134=0,"",(入力フォームDA_Cloud!AB134+2000)&amp;"/"&amp;入力フォームDA_Cloud!AI134&amp;"/"&amp;入力フォームDA_Cloud!AP134),"yyyy/mm/dd")</f>
        <v/>
      </c>
      <c r="AI16" s="24" t="str">
        <f>IF(入力フォームDA_Cloud!AB134*入力フォームDA_Cloud!AI134=0,"",TEXT(DATEVALUE(入力フォームDA_Cloud!AB134+2000+VALUE(LEFT(入力フォームDA_Cloud!J134))&amp;"/"&amp;入力フォームDA_Cloud!AI134&amp;"/"&amp;入力フォームDA_Cloud!AP134)-1,"yyyy/mm/dd"))</f>
        <v/>
      </c>
      <c r="AJ16" s="24" t="str">
        <f>IF(入力フォームDA_Cloud!AS137&lt;&gt;"","Box連携機能："&amp;入力フォームDA_Cloud!X137&amp;"L","")</f>
        <v/>
      </c>
      <c r="AK16" s="24" t="str">
        <f>IF(入力フォームDA_Cloud!AS137&lt;&gt;"","CADファイル暗号化・閲覧機能："&amp;入力フォームDA_Cloud!AS137&amp;"L","")</f>
        <v/>
      </c>
      <c r="AL16" s="24" t="str">
        <f>IF(入力フォームDA_Cloud!BE137="有","オフライン閲覧機能","")</f>
        <v/>
      </c>
      <c r="AM16" s="24" t="str">
        <f>IF(入力フォームDA_Cloud!BP137="有","API","")</f>
        <v/>
      </c>
      <c r="AN16" s="24" t="e">
        <f t="shared" si="20"/>
        <v>#N/A</v>
      </c>
      <c r="AO16" s="24" t="e">
        <f t="shared" si="20"/>
        <v>#N/A</v>
      </c>
      <c r="AP16" s="24" t="e">
        <f t="shared" si="20"/>
        <v>#N/A</v>
      </c>
      <c r="AQ16" s="24" t="e">
        <f t="shared" si="20"/>
        <v>#N/A</v>
      </c>
      <c r="AR16" s="24" t="e">
        <f t="shared" si="20"/>
        <v>#N/A</v>
      </c>
      <c r="AS16" s="24" t="e">
        <f t="shared" si="20"/>
        <v>#N/A</v>
      </c>
      <c r="AT16" s="24" t="e">
        <f t="shared" si="20"/>
        <v>#N/A</v>
      </c>
      <c r="AU16" s="24" t="str">
        <f>IF(入力フォームDA_Cloud!AD131="","",IF(入力フォームDA_Cloud!AD131="新規","新規",IF(COUNTIF(入力フォームDA_Cloud!AD131,"*更新*"),"更新","バージョンアップ")))</f>
        <v/>
      </c>
      <c r="AV16" s="24" t="str">
        <f>IF(ISERROR(VALUE(LEFT(入力フォームDA_Cloud!J134))*12),"",VALUE(LEFT(入力フォームDA_Cloud!J134))*12)</f>
        <v/>
      </c>
      <c r="BC16" s="24" t="e">
        <f t="shared" si="21"/>
        <v>#N/A</v>
      </c>
      <c r="BE16" s="402"/>
      <c r="BF16" s="402"/>
      <c r="BH16" s="25" t="s">
        <v>132</v>
      </c>
      <c r="BL16" s="24" t="e">
        <f t="shared" si="22"/>
        <v>#N/A</v>
      </c>
      <c r="BM16" s="24" t="e">
        <f t="shared" si="22"/>
        <v>#N/A</v>
      </c>
      <c r="BN16" s="24" t="str">
        <f>IF(入力フォームDA_Cloud!DE137="有","FCLチェックツール","")</f>
        <v/>
      </c>
      <c r="BW16" s="24" t="str">
        <f>BW14</f>
        <v/>
      </c>
      <c r="BX16" s="309"/>
      <c r="BY16" s="338" t="b">
        <f>BY15</f>
        <v>1</v>
      </c>
      <c r="BZ16" s="309"/>
      <c r="CA16" s="311"/>
      <c r="CB16" s="24" t="str">
        <f>CB15</f>
        <v/>
      </c>
      <c r="CD16" s="300" t="e">
        <f t="shared" si="23"/>
        <v>#N/A</v>
      </c>
      <c r="CE16" s="300" t="str">
        <f>IFERROR(VLOOKUP("FinalCode@Cloud",お客様情報!$T$13:$U$17,2,FALSE),"")</f>
        <v/>
      </c>
      <c r="CF16" s="24" t="s">
        <v>999</v>
      </c>
      <c r="CG16" s="24" t="e">
        <f t="shared" si="24"/>
        <v>#N/A</v>
      </c>
      <c r="CH16" s="24" t="e">
        <f t="shared" si="24"/>
        <v>#N/A</v>
      </c>
      <c r="CI16" s="24" t="e">
        <f t="shared" si="24"/>
        <v>#N/A</v>
      </c>
      <c r="CJ16" s="24" t="e">
        <f t="shared" si="24"/>
        <v>#N/A</v>
      </c>
      <c r="CK16" s="24" t="e">
        <f t="shared" si="24"/>
        <v>#N/A</v>
      </c>
      <c r="CL16" s="24" t="s">
        <v>999</v>
      </c>
      <c r="CM16" s="24" t="e">
        <f t="shared" si="25"/>
        <v>#N/A</v>
      </c>
      <c r="CN16" s="24" t="e">
        <f t="shared" si="25"/>
        <v>#N/A</v>
      </c>
      <c r="CO16" s="24" t="e">
        <f t="shared" si="25"/>
        <v>#N/A</v>
      </c>
      <c r="CP16" s="24" t="e">
        <f t="shared" si="25"/>
        <v>#N/A</v>
      </c>
      <c r="CQ16" s="24" t="e">
        <f t="shared" si="25"/>
        <v>#N/A</v>
      </c>
      <c r="CR16" s="305"/>
      <c r="CS16" s="305"/>
      <c r="CT16" s="305"/>
      <c r="CU16" s="305"/>
      <c r="CV16" s="305"/>
      <c r="CW16" s="296"/>
      <c r="CX16" s="296"/>
      <c r="CY16" s="296"/>
      <c r="CZ16" s="296"/>
      <c r="DA16" s="296"/>
      <c r="DB16" s="296"/>
      <c r="DC16" s="296"/>
      <c r="DD16" s="296"/>
      <c r="DE16" s="296"/>
      <c r="DF16" s="296"/>
      <c r="DG16" s="296"/>
      <c r="DH16" s="296"/>
      <c r="DI16" s="296"/>
      <c r="DJ16" s="296"/>
      <c r="DK16" s="296"/>
      <c r="DL16" s="296"/>
      <c r="DM16" s="296"/>
    </row>
    <row r="17" spans="1:117" ht="11">
      <c r="A17" s="401"/>
      <c r="AD17" s="305"/>
      <c r="AE17" s="307"/>
      <c r="AH17" s="229"/>
      <c r="BE17" s="402"/>
      <c r="BF17" s="402"/>
      <c r="BH17" s="25"/>
      <c r="BW17" s="24"/>
      <c r="BX17" s="309"/>
      <c r="BY17" s="338"/>
      <c r="BZ17" s="309"/>
      <c r="CA17" s="311"/>
      <c r="CD17" s="300"/>
      <c r="CE17" s="300"/>
      <c r="CR17" s="305"/>
      <c r="CS17" s="305"/>
      <c r="CT17" s="305"/>
      <c r="CU17" s="305"/>
      <c r="CV17" s="305"/>
      <c r="CW17" s="296"/>
      <c r="CX17" s="296"/>
      <c r="CY17" s="296"/>
      <c r="CZ17" s="296"/>
      <c r="DA17" s="296"/>
      <c r="DB17" s="296"/>
      <c r="DC17" s="296"/>
      <c r="DD17" s="296"/>
      <c r="DE17" s="296"/>
      <c r="DF17" s="296"/>
      <c r="DG17" s="296"/>
      <c r="DH17" s="296"/>
      <c r="DI17" s="296"/>
      <c r="DJ17" s="296"/>
      <c r="DK17" s="296"/>
      <c r="DL17" s="296"/>
      <c r="DM17" s="296"/>
    </row>
    <row r="18" spans="1:117" ht="11">
      <c r="A18" s="317" t="s">
        <v>1014</v>
      </c>
      <c r="B18" s="317" t="s">
        <v>39</v>
      </c>
      <c r="C18" s="317"/>
      <c r="D18" s="317"/>
      <c r="E18" s="317"/>
      <c r="F18" s="317"/>
      <c r="G18" s="317"/>
      <c r="H18" s="317" t="s">
        <v>44</v>
      </c>
      <c r="I18" s="317"/>
      <c r="J18" s="317"/>
      <c r="K18" s="317"/>
      <c r="L18" s="317"/>
      <c r="M18" s="317"/>
      <c r="N18" s="317" t="s">
        <v>124</v>
      </c>
      <c r="O18" s="317"/>
      <c r="P18" s="317"/>
      <c r="Q18" s="317"/>
      <c r="R18" s="317"/>
      <c r="S18" s="317"/>
      <c r="T18" s="317" t="s">
        <v>45</v>
      </c>
      <c r="U18" s="317"/>
      <c r="V18" s="317"/>
      <c r="W18" s="317"/>
      <c r="X18" s="317"/>
      <c r="Y18" s="317"/>
      <c r="Z18" s="317"/>
      <c r="AA18" s="317" t="s">
        <v>57</v>
      </c>
      <c r="AB18" s="317"/>
      <c r="AC18" s="317"/>
      <c r="AD18" s="317"/>
      <c r="AE18" s="317"/>
      <c r="AF18" s="317"/>
      <c r="AG18" s="317"/>
      <c r="AH18" s="318"/>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row>
    <row r="19" spans="1:117" ht="11">
      <c r="A19" s="306" t="s">
        <v>10</v>
      </c>
      <c r="B19" s="298" t="s">
        <v>40</v>
      </c>
      <c r="C19" s="298" t="s">
        <v>41</v>
      </c>
      <c r="D19" s="298" t="s">
        <v>42</v>
      </c>
      <c r="E19" s="298" t="s">
        <v>43</v>
      </c>
      <c r="F19" s="298" t="s">
        <v>59</v>
      </c>
      <c r="G19" s="298" t="s">
        <v>60</v>
      </c>
      <c r="H19" s="299" t="s">
        <v>40</v>
      </c>
      <c r="I19" s="299" t="s">
        <v>41</v>
      </c>
      <c r="J19" s="299" t="s">
        <v>42</v>
      </c>
      <c r="K19" s="299" t="s">
        <v>43</v>
      </c>
      <c r="L19" s="299" t="s">
        <v>59</v>
      </c>
      <c r="M19" s="299" t="s">
        <v>60</v>
      </c>
      <c r="N19" s="300" t="s">
        <v>40</v>
      </c>
      <c r="O19" s="300" t="s">
        <v>41</v>
      </c>
      <c r="P19" s="300" t="s">
        <v>42</v>
      </c>
      <c r="Q19" s="300" t="s">
        <v>43</v>
      </c>
      <c r="R19" s="300" t="s">
        <v>59</v>
      </c>
      <c r="S19" s="300" t="s">
        <v>60</v>
      </c>
      <c r="T19" s="301" t="s">
        <v>40</v>
      </c>
      <c r="U19" s="301" t="s">
        <v>46</v>
      </c>
      <c r="V19" s="301" t="s">
        <v>47</v>
      </c>
      <c r="W19" s="301" t="s">
        <v>48</v>
      </c>
      <c r="X19" s="301" t="s">
        <v>61</v>
      </c>
      <c r="Y19" s="301" t="s">
        <v>49</v>
      </c>
      <c r="Z19" s="301" t="s">
        <v>62</v>
      </c>
      <c r="AA19" s="302" t="s">
        <v>11</v>
      </c>
      <c r="AB19" s="302" t="s">
        <v>12</v>
      </c>
      <c r="AC19" s="24" t="s">
        <v>13</v>
      </c>
      <c r="AD19" s="24" t="s">
        <v>14</v>
      </c>
      <c r="AE19" s="24" t="s">
        <v>15</v>
      </c>
      <c r="AF19" s="24" t="s">
        <v>16</v>
      </c>
      <c r="AG19" s="24" t="s">
        <v>17</v>
      </c>
      <c r="AH19" s="24" t="s">
        <v>18</v>
      </c>
      <c r="AI19" s="24" t="s">
        <v>19</v>
      </c>
      <c r="AJ19" s="24" t="s">
        <v>20</v>
      </c>
      <c r="AK19" s="24" t="s">
        <v>21</v>
      </c>
      <c r="AL19" s="24" t="s">
        <v>22</v>
      </c>
      <c r="AM19" s="24" t="s">
        <v>23</v>
      </c>
      <c r="AN19" s="24" t="s">
        <v>24</v>
      </c>
      <c r="AO19" s="24" t="s">
        <v>25</v>
      </c>
      <c r="AP19" s="24" t="s">
        <v>26</v>
      </c>
      <c r="AQ19" s="24" t="s">
        <v>27</v>
      </c>
      <c r="AR19" s="24" t="s">
        <v>28</v>
      </c>
      <c r="AS19" s="24" t="s">
        <v>133</v>
      </c>
      <c r="AT19" s="24" t="s">
        <v>31</v>
      </c>
      <c r="AU19" s="24" t="s">
        <v>29</v>
      </c>
      <c r="AV19" s="24" t="s">
        <v>30</v>
      </c>
      <c r="AW19" s="24" t="s">
        <v>107</v>
      </c>
      <c r="AX19" s="24" t="s">
        <v>108</v>
      </c>
      <c r="AY19" s="24" t="s">
        <v>11</v>
      </c>
      <c r="AZ19" s="24" t="s">
        <v>109</v>
      </c>
      <c r="BA19" s="24" t="s">
        <v>110</v>
      </c>
      <c r="BB19" s="24" t="s">
        <v>111</v>
      </c>
      <c r="BC19" s="24" t="s">
        <v>112</v>
      </c>
      <c r="BD19" s="24" t="s">
        <v>115</v>
      </c>
      <c r="BE19" s="24" t="s">
        <v>116</v>
      </c>
      <c r="BF19" s="24" t="s">
        <v>113</v>
      </c>
      <c r="BG19" s="24" t="s">
        <v>117</v>
      </c>
      <c r="BH19" s="24" t="s">
        <v>118</v>
      </c>
      <c r="BI19" s="24" t="s">
        <v>114</v>
      </c>
      <c r="BJ19" s="24" t="s">
        <v>119</v>
      </c>
      <c r="BK19" s="24" t="s">
        <v>128</v>
      </c>
      <c r="BL19" s="24" t="s">
        <v>129</v>
      </c>
      <c r="BM19" s="24" t="s">
        <v>130</v>
      </c>
      <c r="BN19" s="24" t="s">
        <v>127</v>
      </c>
      <c r="BO19" s="24" t="s">
        <v>135</v>
      </c>
      <c r="BP19" s="24" t="s">
        <v>136</v>
      </c>
      <c r="BQ19" s="24" t="s">
        <v>131</v>
      </c>
      <c r="BR19" s="24" t="s">
        <v>126</v>
      </c>
      <c r="BS19" s="24" t="s">
        <v>134</v>
      </c>
      <c r="BT19" s="24" t="s">
        <v>162</v>
      </c>
      <c r="BU19" s="24" t="s">
        <v>163</v>
      </c>
      <c r="BV19" s="24" t="s">
        <v>195</v>
      </c>
      <c r="BW19" s="297" t="s">
        <v>197</v>
      </c>
      <c r="BX19" s="297" t="s">
        <v>198</v>
      </c>
      <c r="BY19" s="297" t="s">
        <v>199</v>
      </c>
      <c r="BZ19" s="24" t="s">
        <v>196</v>
      </c>
      <c r="CA19" s="303" t="s">
        <v>507</v>
      </c>
      <c r="CB19" s="304" t="s">
        <v>508</v>
      </c>
      <c r="CC19" s="24" t="s">
        <v>509</v>
      </c>
      <c r="CD19" s="300" t="s">
        <v>673</v>
      </c>
      <c r="CE19" s="300" t="s">
        <v>674</v>
      </c>
      <c r="CF19" s="24" t="s">
        <v>687</v>
      </c>
      <c r="CG19" s="24" t="s">
        <v>688</v>
      </c>
      <c r="CH19" s="24" t="s">
        <v>689</v>
      </c>
      <c r="CI19" s="24" t="s">
        <v>690</v>
      </c>
      <c r="CJ19" s="24" t="s">
        <v>691</v>
      </c>
      <c r="CK19" s="24" t="s">
        <v>692</v>
      </c>
      <c r="CL19" s="24" t="s">
        <v>693</v>
      </c>
      <c r="CM19" s="24" t="s">
        <v>694</v>
      </c>
      <c r="CN19" s="24" t="s">
        <v>695</v>
      </c>
      <c r="CO19" s="24" t="s">
        <v>696</v>
      </c>
      <c r="CP19" s="24" t="s">
        <v>697</v>
      </c>
      <c r="CQ19" s="24" t="s">
        <v>698</v>
      </c>
      <c r="CR19" s="24" t="s">
        <v>821</v>
      </c>
      <c r="CS19" s="24" t="s">
        <v>881</v>
      </c>
      <c r="CT19" s="24" t="s">
        <v>933</v>
      </c>
      <c r="CU19" s="24" t="s">
        <v>934</v>
      </c>
      <c r="CV19" s="24" t="s">
        <v>954</v>
      </c>
      <c r="CW19" s="24" t="s">
        <v>1152</v>
      </c>
      <c r="CX19" s="24" t="s">
        <v>1117</v>
      </c>
      <c r="CY19" s="24" t="s">
        <v>1559</v>
      </c>
      <c r="CZ19" s="24" t="s">
        <v>1560</v>
      </c>
      <c r="DA19" s="24" t="s">
        <v>1156</v>
      </c>
      <c r="DB19" s="24" t="s">
        <v>1157</v>
      </c>
      <c r="DC19" s="24" t="s">
        <v>1158</v>
      </c>
      <c r="DD19" s="24" t="s">
        <v>1159</v>
      </c>
      <c r="DE19" s="24" t="s">
        <v>1196</v>
      </c>
      <c r="DF19" s="24" t="s">
        <v>1210</v>
      </c>
      <c r="DG19" s="24" t="s">
        <v>1309</v>
      </c>
      <c r="DH19" s="24" t="s">
        <v>1367</v>
      </c>
      <c r="DI19" s="24" t="s">
        <v>1593</v>
      </c>
      <c r="DJ19" s="24" t="s">
        <v>1544</v>
      </c>
      <c r="DK19" s="24" t="s">
        <v>1580</v>
      </c>
      <c r="DL19" s="24" t="s">
        <v>1598</v>
      </c>
      <c r="DM19" s="24" t="s">
        <v>1599</v>
      </c>
    </row>
    <row r="20" spans="1:117" ht="11">
      <c r="A20" s="226" t="s">
        <v>1296</v>
      </c>
      <c r="B20" s="24" t="e">
        <f t="shared" si="18"/>
        <v>#N/A</v>
      </c>
      <c r="C20" s="24" t="e">
        <f t="shared" si="18"/>
        <v>#N/A</v>
      </c>
      <c r="D20" s="24" t="e">
        <f t="shared" si="18"/>
        <v>#N/A</v>
      </c>
      <c r="E20" s="24" t="e">
        <f t="shared" si="18"/>
        <v>#N/A</v>
      </c>
      <c r="F20" s="24" t="str">
        <f t="shared" si="18"/>
        <v>未記入</v>
      </c>
      <c r="G20" s="24" t="e">
        <f t="shared" si="18"/>
        <v>#N/A</v>
      </c>
      <c r="H20" s="24" t="e">
        <f t="shared" si="18"/>
        <v>#N/A</v>
      </c>
      <c r="I20" s="24" t="e">
        <f t="shared" si="18"/>
        <v>#N/A</v>
      </c>
      <c r="J20" s="24" t="e">
        <f t="shared" si="18"/>
        <v>#N/A</v>
      </c>
      <c r="K20" s="24" t="e">
        <f t="shared" si="18"/>
        <v>#N/A</v>
      </c>
      <c r="L20" s="24" t="str">
        <f t="shared" si="18"/>
        <v>未記入</v>
      </c>
      <c r="M20" s="24" t="e">
        <f t="shared" si="18"/>
        <v>#N/A</v>
      </c>
      <c r="N20" s="24" t="str">
        <f t="shared" ref="N20:S20" si="27">N16</f>
        <v>未記入</v>
      </c>
      <c r="O20" s="24" t="str">
        <f t="shared" si="27"/>
        <v>未記入</v>
      </c>
      <c r="P20" s="24" t="str">
        <f t="shared" si="27"/>
        <v>未記入</v>
      </c>
      <c r="Q20" s="24" t="str">
        <f t="shared" si="27"/>
        <v>未記入</v>
      </c>
      <c r="R20" s="24" t="str">
        <f t="shared" si="27"/>
        <v>未記入</v>
      </c>
      <c r="S20" s="24" t="str">
        <f t="shared" si="27"/>
        <v>未記入</v>
      </c>
      <c r="T20" s="24" t="e">
        <f t="shared" si="19"/>
        <v>#N/A</v>
      </c>
      <c r="U20" s="24" t="e">
        <f t="shared" si="19"/>
        <v>#N/A</v>
      </c>
      <c r="V20" s="24" t="e">
        <f t="shared" si="19"/>
        <v>#N/A</v>
      </c>
      <c r="W20" s="24" t="e">
        <f t="shared" si="19"/>
        <v>#N/A</v>
      </c>
      <c r="X20" s="24" t="str">
        <f t="shared" si="19"/>
        <v>未記入</v>
      </c>
      <c r="Y20" s="24" t="e">
        <f t="shared" si="19"/>
        <v>#N/A</v>
      </c>
      <c r="Z20" s="24" t="e">
        <f t="shared" si="19"/>
        <v>#N/A</v>
      </c>
      <c r="AA20" s="24" t="e">
        <f t="shared" si="19"/>
        <v>#N/A</v>
      </c>
      <c r="AB20" s="24" t="e">
        <f t="shared" si="19"/>
        <v>#N/A</v>
      </c>
      <c r="AC20" s="24" t="str">
        <f>IF(入力フォーム_Desk!J83="","",IF(入力フォーム_Desk!J83="通常版","Desk","Desk GIGAスクール版"))</f>
        <v/>
      </c>
      <c r="AD20" s="305"/>
      <c r="AE20" s="307">
        <f>入力フォーム_Desk!CN83</f>
        <v>0</v>
      </c>
      <c r="AF20" s="24" t="str">
        <f>IF(OR(入力フォーム_Desk!BP83="",AND(入力フォーム_Desk!BP83="新規",入力フォーム_Desk!J86="無")),"-01",IF(OR(AND(入力フォーム_Desk!BP83="新規",入力フォーム_Desk!J86="有"),AND(入力フォーム_Desk!BP83&lt;&gt;"",入力フォーム_Desk!BP83&lt;&gt;"新規")),入力フォーム_Desk!Z86,""))</f>
        <v>-01</v>
      </c>
      <c r="AH20" s="229" t="str">
        <f>TEXT(IF(入力フォーム_Desk!BV86*入力フォーム_Desk!CC86=0,"",(入力フォーム_Desk!BV86+2000)&amp;"/"&amp;入力フォーム_Desk!CC86&amp;"/"&amp;入力フォーム_Desk!CJ86),"yyyy/mm/dd")</f>
        <v/>
      </c>
      <c r="AI20" s="24" t="str">
        <f>IF(入力フォーム_Desk!BV86*入力フォーム_Desk!CC86=0,"",TEXT(DATEVALUE(入力フォーム_Desk!BV86+2000+VALUE(LEFT(入力フォーム_Desk!BG86))&amp;"/"&amp;入力フォーム_Desk!CC86&amp;"/"&amp;入力フォーム_Desk!CJ86)-1,"yyyy/mm/dd"))</f>
        <v/>
      </c>
      <c r="AJ20" s="24" t="str">
        <f>IF(入力フォーム_Desk!T89="有","オンライン会議（時間無制限）","")</f>
        <v/>
      </c>
      <c r="AK20" s="24" t="str">
        <f>IF(入力フォーム_Desk!AN89="有","Desk ディスク拡張 "&amp;入力フォーム_Desk!BD89*100&amp;"GB","")</f>
        <v/>
      </c>
      <c r="AL20" s="24" t="str">
        <f>IF(入力フォーム_Desk!BV89="有","ISMAP","")</f>
        <v/>
      </c>
      <c r="AN20" s="24" t="e">
        <f t="shared" si="20"/>
        <v>#N/A</v>
      </c>
      <c r="AO20" s="24" t="e">
        <f t="shared" si="20"/>
        <v>#N/A</v>
      </c>
      <c r="AP20" s="24" t="e">
        <f t="shared" si="20"/>
        <v>#N/A</v>
      </c>
      <c r="AQ20" s="24" t="e">
        <f t="shared" si="20"/>
        <v>#N/A</v>
      </c>
      <c r="AR20" s="24" t="e">
        <f t="shared" si="20"/>
        <v>#N/A</v>
      </c>
      <c r="AS20" s="24" t="e">
        <f t="shared" si="20"/>
        <v>#N/A</v>
      </c>
      <c r="AT20" s="24" t="e">
        <f t="shared" si="20"/>
        <v>#N/A</v>
      </c>
      <c r="AU20" s="24" t="str">
        <f>LEFT(入力フォーム_Desk!BP83,2)</f>
        <v/>
      </c>
      <c r="AV20" s="24" t="str">
        <f>IF(ISERROR(VALUE(LEFT(入力フォーム_Desk!BG86))*12),"",VALUE(LEFT(入力フォーム_Desk!BG86))*12)</f>
        <v/>
      </c>
      <c r="AW20" s="309"/>
      <c r="AX20" s="309"/>
      <c r="AY20" s="309"/>
      <c r="AZ20" s="309"/>
      <c r="BA20" s="309"/>
      <c r="BB20" s="309"/>
      <c r="BC20" s="24" t="e">
        <f t="shared" si="21"/>
        <v>#N/A</v>
      </c>
      <c r="BD20" s="309"/>
      <c r="BE20" s="309"/>
      <c r="BF20" s="309"/>
      <c r="BG20" s="309"/>
      <c r="BH20" s="25" t="s">
        <v>132</v>
      </c>
      <c r="BI20" s="309"/>
      <c r="BJ20" s="309"/>
      <c r="BK20" s="309"/>
      <c r="BL20" s="24" t="e">
        <f t="shared" si="22"/>
        <v>#N/A</v>
      </c>
      <c r="BM20" s="24" t="e">
        <f t="shared" si="22"/>
        <v>#N/A</v>
      </c>
      <c r="BN20" s="555"/>
      <c r="BQ20" s="555"/>
      <c r="BR20" s="555"/>
      <c r="BS20" s="555"/>
      <c r="BT20" s="555"/>
      <c r="BU20" s="555"/>
      <c r="BV20" s="555"/>
      <c r="BW20" s="24" t="str">
        <f>IF(入力フォーム_Desk!M71="有","",IF(入力フォーム_Desk!M71="無",IF(OR(入力フォーム_Desk!J86="有",入力フォーム_Desk!BZ95="有"),"",IF(入力フォーム_Desk!M74="","",入力フォーム_Desk!M74)),""))</f>
        <v/>
      </c>
      <c r="BX20" s="309"/>
      <c r="BY20" s="309"/>
      <c r="BZ20" s="309"/>
      <c r="CA20" s="309"/>
      <c r="CB20" s="24" t="str">
        <f>IF(入力フォーム_Desk!M71="無","",IF(入力フォーム_Desk!M71="有",IF(入力フォーム_Desk!M77="","",入力フォーム_Desk!M77),""))</f>
        <v/>
      </c>
      <c r="CC20" s="309"/>
      <c r="CD20" s="300" t="e">
        <f t="shared" si="23"/>
        <v>#N/A</v>
      </c>
      <c r="CE20" s="24" t="str">
        <f>IFERROR(VLOOKUP("Desk",お客様情報!T20:U24,2,FALSE),"")</f>
        <v/>
      </c>
      <c r="CF20" s="24" t="s">
        <v>999</v>
      </c>
      <c r="CG20" s="24" t="e">
        <f t="shared" si="24"/>
        <v>#N/A</v>
      </c>
      <c r="CH20" s="24" t="e">
        <f t="shared" si="24"/>
        <v>#N/A</v>
      </c>
      <c r="CI20" s="24" t="e">
        <f t="shared" si="24"/>
        <v>#N/A</v>
      </c>
      <c r="CJ20" s="24" t="e">
        <f t="shared" si="24"/>
        <v>#N/A</v>
      </c>
      <c r="CK20" s="24" t="e">
        <f t="shared" si="24"/>
        <v>#N/A</v>
      </c>
      <c r="CL20" s="24" t="s">
        <v>999</v>
      </c>
      <c r="CM20" s="24" t="e">
        <f t="shared" si="25"/>
        <v>#N/A</v>
      </c>
      <c r="CN20" s="24" t="e">
        <f t="shared" si="25"/>
        <v>#N/A</v>
      </c>
      <c r="CO20" s="24" t="e">
        <f t="shared" si="25"/>
        <v>#N/A</v>
      </c>
      <c r="CP20" s="24" t="e">
        <f t="shared" si="25"/>
        <v>#N/A</v>
      </c>
      <c r="CQ20" s="24" t="e">
        <f t="shared" si="25"/>
        <v>#N/A</v>
      </c>
      <c r="CR20" s="296"/>
      <c r="CS20" s="305"/>
      <c r="CT20" s="305"/>
      <c r="CU20" s="305"/>
      <c r="CV20" s="24">
        <v>1</v>
      </c>
      <c r="CW20" s="296"/>
      <c r="CX20" s="296"/>
      <c r="CY20" s="296"/>
      <c r="CZ20" s="296"/>
      <c r="DA20" s="296"/>
      <c r="DB20" s="296"/>
      <c r="DC20" s="296"/>
      <c r="DD20" s="296"/>
      <c r="DE20" s="296"/>
      <c r="DF20" s="296"/>
      <c r="DG20" s="296"/>
      <c r="DH20" s="296"/>
      <c r="DI20" s="305"/>
      <c r="DJ20" s="305"/>
      <c r="DK20" s="305"/>
      <c r="DL20" s="305"/>
      <c r="DM20" s="305"/>
    </row>
    <row r="21" spans="1:117" ht="11">
      <c r="A21" s="600" t="s">
        <v>1313</v>
      </c>
      <c r="B21" s="24" t="e">
        <f t="shared" si="18"/>
        <v>#N/A</v>
      </c>
      <c r="C21" s="24" t="e">
        <f t="shared" si="18"/>
        <v>#N/A</v>
      </c>
      <c r="D21" s="24" t="e">
        <f t="shared" si="18"/>
        <v>#N/A</v>
      </c>
      <c r="E21" s="24" t="e">
        <f t="shared" si="18"/>
        <v>#N/A</v>
      </c>
      <c r="F21" s="24" t="str">
        <f t="shared" si="18"/>
        <v>未記入</v>
      </c>
      <c r="G21" s="24" t="e">
        <f t="shared" si="18"/>
        <v>#N/A</v>
      </c>
      <c r="H21" s="24" t="e">
        <f t="shared" si="18"/>
        <v>#N/A</v>
      </c>
      <c r="I21" s="24" t="e">
        <f t="shared" si="18"/>
        <v>#N/A</v>
      </c>
      <c r="J21" s="24" t="e">
        <f t="shared" si="18"/>
        <v>#N/A</v>
      </c>
      <c r="K21" s="24" t="e">
        <f t="shared" si="18"/>
        <v>#N/A</v>
      </c>
      <c r="L21" s="24" t="str">
        <f t="shared" si="18"/>
        <v>未記入</v>
      </c>
      <c r="M21" s="24" t="e">
        <f t="shared" si="18"/>
        <v>#N/A</v>
      </c>
      <c r="N21" s="24" t="str">
        <f t="shared" ref="N21:S21" si="28">N20</f>
        <v>未記入</v>
      </c>
      <c r="O21" s="24" t="str">
        <f t="shared" si="28"/>
        <v>未記入</v>
      </c>
      <c r="P21" s="24" t="str">
        <f t="shared" si="28"/>
        <v>未記入</v>
      </c>
      <c r="Q21" s="24" t="str">
        <f t="shared" si="28"/>
        <v>未記入</v>
      </c>
      <c r="R21" s="24" t="str">
        <f t="shared" si="28"/>
        <v>未記入</v>
      </c>
      <c r="S21" s="24" t="str">
        <f t="shared" si="28"/>
        <v>未記入</v>
      </c>
      <c r="T21" s="24" t="e">
        <f t="shared" si="19"/>
        <v>#N/A</v>
      </c>
      <c r="U21" s="24" t="e">
        <f t="shared" si="19"/>
        <v>#N/A</v>
      </c>
      <c r="V21" s="24" t="e">
        <f t="shared" si="19"/>
        <v>#N/A</v>
      </c>
      <c r="W21" s="24" t="e">
        <f t="shared" si="19"/>
        <v>#N/A</v>
      </c>
      <c r="X21" s="24" t="str">
        <f t="shared" si="19"/>
        <v>未記入</v>
      </c>
      <c r="Y21" s="24" t="e">
        <f t="shared" si="19"/>
        <v>#N/A</v>
      </c>
      <c r="Z21" s="24" t="e">
        <f t="shared" si="19"/>
        <v>#N/A</v>
      </c>
      <c r="AA21" s="24" t="e">
        <f t="shared" si="19"/>
        <v>#N/A</v>
      </c>
      <c r="AB21" s="24" t="e">
        <f t="shared" si="19"/>
        <v>#N/A</v>
      </c>
      <c r="AC21" s="24" t="str">
        <f>IF(入力フォーム_Desk!J83="","",IF(入力フォーム_Desk!J83="通常版","Desk Event","Desk Event 株主総会版"))</f>
        <v/>
      </c>
      <c r="AD21" s="296"/>
      <c r="AE21" s="307" cm="1">
        <f t="array" ref="AE21">_xlfn.IFS(入力フォーム_Desk!J95="",0,入力フォーム_Desk!J95="通常版",入力フォーム_Desk!BG95,入力フォーム_Desk!J95="株主総会版",2000)</f>
        <v>0</v>
      </c>
      <c r="AF21" s="24" t="str">
        <f>IF(OR(入力フォーム_Desk!AI95="",AND(入力フォーム_Desk!AI95="新規",入力フォーム_Desk!BZ95="無")),"-01",IF(OR(AND(入力フォーム_Desk!AI95="新規",入力フォーム_Desk!BZ95="有"),AND(入力フォーム_Desk!AI95&lt;&gt;"",入力フォーム_Desk!AI95&lt;&gt;"新規")),入力フォーム_Desk!CN95,""))</f>
        <v>-01</v>
      </c>
      <c r="AH21" s="24" t="str">
        <f>TEXT(IF(入力フォーム_Desk!AE98*入力フォーム_Desk!AL98=0,"",(入力フォーム_Desk!AE98+2000)&amp;"/"&amp;入力フォーム_Desk!AL98&amp;"/"&amp;入力フォーム_Desk!AS98),"yyyy/mm/dd")</f>
        <v/>
      </c>
      <c r="AI21" s="327" t="str">
        <f>IF(入力フォーム_Desk!J95="通常版",IF(入力フォーム_Desk!AE98*入力フォーム_Desk!AL98=0,"",TEXT(DATEVALUE(入力フォーム_Desk!AE98+2000+VALUE(LEFT(入力フォーム_Desk!J98))&amp;"/"&amp;入力フォーム_Desk!AL98&amp;"/"&amp;入力フォーム_Desk!AS98)-1,"yyyy/mm/dd")),IF(入力フォーム_Desk!J95="株主総会版",'中間データ共通・Desk・f-FILTER・Z-FILTER'!Y9,""))</f>
        <v/>
      </c>
      <c r="AJ21" s="24" t="str">
        <f>IF(入力フォーム_Desk!T101="有","Desk Event アーカイブ","")</f>
        <v/>
      </c>
      <c r="AK21" s="24" t="str">
        <f>IF(入力フォーム_Desk!AJ101="有","Desk Event ディスク拡張 "&amp;入力フォーム_Desk!AZ101*100&amp;"GB","")</f>
        <v/>
      </c>
      <c r="AN21" s="24" t="e">
        <f t="shared" si="20"/>
        <v>#N/A</v>
      </c>
      <c r="AO21" s="24" t="e">
        <f t="shared" si="20"/>
        <v>#N/A</v>
      </c>
      <c r="AP21" s="24" t="e">
        <f t="shared" si="20"/>
        <v>#N/A</v>
      </c>
      <c r="AQ21" s="24" t="e">
        <f t="shared" si="20"/>
        <v>#N/A</v>
      </c>
      <c r="AR21" s="24" t="e">
        <f t="shared" si="20"/>
        <v>#N/A</v>
      </c>
      <c r="AS21" s="24" t="e">
        <f t="shared" si="20"/>
        <v>#N/A</v>
      </c>
      <c r="AT21" s="24" t="e">
        <f t="shared" si="20"/>
        <v>#N/A</v>
      </c>
      <c r="AU21" s="24" t="str">
        <f>LEFT(入力フォーム_Desk!AI95,2)</f>
        <v/>
      </c>
      <c r="AV21" s="24" t="str">
        <f>IF(入力フォーム_Desk!J95="","",IF(入力フォーム_Desk!J95="通常版",IF(ISERROR(VALUE(LEFT(入力フォーム_Desk!J98))*12),"",VALUE(LEFT(入力フォーム_Desk!J98))*12),IF(AND(入力フォーム_Desk!J95="株主総会版",入力フォーム_Desk!BS101="無"),3,3+入力フォーム_Desk!BS101)))</f>
        <v/>
      </c>
      <c r="AW21" s="309"/>
      <c r="AX21" s="309"/>
      <c r="AY21" s="309"/>
      <c r="AZ21" s="309"/>
      <c r="BA21" s="309"/>
      <c r="BB21" s="309"/>
      <c r="BC21" s="24" t="e">
        <f t="shared" si="21"/>
        <v>#N/A</v>
      </c>
      <c r="BD21" s="309"/>
      <c r="BE21" s="309"/>
      <c r="BF21" s="309"/>
      <c r="BG21" s="309"/>
      <c r="BH21" s="25" t="s">
        <v>132</v>
      </c>
      <c r="BI21" s="309"/>
      <c r="BJ21" s="309"/>
      <c r="BK21" s="309"/>
      <c r="BL21" s="24" t="e">
        <f t="shared" si="22"/>
        <v>#N/A</v>
      </c>
      <c r="BM21" s="24" t="e">
        <f t="shared" si="22"/>
        <v>#N/A</v>
      </c>
      <c r="BW21" s="24" t="str">
        <f>IF(入力フォーム_Desk!M74&lt;&gt;"",入力フォーム_Desk!M74,IF(入力フォーム_Desk!BK98="","",入力フォーム_Desk!BK98))</f>
        <v/>
      </c>
      <c r="BX21" s="309"/>
      <c r="BY21" s="309"/>
      <c r="BZ21" s="309"/>
      <c r="CA21" s="309"/>
      <c r="CB21" s="24" t="str">
        <f>CB20</f>
        <v/>
      </c>
      <c r="CC21" s="309"/>
      <c r="CD21" s="300" t="e">
        <f t="shared" si="23"/>
        <v>#N/A</v>
      </c>
      <c r="CE21" s="24" t="str">
        <f>IFERROR(VLOOKUP("Desk Event",お客様情報!T20:U24,2,FALSE),"")</f>
        <v/>
      </c>
      <c r="CF21" s="24" t="s">
        <v>999</v>
      </c>
      <c r="CG21" s="24" t="e">
        <f t="shared" si="24"/>
        <v>#N/A</v>
      </c>
      <c r="CH21" s="24" t="e">
        <f t="shared" si="24"/>
        <v>#N/A</v>
      </c>
      <c r="CI21" s="24" t="e">
        <f t="shared" si="24"/>
        <v>#N/A</v>
      </c>
      <c r="CJ21" s="24" t="e">
        <f t="shared" si="24"/>
        <v>#N/A</v>
      </c>
      <c r="CK21" s="24" t="e">
        <f t="shared" si="24"/>
        <v>#N/A</v>
      </c>
      <c r="CL21" s="24" t="s">
        <v>999</v>
      </c>
      <c r="CM21" s="24" t="e">
        <f t="shared" si="25"/>
        <v>#N/A</v>
      </c>
      <c r="CN21" s="24" t="e">
        <f t="shared" si="25"/>
        <v>#N/A</v>
      </c>
      <c r="CO21" s="24" t="e">
        <f t="shared" si="25"/>
        <v>#N/A</v>
      </c>
      <c r="CP21" s="24" t="e">
        <f t="shared" si="25"/>
        <v>#N/A</v>
      </c>
      <c r="CQ21" s="24" t="e">
        <f t="shared" si="25"/>
        <v>#N/A</v>
      </c>
      <c r="CR21" s="296"/>
      <c r="CS21" s="296"/>
      <c r="CT21" s="296"/>
      <c r="CU21" s="296"/>
      <c r="CV21" s="24">
        <v>1</v>
      </c>
      <c r="CW21" s="296"/>
      <c r="CX21" s="296"/>
      <c r="CY21" s="296"/>
      <c r="CZ21" s="296"/>
      <c r="DA21" s="296"/>
      <c r="DB21" s="296"/>
      <c r="DC21" s="296"/>
      <c r="DD21" s="296"/>
      <c r="DE21" s="296"/>
      <c r="DF21" s="296"/>
      <c r="DG21" s="296"/>
      <c r="DH21" s="296"/>
      <c r="DI21" s="305"/>
      <c r="DJ21" s="305"/>
      <c r="DK21" s="305"/>
      <c r="DL21" s="305"/>
      <c r="DM21" s="305"/>
    </row>
    <row r="22" spans="1:117" ht="11">
      <c r="A22" s="617" t="s">
        <v>1594</v>
      </c>
      <c r="B22" s="24" t="e">
        <f t="shared" si="18"/>
        <v>#N/A</v>
      </c>
      <c r="C22" s="24" t="e">
        <f t="shared" si="18"/>
        <v>#N/A</v>
      </c>
      <c r="D22" s="24" t="e">
        <f t="shared" si="18"/>
        <v>#N/A</v>
      </c>
      <c r="E22" s="24" t="e">
        <f t="shared" si="18"/>
        <v>#N/A</v>
      </c>
      <c r="F22" s="24" t="str">
        <f t="shared" si="18"/>
        <v>未記入</v>
      </c>
      <c r="G22" s="24" t="e">
        <f t="shared" si="18"/>
        <v>#N/A</v>
      </c>
      <c r="H22" s="24" t="e">
        <f t="shared" si="18"/>
        <v>#N/A</v>
      </c>
      <c r="I22" s="24" t="e">
        <f t="shared" si="18"/>
        <v>#N/A</v>
      </c>
      <c r="J22" s="24" t="e">
        <f t="shared" si="18"/>
        <v>#N/A</v>
      </c>
      <c r="K22" s="24" t="e">
        <f t="shared" si="18"/>
        <v>#N/A</v>
      </c>
      <c r="L22" s="24" t="str">
        <f t="shared" si="18"/>
        <v>未記入</v>
      </c>
      <c r="M22" s="24" t="e">
        <f t="shared" si="18"/>
        <v>#N/A</v>
      </c>
      <c r="N22" s="24" t="str">
        <f t="shared" ref="N22:S22" si="29">N20</f>
        <v>未記入</v>
      </c>
      <c r="O22" s="24" t="str">
        <f t="shared" si="29"/>
        <v>未記入</v>
      </c>
      <c r="P22" s="24" t="str">
        <f t="shared" si="29"/>
        <v>未記入</v>
      </c>
      <c r="Q22" s="24" t="str">
        <f t="shared" si="29"/>
        <v>未記入</v>
      </c>
      <c r="R22" s="24" t="str">
        <f t="shared" si="29"/>
        <v>未記入</v>
      </c>
      <c r="S22" s="24" t="str">
        <f t="shared" si="29"/>
        <v>未記入</v>
      </c>
      <c r="T22" s="24" t="e">
        <f t="shared" si="19"/>
        <v>#N/A</v>
      </c>
      <c r="U22" s="24" t="e">
        <f t="shared" si="19"/>
        <v>#N/A</v>
      </c>
      <c r="V22" s="24" t="e">
        <f t="shared" si="19"/>
        <v>#N/A</v>
      </c>
      <c r="W22" s="24" t="e">
        <f t="shared" si="19"/>
        <v>#N/A</v>
      </c>
      <c r="X22" s="24" t="str">
        <f t="shared" si="19"/>
        <v>未記入</v>
      </c>
      <c r="Y22" s="24" t="e">
        <f t="shared" si="19"/>
        <v>#N/A</v>
      </c>
      <c r="Z22" s="24" t="e">
        <f t="shared" si="19"/>
        <v>#N/A</v>
      </c>
      <c r="AA22" s="24" t="e">
        <f t="shared" si="19"/>
        <v>#N/A</v>
      </c>
      <c r="AB22" s="24" t="e">
        <f t="shared" si="19"/>
        <v>#N/A</v>
      </c>
      <c r="AC22" s="24" t="s">
        <v>1596</v>
      </c>
      <c r="AD22" s="305"/>
      <c r="AE22" s="604">
        <f>'入力フォーム_a-FILTER'!BA83</f>
        <v>0</v>
      </c>
      <c r="AF22" s="568" t="str">
        <f>IF(OR('入力フォーム_a-FILTER'!AD83="",AND('入力フォーム_a-FILTER'!AD83="新規",'入力フォーム_a-FILTER'!BO83="無")),"-01",IF(OR(AND('入力フォーム_a-FILTER'!AD83="新規",'入力フォーム_a-FILTER'!BO83="有"),AND('入力フォーム_a-FILTER'!AD83&lt;&gt;"",'入力フォーム_a-FILTER'!AD83&lt;&gt;"新規")),'入力フォーム_a-FILTER'!BZ83,""))</f>
        <v>-01</v>
      </c>
      <c r="AG22" s="568"/>
      <c r="AH22" s="603" t="str">
        <f>TEXT(IF('入力フォーム_a-FILTER'!N86*'入力フォーム_a-FILTER'!U86=0,"",('入力フォーム_a-FILTER'!N86+2000)&amp;"/"&amp;'入力フォーム_a-FILTER'!U86&amp;"/"&amp;'入力フォーム_a-FILTER'!AB86),"yyyy-mm-dd")</f>
        <v/>
      </c>
      <c r="AI22" s="568" t="str">
        <f>IF('入力フォーム_a-FILTER'!N86*'入力フォーム_a-FILTER'!U86=0,"",TEXT(DATEVALUE('入力フォーム_a-FILTER'!N86+2000+VALUE(LEFT('入力フォーム_a-FILTER'!DG83))&amp;"/"&amp;'入力フォーム_a-FILTER'!U86&amp;"/"&amp;'入力フォーム_a-FILTER'!AB86)-1,"yyyy/mm/dd"))</f>
        <v/>
      </c>
      <c r="AN22" s="24" t="e">
        <f t="shared" si="20"/>
        <v>#N/A</v>
      </c>
      <c r="AO22" s="24" t="e">
        <f t="shared" si="20"/>
        <v>#N/A</v>
      </c>
      <c r="AP22" s="24" t="e">
        <f t="shared" si="20"/>
        <v>#N/A</v>
      </c>
      <c r="AQ22" s="24" t="e">
        <f t="shared" si="20"/>
        <v>#N/A</v>
      </c>
      <c r="AR22" s="24" t="e">
        <f t="shared" si="20"/>
        <v>#N/A</v>
      </c>
      <c r="AS22" s="24" t="e">
        <f t="shared" si="20"/>
        <v>#N/A</v>
      </c>
      <c r="AT22" s="24" t="e">
        <f t="shared" si="20"/>
        <v>#N/A</v>
      </c>
      <c r="AU22" s="568" t="str">
        <f>LEFT('入力フォーム_a-FILTER'!AD83,2)</f>
        <v/>
      </c>
      <c r="AV22" s="568" t="str">
        <f>IF(ISERROR(VALUE(LEFT('入力フォーム_a-FILTER'!DG83))*12),"",VALUE(LEFT('入力フォーム_a-FILTER'!DG83))*12)</f>
        <v/>
      </c>
      <c r="AW22" s="309"/>
      <c r="AX22" s="309"/>
      <c r="AY22" s="309"/>
      <c r="AZ22" s="309"/>
      <c r="BA22" s="309"/>
      <c r="BB22" s="309"/>
      <c r="BC22" s="24" t="e">
        <f t="shared" si="21"/>
        <v>#N/A</v>
      </c>
      <c r="BD22" s="309"/>
      <c r="BE22" s="309"/>
      <c r="BF22" s="309"/>
      <c r="BG22" s="309"/>
      <c r="BH22" s="25" t="s">
        <v>132</v>
      </c>
      <c r="BI22" s="309"/>
      <c r="BJ22" s="309"/>
      <c r="BK22" s="309"/>
      <c r="BL22" s="601" t="e">
        <f t="shared" si="22"/>
        <v>#N/A</v>
      </c>
      <c r="BM22" s="601" t="e">
        <f t="shared" si="22"/>
        <v>#N/A</v>
      </c>
      <c r="BN22" s="555"/>
      <c r="BQ22" s="555"/>
      <c r="BR22" s="555"/>
      <c r="BS22" s="555"/>
      <c r="BT22" s="555"/>
      <c r="BU22" s="555"/>
      <c r="BV22" s="555"/>
      <c r="BW22" s="24" t="str">
        <f>IF('入力フォーム_a-FILTER'!M71="有","",IF('入力フォーム_a-FILTER'!M71="無",IF('入力フォーム_a-FILTER'!BO83="有","",IF('入力フォーム_a-FILTER'!M74="","",'入力フォーム_a-FILTER'!M74)),""))</f>
        <v/>
      </c>
      <c r="BX22" s="309"/>
      <c r="BY22" s="309"/>
      <c r="BZ22" s="309"/>
      <c r="CA22" s="309"/>
      <c r="CB22" s="568" t="str">
        <f>IF('入力フォーム_a-FILTER'!M71="無","",IF('入力フォーム_a-FILTER'!M71="有",IF('入力フォーム_a-FILTER'!M77="","",'入力フォーム_a-FILTER'!M77),""))</f>
        <v/>
      </c>
      <c r="CC22" s="309"/>
      <c r="CD22" s="300" t="e">
        <f t="shared" si="23"/>
        <v>#N/A</v>
      </c>
      <c r="CE22" s="568" t="str">
        <f>IFERROR(VLOOKUP("a-FILTER",お客様情報!T27:U31,2,FALSE),"")</f>
        <v/>
      </c>
      <c r="CF22" s="24" t="s">
        <v>999</v>
      </c>
      <c r="CG22" s="24" t="e">
        <f t="shared" si="24"/>
        <v>#N/A</v>
      </c>
      <c r="CH22" s="24" t="e">
        <f t="shared" si="24"/>
        <v>#N/A</v>
      </c>
      <c r="CI22" s="24" t="e">
        <f t="shared" si="24"/>
        <v>#N/A</v>
      </c>
      <c r="CJ22" s="24" t="e">
        <f t="shared" si="24"/>
        <v>#N/A</v>
      </c>
      <c r="CK22" s="24" t="e">
        <f t="shared" si="24"/>
        <v>#N/A</v>
      </c>
      <c r="CL22" s="24" t="s">
        <v>999</v>
      </c>
      <c r="CM22" s="24" t="e">
        <f t="shared" si="25"/>
        <v>#N/A</v>
      </c>
      <c r="CN22" s="24" t="e">
        <f t="shared" si="25"/>
        <v>#N/A</v>
      </c>
      <c r="CO22" s="24" t="e">
        <f t="shared" si="25"/>
        <v>#N/A</v>
      </c>
      <c r="CP22" s="24" t="e">
        <f t="shared" si="25"/>
        <v>#N/A</v>
      </c>
      <c r="CQ22" s="24" t="e">
        <f t="shared" si="25"/>
        <v>#N/A</v>
      </c>
      <c r="CR22" s="296"/>
      <c r="CS22" s="305"/>
      <c r="CT22" s="305"/>
      <c r="CU22" s="305"/>
      <c r="CV22" s="568">
        <v>1</v>
      </c>
      <c r="CW22" s="24" t="str">
        <f>IF('入力フォーム_a-FILTER'!BL86=0,"",'入力フォーム_a-FILTER'!BL86)</f>
        <v/>
      </c>
      <c r="CX22" s="296"/>
      <c r="CY22" s="296"/>
      <c r="CZ22" s="296"/>
      <c r="DA22" s="296"/>
      <c r="DB22" s="296"/>
      <c r="DC22" s="296"/>
      <c r="DD22" s="296"/>
      <c r="DE22" s="296"/>
      <c r="DF22" s="296"/>
      <c r="DG22" s="296"/>
      <c r="DH22" s="296"/>
      <c r="DI22" s="305"/>
      <c r="DJ22" s="305"/>
      <c r="DK22" s="305"/>
      <c r="DL22" s="305"/>
      <c r="DM22" s="305"/>
    </row>
    <row r="23" spans="1:117" ht="11">
      <c r="A23" s="621" t="s">
        <v>1358</v>
      </c>
      <c r="B23" s="24" t="e">
        <f t="shared" si="18"/>
        <v>#N/A</v>
      </c>
      <c r="C23" s="24" t="e">
        <f t="shared" si="18"/>
        <v>#N/A</v>
      </c>
      <c r="D23" s="24" t="e">
        <f t="shared" si="18"/>
        <v>#N/A</v>
      </c>
      <c r="E23" s="24" t="e">
        <f t="shared" si="18"/>
        <v>#N/A</v>
      </c>
      <c r="F23" s="24" t="str">
        <f t="shared" si="18"/>
        <v>未記入</v>
      </c>
      <c r="G23" s="24" t="e">
        <f t="shared" si="18"/>
        <v>#N/A</v>
      </c>
      <c r="H23" s="24" t="e">
        <f t="shared" si="18"/>
        <v>#N/A</v>
      </c>
      <c r="I23" s="24" t="e">
        <f t="shared" si="18"/>
        <v>#N/A</v>
      </c>
      <c r="J23" s="24" t="e">
        <f t="shared" si="18"/>
        <v>#N/A</v>
      </c>
      <c r="K23" s="24" t="e">
        <f t="shared" si="18"/>
        <v>#N/A</v>
      </c>
      <c r="L23" s="24" t="str">
        <f t="shared" si="18"/>
        <v>未記入</v>
      </c>
      <c r="M23" s="24" t="e">
        <f t="shared" si="18"/>
        <v>#N/A</v>
      </c>
      <c r="N23" s="24" t="str">
        <f t="shared" ref="N23:S24" si="30">N20</f>
        <v>未記入</v>
      </c>
      <c r="O23" s="24" t="str">
        <f t="shared" si="30"/>
        <v>未記入</v>
      </c>
      <c r="P23" s="24" t="str">
        <f t="shared" si="30"/>
        <v>未記入</v>
      </c>
      <c r="Q23" s="24" t="str">
        <f t="shared" si="30"/>
        <v>未記入</v>
      </c>
      <c r="R23" s="24" t="str">
        <f t="shared" si="30"/>
        <v>未記入</v>
      </c>
      <c r="S23" s="24" t="str">
        <f t="shared" si="30"/>
        <v>未記入</v>
      </c>
      <c r="T23" s="24" t="e">
        <f t="shared" si="19"/>
        <v>#N/A</v>
      </c>
      <c r="U23" s="24" t="e">
        <f t="shared" si="19"/>
        <v>#N/A</v>
      </c>
      <c r="V23" s="24" t="e">
        <f t="shared" si="19"/>
        <v>#N/A</v>
      </c>
      <c r="W23" s="24" t="e">
        <f t="shared" si="19"/>
        <v>#N/A</v>
      </c>
      <c r="X23" s="24" t="str">
        <f t="shared" si="19"/>
        <v>未記入</v>
      </c>
      <c r="Y23" s="24" t="e">
        <f t="shared" si="19"/>
        <v>#N/A</v>
      </c>
      <c r="Z23" s="24" t="e">
        <f t="shared" si="19"/>
        <v>#N/A</v>
      </c>
      <c r="AA23" s="24" t="e">
        <f t="shared" si="19"/>
        <v>#N/A</v>
      </c>
      <c r="AB23" s="24" t="e">
        <f t="shared" si="19"/>
        <v>#N/A</v>
      </c>
      <c r="AC23" s="24" t="s">
        <v>1358</v>
      </c>
      <c r="AD23" s="305"/>
      <c r="AE23" s="604">
        <f>'入力フォーム_f-FILTER'!BA83</f>
        <v>0</v>
      </c>
      <c r="AF23" s="568" t="str">
        <f>IF(OR('入力フォーム_f-FILTER'!AD83="",AND('入力フォーム_f-FILTER'!AD83="新規",'入力フォーム_f-FILTER'!BO83="無")),"-01",IF(OR(AND('入力フォーム_f-FILTER'!AD83="新規",'入力フォーム_f-FILTER'!BO83="有"),AND('入力フォーム_f-FILTER'!AD83&lt;&gt;"",'入力フォーム_f-FILTER'!AD83&lt;&gt;"新規")),'入力フォーム_f-FILTER'!BZ83,""))</f>
        <v>-01</v>
      </c>
      <c r="AG23" s="568"/>
      <c r="AH23" s="603" t="str">
        <f>TEXT(IF('入力フォーム_f-FILTER'!N86*'入力フォーム_f-FILTER'!U86=0,"",('入力フォーム_f-FILTER'!N86+2000)&amp;"/"&amp;'入力フォーム_f-FILTER'!U86&amp;"/"&amp;'入力フォーム_f-FILTER'!AB86),"yyyy-mm-dd")</f>
        <v/>
      </c>
      <c r="AI23" s="568" t="str">
        <f>IF('入力フォーム_f-FILTER'!N86*'入力フォーム_f-FILTER'!U86=0,"",TEXT(DATEVALUE('入力フォーム_f-FILTER'!N86+2000+VALUE(LEFT('入力フォーム_f-FILTER'!DG83))&amp;"/"&amp;'入力フォーム_f-FILTER'!U86&amp;"/"&amp;'入力フォーム_f-FILTER'!AB86)-1,"yyyy/mm/dd"))</f>
        <v/>
      </c>
      <c r="AJ23" s="24" t="str">
        <f>IF(COUNTIF('入力フォーム_f-FILTER'!DD86,"*有*"),"ISMAP対応版","")</f>
        <v/>
      </c>
      <c r="AK23" s="24" t="str">
        <f>IF(COUNTIF('入力フォーム_f-FILTER'!$CS$86,"*有*"),"大容量オプション"&amp;" "&amp;RIGHT('入力フォーム_f-FILTER'!$CS$86,LEN('入力フォーム_f-FILTER'!$CS$86)-FIND("有/",'入力フォーム_f-FILTER'!$CS$86)-1),"")</f>
        <v/>
      </c>
      <c r="AL23" s="24" t="str">
        <f>IF(COUNTIF('入力フォーム_f-FILTER'!$BZ$86,"*有*"),"保存期間延長"&amp;" "&amp;RIGHT('入力フォーム_f-FILTER'!$BZ$86,LEN('入力フォーム_f-FILTER'!$BZ$86)-FIND("有/",'入力フォーム_f-FILTER'!$BZ$86)-1),"")</f>
        <v/>
      </c>
      <c r="AN23" s="24" t="e">
        <f t="shared" si="20"/>
        <v>#N/A</v>
      </c>
      <c r="AO23" s="24" t="e">
        <f t="shared" si="20"/>
        <v>#N/A</v>
      </c>
      <c r="AP23" s="24" t="e">
        <f t="shared" si="20"/>
        <v>#N/A</v>
      </c>
      <c r="AQ23" s="24" t="e">
        <f t="shared" si="20"/>
        <v>#N/A</v>
      </c>
      <c r="AR23" s="24" t="e">
        <f t="shared" si="20"/>
        <v>#N/A</v>
      </c>
      <c r="AS23" s="24" t="e">
        <f t="shared" si="20"/>
        <v>#N/A</v>
      </c>
      <c r="AT23" s="24" t="e">
        <f t="shared" si="20"/>
        <v>#N/A</v>
      </c>
      <c r="AU23" s="568" t="str">
        <f>LEFT('入力フォーム_f-FILTER'!AD83,2)</f>
        <v/>
      </c>
      <c r="AV23" s="568" t="str">
        <f>IF(ISERROR(VALUE(LEFT('入力フォーム_f-FILTER'!DG83))*12),"",VALUE(LEFT('入力フォーム_f-FILTER'!DG83))*12)</f>
        <v/>
      </c>
      <c r="AW23" s="309"/>
      <c r="AX23" s="309"/>
      <c r="AY23" s="309"/>
      <c r="AZ23" s="309"/>
      <c r="BA23" s="309"/>
      <c r="BB23" s="309"/>
      <c r="BC23" s="24" t="e">
        <f t="shared" si="21"/>
        <v>#N/A</v>
      </c>
      <c r="BD23" s="309"/>
      <c r="BE23" s="309"/>
      <c r="BF23" s="309"/>
      <c r="BG23" s="309"/>
      <c r="BH23" s="25" t="s">
        <v>132</v>
      </c>
      <c r="BI23" s="309"/>
      <c r="BJ23" s="309"/>
      <c r="BK23" s="309"/>
      <c r="BL23" s="601" t="e">
        <f>BL$3</f>
        <v>#N/A</v>
      </c>
      <c r="BM23" s="601" t="e">
        <f t="shared" si="22"/>
        <v>#N/A</v>
      </c>
      <c r="BN23" s="555"/>
      <c r="BQ23" s="555"/>
      <c r="BR23" s="555"/>
      <c r="BS23" s="555"/>
      <c r="BT23" s="555"/>
      <c r="BU23" s="555"/>
      <c r="BV23" s="555"/>
      <c r="BW23" s="24" t="str">
        <f>IF('入力フォーム_f-FILTER'!M71="有","",IF('入力フォーム_f-FILTER'!M71="無",IF('入力フォーム_f-FILTER'!BO83="有","",IF('入力フォーム_f-FILTER'!M74="","",'入力フォーム_f-FILTER'!M74)),""))</f>
        <v/>
      </c>
      <c r="BX23" s="309"/>
      <c r="BY23" s="309"/>
      <c r="BZ23" s="309"/>
      <c r="CA23" s="309"/>
      <c r="CB23" s="568" t="str">
        <f>IF('入力フォーム_f-FILTER'!M71="無","",IF('入力フォーム_f-FILTER'!M71="有",IF('入力フォーム_f-FILTER'!M77="","",'入力フォーム_f-FILTER'!M77),""))</f>
        <v/>
      </c>
      <c r="CC23" s="309"/>
      <c r="CD23" s="300" t="e">
        <f t="shared" si="23"/>
        <v>#N/A</v>
      </c>
      <c r="CE23" s="568" t="str">
        <f>IFERROR(VLOOKUP("f-FILTER",お客様情報!Y2:Z9,2,FALSE),"")</f>
        <v/>
      </c>
      <c r="CF23" s="24" t="s">
        <v>999</v>
      </c>
      <c r="CG23" s="24" t="e">
        <f t="shared" si="24"/>
        <v>#N/A</v>
      </c>
      <c r="CH23" s="24" t="e">
        <f t="shared" si="24"/>
        <v>#N/A</v>
      </c>
      <c r="CI23" s="24" t="e">
        <f t="shared" si="24"/>
        <v>#N/A</v>
      </c>
      <c r="CJ23" s="24" t="e">
        <f t="shared" si="24"/>
        <v>#N/A</v>
      </c>
      <c r="CK23" s="24" t="e">
        <f t="shared" si="24"/>
        <v>#N/A</v>
      </c>
      <c r="CL23" s="24" t="s">
        <v>999</v>
      </c>
      <c r="CM23" s="24" t="e">
        <f t="shared" si="25"/>
        <v>#N/A</v>
      </c>
      <c r="CN23" s="24" t="e">
        <f t="shared" si="25"/>
        <v>#N/A</v>
      </c>
      <c r="CO23" s="24" t="e">
        <f t="shared" si="25"/>
        <v>#N/A</v>
      </c>
      <c r="CP23" s="24" t="e">
        <f t="shared" si="25"/>
        <v>#N/A</v>
      </c>
      <c r="CQ23" s="24" t="e">
        <f t="shared" si="25"/>
        <v>#N/A</v>
      </c>
      <c r="CR23" s="296"/>
      <c r="CS23" s="305"/>
      <c r="CT23" s="305"/>
      <c r="CU23" s="305"/>
      <c r="CV23" s="568">
        <v>1</v>
      </c>
      <c r="CW23" s="296"/>
      <c r="CX23" s="296"/>
      <c r="CY23" s="296"/>
      <c r="CZ23" s="296"/>
      <c r="DA23" s="296"/>
      <c r="DB23" s="296"/>
      <c r="DC23" s="296"/>
      <c r="DD23" s="296"/>
      <c r="DE23" s="296"/>
      <c r="DF23" s="296"/>
      <c r="DG23" s="296"/>
      <c r="DH23" s="296"/>
      <c r="DI23" s="305"/>
      <c r="DJ23" s="305"/>
      <c r="DK23" s="305"/>
      <c r="DL23" s="305"/>
      <c r="DM23" s="305"/>
    </row>
    <row r="24" spans="1:117" ht="11">
      <c r="A24" s="671" t="s">
        <v>1524</v>
      </c>
      <c r="B24" s="24" t="e">
        <f t="shared" si="18"/>
        <v>#N/A</v>
      </c>
      <c r="C24" s="24" t="e">
        <f t="shared" si="18"/>
        <v>#N/A</v>
      </c>
      <c r="D24" s="24" t="e">
        <f t="shared" si="18"/>
        <v>#N/A</v>
      </c>
      <c r="E24" s="24" t="e">
        <f t="shared" si="18"/>
        <v>#N/A</v>
      </c>
      <c r="F24" s="24" t="str">
        <f t="shared" si="18"/>
        <v>未記入</v>
      </c>
      <c r="G24" s="24" t="e">
        <f t="shared" si="18"/>
        <v>#N/A</v>
      </c>
      <c r="H24" s="24" t="e">
        <f t="shared" si="18"/>
        <v>#N/A</v>
      </c>
      <c r="I24" s="24" t="e">
        <f t="shared" si="18"/>
        <v>#N/A</v>
      </c>
      <c r="J24" s="24" t="e">
        <f t="shared" si="18"/>
        <v>#N/A</v>
      </c>
      <c r="K24" s="24" t="e">
        <f t="shared" si="18"/>
        <v>#N/A</v>
      </c>
      <c r="L24" s="24" t="str">
        <f t="shared" si="18"/>
        <v>未記入</v>
      </c>
      <c r="M24" s="24" t="e">
        <f t="shared" si="18"/>
        <v>#N/A</v>
      </c>
      <c r="N24" s="24" t="str">
        <f t="shared" si="30"/>
        <v>未記入</v>
      </c>
      <c r="O24" s="24" t="str">
        <f t="shared" si="30"/>
        <v>未記入</v>
      </c>
      <c r="P24" s="24" t="str">
        <f t="shared" si="30"/>
        <v>未記入</v>
      </c>
      <c r="Q24" s="24" t="str">
        <f t="shared" si="30"/>
        <v>未記入</v>
      </c>
      <c r="R24" s="24" t="str">
        <f t="shared" si="30"/>
        <v>未記入</v>
      </c>
      <c r="S24" s="24" t="str">
        <f t="shared" si="30"/>
        <v>未記入</v>
      </c>
      <c r="T24" s="24" t="e">
        <f t="shared" si="19"/>
        <v>#N/A</v>
      </c>
      <c r="U24" s="24" t="e">
        <f t="shared" si="19"/>
        <v>#N/A</v>
      </c>
      <c r="V24" s="24" t="e">
        <f t="shared" si="19"/>
        <v>#N/A</v>
      </c>
      <c r="W24" s="24" t="e">
        <f t="shared" si="19"/>
        <v>#N/A</v>
      </c>
      <c r="X24" s="24" t="str">
        <f t="shared" si="19"/>
        <v>未記入</v>
      </c>
      <c r="Y24" s="24" t="e">
        <f t="shared" si="19"/>
        <v>#N/A</v>
      </c>
      <c r="Z24" s="24" t="e">
        <f t="shared" si="19"/>
        <v>#N/A</v>
      </c>
      <c r="AA24" s="24" t="e">
        <f t="shared" si="19"/>
        <v>#N/A</v>
      </c>
      <c r="AB24" s="24" t="e">
        <f t="shared" si="19"/>
        <v>#N/A</v>
      </c>
      <c r="AC24" s="24" t="b">
        <f>IF('入力フォーム_Z-FILTER'!J91&lt;&gt;"","Z-FILTER "&amp;'入力フォーム_Z-FILTER'!J91)</f>
        <v>0</v>
      </c>
      <c r="AD24" s="305"/>
      <c r="AE24" s="604">
        <f>'入力フォーム_Z-FILTER'!BA91</f>
        <v>0</v>
      </c>
      <c r="AF24" s="568" t="str">
        <f>IF(OR('入力フォーム_f-FILTER'!AD88="",AND('入力フォーム_f-FILTER'!AD88="新規",'入力フォーム_f-FILTER'!BO88="無")),"-01",IF(OR(AND('入力フォーム_f-FILTER'!AD88="新規",'入力フォーム_f-FILTER'!BO88="有"),AND('入力フォーム_f-FILTER'!AD88&lt;&gt;"",'入力フォーム_f-FILTER'!AD88&lt;&gt;"新規")),'入力フォーム_f-FILTER'!BZ88,""))</f>
        <v>-01</v>
      </c>
      <c r="AG24" s="568"/>
      <c r="AH24" s="603" t="str">
        <f>TEXT(IF('入力フォーム_Z-FILTER'!N94*'入力フォーム_Z-FILTER'!U94=0,"",('入力フォーム_Z-FILTER'!N94+2000)&amp;"/"&amp;'入力フォーム_Z-FILTER'!U94&amp;"/"&amp;'入力フォーム_Z-FILTER'!AB94),"yyyy-mm-dd")</f>
        <v/>
      </c>
      <c r="AI24" s="568" t="str">
        <f>IF('入力フォーム_Z-FILTER'!N94*'入力フォーム_Z-FILTER'!U94=0,"",TEXT(DATEVALUE('入力フォーム_Z-FILTER'!N94+2000+VALUE(LEFT('入力フォーム_Z-FILTER'!DG91))&amp;"/"&amp;'入力フォーム_Z-FILTER'!U94&amp;"/"&amp;'入力フォーム_Z-FILTER'!AB94)-1,"yyyy/mm/dd"))</f>
        <v/>
      </c>
      <c r="AJ24" s="24" t="str">
        <f>IF(AND('入力フォーム_Z-FILTER'!H114&lt;&gt;"",'入力フォーム_Z-FILTER'!H114&lt;&gt;中間データ共通・DACloud!M4),'入力フォーム_Z-FILTER'!H114,"")</f>
        <v/>
      </c>
      <c r="AK24" s="24" t="str">
        <f>IF('入力フォーム_Z-FILTER'!AB114="有",'入力フォーム_Z-FILTER'!T114,"")</f>
        <v/>
      </c>
      <c r="AL24" s="24" t="str">
        <f>IF(OR('入力フォーム_Z-FILTER'!AM114="有（f-FILTER保有シリアルあり）",'入力フォーム_Z-FILTER'!AM114="有（f-FILTER試用版シリアルあり）",'入力フォーム_Z-FILTER'!AM114="有（f-FILTERシリアルなし）"),'入力フォーム_Z-FILTER'!AE114&amp;"オプション","")</f>
        <v/>
      </c>
      <c r="AM24" s="24" t="str">
        <f>IF('入力フォーム_Z-FILTER'!M117="有","専有IPアドレス","")</f>
        <v/>
      </c>
      <c r="AN24" s="24" t="e">
        <f t="shared" si="20"/>
        <v>#N/A</v>
      </c>
      <c r="AO24" s="24" t="e">
        <f t="shared" si="20"/>
        <v>#N/A</v>
      </c>
      <c r="AP24" s="24" t="e">
        <f t="shared" si="20"/>
        <v>#N/A</v>
      </c>
      <c r="AQ24" s="24" t="e">
        <f t="shared" si="20"/>
        <v>#N/A</v>
      </c>
      <c r="AR24" s="24" t="e">
        <f t="shared" si="20"/>
        <v>#N/A</v>
      </c>
      <c r="AS24" s="24" t="b">
        <v>1</v>
      </c>
      <c r="AT24" s="24" t="e">
        <f t="shared" si="20"/>
        <v>#N/A</v>
      </c>
      <c r="AU24" s="568" t="str">
        <f>IF('入力フォーム_Z-FILTER'!AD91="","",IF('入力フォーム_Z-FILTER'!AD91="新規","新規",IF(COUNTIF('入力フォーム_Z-FILTER'!AD91,"*更新*"),"更新","エディション移行")))</f>
        <v/>
      </c>
      <c r="AV24" s="568" t="str">
        <f>IF(ISERROR(VALUE(LEFT('入力フォーム_Z-FILTER'!DG91))*12),"",VALUE(LEFT('入力フォーム_Z-FILTER'!DG91))*12)</f>
        <v/>
      </c>
      <c r="AW24" s="309"/>
      <c r="AX24" s="309"/>
      <c r="AY24" s="309"/>
      <c r="AZ24" s="309"/>
      <c r="BA24" s="309"/>
      <c r="BB24" s="309"/>
      <c r="BC24" s="24" t="e">
        <f t="shared" si="21"/>
        <v>#N/A</v>
      </c>
      <c r="BD24" s="309"/>
      <c r="BE24" s="309"/>
      <c r="BF24" s="309"/>
      <c r="BG24" s="309"/>
      <c r="BH24" s="25" t="s">
        <v>132</v>
      </c>
      <c r="BI24" s="309"/>
      <c r="BJ24" s="309"/>
      <c r="BK24" s="309"/>
      <c r="BL24" s="601" t="e">
        <f>BL$3</f>
        <v>#N/A</v>
      </c>
      <c r="BM24" s="601" t="e">
        <f t="shared" si="22"/>
        <v>#N/A</v>
      </c>
      <c r="BN24" s="24" t="str">
        <f>IF('入力フォーム_Z-FILTER'!M120="有","証明書追加発行","")</f>
        <v/>
      </c>
      <c r="BQ24" s="24" t="str">
        <f>IF('入力フォーム_Z-FILTER'!M123="有","IPsec 通信帯域 "&amp;'中間データ共通・Desk・f-FILTER・Z-FILTER'!V18,"")</f>
        <v/>
      </c>
      <c r="BR24" s="24" t="str">
        <f>IF('入力フォーム_Z-FILTER'!M123="有","IPsec 通信容量 "&amp;'中間データ共通・Desk・f-FILTER・Z-FILTER'!V19&amp;"（標準1TB含む）","")</f>
        <v/>
      </c>
      <c r="BS24" s="555"/>
      <c r="BT24" s="555"/>
      <c r="BU24" s="555"/>
      <c r="BV24" s="555"/>
      <c r="BW24" s="24" t="str">
        <f>IF('入力フォーム_Z-FILTER'!M80="有","",IF('入力フォーム_Z-FILTER'!M80="無",IF('入力フォーム_Z-FILTER'!BO88="有","",IF('入力フォーム_Z-FILTER'!M83="","",'入力フォーム_Z-FILTER'!M83)),""))</f>
        <v/>
      </c>
      <c r="BX24" s="309"/>
      <c r="BY24" s="309"/>
      <c r="BZ24" s="309"/>
      <c r="CA24" s="309"/>
      <c r="CB24" s="568" t="str">
        <f>IF('入力フォーム_Z-FILTER'!M79="無","",IF('入力フォーム_Z-FILTER'!M79="有",IF('入力フォーム_Z-FILTER'!M85="","",'入力フォーム_Z-FILTER'!M85),""))</f>
        <v/>
      </c>
      <c r="CC24" s="309"/>
      <c r="CD24" s="300" t="e">
        <f t="shared" si="23"/>
        <v>#N/A</v>
      </c>
      <c r="CE24" s="568" t="str">
        <f>IFERROR(VLOOKUP("Z-FILTER",お客様情報!Y12:Z17,2,FALSE),"")</f>
        <v/>
      </c>
      <c r="CF24" s="24" t="s">
        <v>999</v>
      </c>
      <c r="CG24" s="24" t="e">
        <f t="shared" si="24"/>
        <v>#N/A</v>
      </c>
      <c r="CH24" s="24" t="e">
        <f t="shared" si="24"/>
        <v>#N/A</v>
      </c>
      <c r="CI24" s="24" t="e">
        <f t="shared" si="24"/>
        <v>#N/A</v>
      </c>
      <c r="CJ24" s="24" t="e">
        <f t="shared" si="24"/>
        <v>#N/A</v>
      </c>
      <c r="CK24" s="24" t="e">
        <f t="shared" si="24"/>
        <v>#N/A</v>
      </c>
      <c r="CL24" s="24" t="s">
        <v>999</v>
      </c>
      <c r="CM24" s="24" t="e">
        <f t="shared" si="25"/>
        <v>#N/A</v>
      </c>
      <c r="CN24" s="24" t="e">
        <f t="shared" si="25"/>
        <v>#N/A</v>
      </c>
      <c r="CO24" s="24" t="e">
        <f t="shared" si="25"/>
        <v>#N/A</v>
      </c>
      <c r="CP24" s="24" t="e">
        <f t="shared" si="25"/>
        <v>#N/A</v>
      </c>
      <c r="CQ24" s="24" t="e">
        <f t="shared" si="25"/>
        <v>#N/A</v>
      </c>
      <c r="CR24" s="296"/>
      <c r="CS24" s="305"/>
      <c r="CT24" s="305"/>
      <c r="CU24" s="305"/>
      <c r="CV24" s="568">
        <v>1</v>
      </c>
      <c r="CW24" s="24" t="str">
        <f>IF('入力フォーム_Z-FILTER'!V108="","",'入力フォーム_Z-FILTER'!V108)</f>
        <v/>
      </c>
      <c r="CX24" s="24" t="str">
        <f>IF('入力フォーム_Z-FILTER'!J108="端末数",1,IF('入力フォーム_Z-FILTER'!J108="ユーザー数",2,""))</f>
        <v/>
      </c>
      <c r="CY24" s="307" t="str">
        <f>IF(ISBLANK('入力フォーム_Z-FILTER'!AX108),"",'入力フォーム_Z-FILTER'!AX108)</f>
        <v/>
      </c>
      <c r="CZ24" s="307" t="str">
        <f>IF(ISBLANK('入力フォーム_Z-FILTER'!BJ108),"",'入力フォーム_Z-FILTER'!BJ108)</f>
        <v/>
      </c>
      <c r="DA24" s="296"/>
      <c r="DB24" s="296"/>
      <c r="DC24" s="296"/>
      <c r="DD24" s="296"/>
      <c r="DE24" s="296"/>
      <c r="DF24" s="296"/>
      <c r="DG24" s="296"/>
      <c r="DH24" s="296"/>
      <c r="DI24" s="24" t="str">
        <f>IF('入力フォーム_Z-FILTER'!AG97&lt;&gt;"",'入力フォーム_Z-FILTER'!AG97,"")</f>
        <v/>
      </c>
      <c r="DJ24" s="24" t="str">
        <f>IF('入力フォーム_Z-FILTER'!BH114&lt;&gt;"",'入力フォーム_Z-FILTER'!BH114,"")</f>
        <v/>
      </c>
      <c r="DK24" s="305"/>
      <c r="DL24" s="24" t="str">
        <f>IF('入力フォーム_Z-FILTER'!BZ94&lt;&gt;"",'入力フォーム_Z-FILTER'!BZ94,"")</f>
        <v/>
      </c>
      <c r="DM24" s="701"/>
    </row>
    <row r="25" spans="1:117" ht="11">
      <c r="A25" s="25"/>
      <c r="BW25" s="24"/>
    </row>
    <row r="26" spans="1:117" ht="11">
      <c r="A26" s="317" t="s">
        <v>556</v>
      </c>
      <c r="B26" s="317"/>
      <c r="C26" s="317"/>
      <c r="D26" s="317"/>
      <c r="E26" s="317"/>
      <c r="F26" s="317"/>
      <c r="G26" s="317"/>
      <c r="H26" s="317"/>
      <c r="I26" s="317"/>
      <c r="J26" s="317"/>
      <c r="K26" s="317"/>
      <c r="L26" s="317"/>
      <c r="M26" s="317"/>
      <c r="N26" s="317"/>
      <c r="O26" s="317"/>
      <c r="P26" s="317"/>
      <c r="Q26" s="317"/>
      <c r="R26" s="317"/>
      <c r="S26" s="317"/>
      <c r="T26" s="317" t="s">
        <v>955</v>
      </c>
      <c r="U26" s="317"/>
      <c r="V26" s="317"/>
      <c r="W26" s="317"/>
      <c r="X26" s="317"/>
      <c r="Y26" s="317"/>
      <c r="Z26" s="317"/>
      <c r="AA26" s="317"/>
      <c r="AB26" s="317"/>
      <c r="AC26" s="317" t="s">
        <v>956</v>
      </c>
      <c r="AD26" s="317" t="s">
        <v>957</v>
      </c>
      <c r="AE26" s="317" t="s">
        <v>958</v>
      </c>
      <c r="AF26" s="317" t="s">
        <v>959</v>
      </c>
      <c r="AG26" s="317"/>
      <c r="AH26" s="318"/>
      <c r="AI26" s="317"/>
      <c r="AJ26" s="317" t="s">
        <v>957</v>
      </c>
      <c r="AK26" s="317" t="s">
        <v>957</v>
      </c>
      <c r="AL26" s="317" t="s">
        <v>957</v>
      </c>
      <c r="AM26" s="317" t="s">
        <v>957</v>
      </c>
      <c r="AN26" s="317"/>
      <c r="AO26" s="317"/>
      <c r="AP26" s="317"/>
      <c r="AQ26" s="317"/>
      <c r="AR26" s="317"/>
      <c r="AS26" s="317"/>
      <c r="AT26" s="317"/>
      <c r="AU26" s="317" t="s">
        <v>960</v>
      </c>
      <c r="AV26" s="317"/>
      <c r="AW26" s="317" t="s">
        <v>106</v>
      </c>
      <c r="AX26" s="317" t="s">
        <v>961</v>
      </c>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row>
    <row r="27" spans="1:117" ht="13.5" customHeight="1">
      <c r="A27" s="319" t="s">
        <v>962</v>
      </c>
      <c r="B27" s="387" t="s">
        <v>963</v>
      </c>
      <c r="C27" s="387"/>
      <c r="D27" s="387"/>
      <c r="E27" s="387"/>
      <c r="F27" s="387"/>
      <c r="G27" s="387"/>
      <c r="H27" s="388" t="s">
        <v>964</v>
      </c>
      <c r="I27" s="388"/>
      <c r="J27" s="388"/>
      <c r="K27" s="388"/>
      <c r="L27" s="388"/>
      <c r="M27" s="388"/>
      <c r="N27" s="389" t="s">
        <v>965</v>
      </c>
      <c r="O27" s="389"/>
      <c r="P27" s="389"/>
      <c r="Q27" s="389"/>
      <c r="R27" s="389"/>
      <c r="S27" s="389"/>
      <c r="T27" s="301" t="s">
        <v>966</v>
      </c>
      <c r="U27" s="301"/>
      <c r="V27" s="301"/>
      <c r="W27" s="301"/>
      <c r="X27" s="301"/>
      <c r="Y27" s="301"/>
      <c r="Z27" s="301"/>
      <c r="AA27" s="390" t="s">
        <v>967</v>
      </c>
      <c r="AB27" s="390"/>
      <c r="AN27" s="302"/>
      <c r="AO27" s="302"/>
      <c r="AP27" s="302"/>
      <c r="AQ27" s="302"/>
      <c r="AR27" s="302"/>
      <c r="AS27" s="302"/>
      <c r="AT27" s="302"/>
      <c r="AU27" s="305"/>
      <c r="AV27" s="305"/>
      <c r="AY27" s="301"/>
      <c r="BD27" s="296"/>
      <c r="BE27" s="296"/>
      <c r="BF27" s="296"/>
      <c r="BG27" s="296"/>
      <c r="BH27" s="296"/>
      <c r="BI27" s="296"/>
      <c r="BJ27" s="296" t="s">
        <v>119</v>
      </c>
      <c r="BK27" s="296" t="s">
        <v>128</v>
      </c>
      <c r="BL27" s="302" t="s">
        <v>968</v>
      </c>
      <c r="BM27" s="302"/>
      <c r="BW27" s="24"/>
    </row>
    <row r="28" spans="1:117" ht="11">
      <c r="A28" s="24" t="s">
        <v>10</v>
      </c>
      <c r="B28" s="298" t="s">
        <v>969</v>
      </c>
      <c r="C28" s="298" t="s">
        <v>970</v>
      </c>
      <c r="D28" s="298" t="s">
        <v>971</v>
      </c>
      <c r="E28" s="298" t="s">
        <v>972</v>
      </c>
      <c r="F28" s="298" t="s">
        <v>973</v>
      </c>
      <c r="G28" s="298" t="s">
        <v>974</v>
      </c>
      <c r="H28" s="299" t="s">
        <v>969</v>
      </c>
      <c r="I28" s="299" t="s">
        <v>970</v>
      </c>
      <c r="J28" s="299" t="s">
        <v>971</v>
      </c>
      <c r="K28" s="299" t="s">
        <v>972</v>
      </c>
      <c r="L28" s="299" t="s">
        <v>973</v>
      </c>
      <c r="M28" s="299" t="s">
        <v>974</v>
      </c>
      <c r="N28" s="320" t="s">
        <v>969</v>
      </c>
      <c r="O28" s="320" t="s">
        <v>970</v>
      </c>
      <c r="P28" s="320" t="s">
        <v>971</v>
      </c>
      <c r="Q28" s="320" t="s">
        <v>972</v>
      </c>
      <c r="R28" s="320" t="s">
        <v>973</v>
      </c>
      <c r="S28" s="320" t="s">
        <v>974</v>
      </c>
      <c r="T28" s="301" t="s">
        <v>969</v>
      </c>
      <c r="U28" s="301" t="s">
        <v>970</v>
      </c>
      <c r="V28" s="301" t="s">
        <v>971</v>
      </c>
      <c r="W28" s="301" t="s">
        <v>972</v>
      </c>
      <c r="X28" s="301" t="s">
        <v>973</v>
      </c>
      <c r="Y28" s="301" t="s">
        <v>975</v>
      </c>
      <c r="Z28" s="301" t="s">
        <v>974</v>
      </c>
      <c r="AA28" s="302" t="s">
        <v>11</v>
      </c>
      <c r="AB28" s="302" t="s">
        <v>12</v>
      </c>
      <c r="AC28" s="24" t="s">
        <v>13</v>
      </c>
      <c r="AD28" s="24" t="s">
        <v>14</v>
      </c>
      <c r="AE28" s="24" t="s">
        <v>15</v>
      </c>
      <c r="AF28" s="24" t="s">
        <v>16</v>
      </c>
      <c r="AG28" s="24" t="s">
        <v>17</v>
      </c>
      <c r="AH28" s="24" t="s">
        <v>18</v>
      </c>
      <c r="AI28" s="24" t="s">
        <v>19</v>
      </c>
      <c r="AJ28" s="320" t="s">
        <v>659</v>
      </c>
      <c r="AK28" s="320" t="s">
        <v>976</v>
      </c>
      <c r="AL28" s="320" t="s">
        <v>977</v>
      </c>
      <c r="AM28" s="320" t="s">
        <v>978</v>
      </c>
      <c r="AN28" s="302" t="s">
        <v>24</v>
      </c>
      <c r="AO28" s="302" t="s">
        <v>25</v>
      </c>
      <c r="AP28" s="302" t="s">
        <v>26</v>
      </c>
      <c r="AQ28" s="302" t="s">
        <v>27</v>
      </c>
      <c r="AR28" s="302" t="s">
        <v>28</v>
      </c>
      <c r="AS28" s="302" t="s">
        <v>133</v>
      </c>
      <c r="AT28" s="302" t="s">
        <v>31</v>
      </c>
      <c r="AU28" s="305" t="s">
        <v>29</v>
      </c>
      <c r="AV28" s="305" t="s">
        <v>30</v>
      </c>
      <c r="AW28" s="321" t="s">
        <v>107</v>
      </c>
      <c r="AX28" s="321" t="s">
        <v>108</v>
      </c>
      <c r="AY28" s="321" t="s">
        <v>11</v>
      </c>
      <c r="AZ28" s="321" t="s">
        <v>109</v>
      </c>
      <c r="BA28" s="321" t="s">
        <v>110</v>
      </c>
      <c r="BB28" s="321" t="s">
        <v>111</v>
      </c>
      <c r="BC28" s="321" t="s">
        <v>112</v>
      </c>
      <c r="BD28" s="296" t="s">
        <v>115</v>
      </c>
      <c r="BE28" s="296" t="s">
        <v>116</v>
      </c>
      <c r="BF28" s="296" t="s">
        <v>113</v>
      </c>
      <c r="BG28" s="296" t="s">
        <v>117</v>
      </c>
      <c r="BH28" s="296" t="s">
        <v>118</v>
      </c>
      <c r="BI28" s="296" t="s">
        <v>114</v>
      </c>
      <c r="BJ28" s="296"/>
      <c r="BK28" s="296"/>
      <c r="BL28" s="302" t="s">
        <v>503</v>
      </c>
      <c r="BM28" s="302" t="s">
        <v>504</v>
      </c>
      <c r="BN28" s="24" t="s">
        <v>979</v>
      </c>
      <c r="BO28" s="24" t="s">
        <v>980</v>
      </c>
      <c r="BP28" s="24" t="s">
        <v>981</v>
      </c>
      <c r="BQ28" s="24" t="s">
        <v>131</v>
      </c>
      <c r="BR28" s="24" t="s">
        <v>126</v>
      </c>
      <c r="BS28" s="24" t="s">
        <v>982</v>
      </c>
      <c r="BT28" s="24" t="s">
        <v>675</v>
      </c>
      <c r="BU28" s="24" t="s">
        <v>676</v>
      </c>
      <c r="BV28" s="24" t="s">
        <v>677</v>
      </c>
      <c r="BW28" s="297" t="s">
        <v>1008</v>
      </c>
      <c r="BX28" s="297" t="s">
        <v>1009</v>
      </c>
      <c r="BY28" s="297" t="s">
        <v>1010</v>
      </c>
      <c r="BZ28" s="24" t="s">
        <v>983</v>
      </c>
      <c r="CA28" s="24" t="s">
        <v>681</v>
      </c>
      <c r="CB28" s="297" t="s">
        <v>1011</v>
      </c>
      <c r="CC28" s="24" t="s">
        <v>683</v>
      </c>
      <c r="CD28" s="300" t="s">
        <v>673</v>
      </c>
      <c r="CE28" s="300" t="s">
        <v>674</v>
      </c>
      <c r="CF28" s="24" t="s">
        <v>984</v>
      </c>
      <c r="CG28" s="24" t="s">
        <v>985</v>
      </c>
      <c r="CH28" s="24" t="s">
        <v>986</v>
      </c>
      <c r="CI28" s="24" t="s">
        <v>987</v>
      </c>
      <c r="CJ28" s="24" t="s">
        <v>988</v>
      </c>
      <c r="CK28" s="24" t="s">
        <v>989</v>
      </c>
      <c r="CL28" s="24" t="s">
        <v>990</v>
      </c>
      <c r="CM28" s="24" t="s">
        <v>991</v>
      </c>
      <c r="CN28" s="24" t="s">
        <v>992</v>
      </c>
      <c r="CO28" s="24" t="s">
        <v>993</v>
      </c>
      <c r="CP28" s="24" t="s">
        <v>994</v>
      </c>
      <c r="CQ28" s="24" t="s">
        <v>995</v>
      </c>
      <c r="CR28" s="24" t="s">
        <v>821</v>
      </c>
      <c r="CS28" s="24" t="s">
        <v>881</v>
      </c>
      <c r="CT28" s="24" t="s">
        <v>933</v>
      </c>
      <c r="CU28" s="24" t="s">
        <v>934</v>
      </c>
      <c r="CV28" s="24" t="s">
        <v>954</v>
      </c>
      <c r="CW28" s="24" t="s">
        <v>1152</v>
      </c>
      <c r="CX28" s="24" t="s">
        <v>1153</v>
      </c>
      <c r="CY28" s="24" t="s">
        <v>1154</v>
      </c>
      <c r="CZ28" s="24" t="s">
        <v>1155</v>
      </c>
      <c r="DA28" s="24" t="s">
        <v>1156</v>
      </c>
      <c r="DB28" s="24" t="s">
        <v>1157</v>
      </c>
      <c r="DC28" s="24" t="s">
        <v>1158</v>
      </c>
      <c r="DD28" s="24" t="s">
        <v>1159</v>
      </c>
      <c r="DE28" s="24" t="s">
        <v>1196</v>
      </c>
      <c r="DF28" s="24" t="s">
        <v>1210</v>
      </c>
      <c r="DG28" s="24" t="s">
        <v>1309</v>
      </c>
      <c r="DH28" s="24" t="s">
        <v>1367</v>
      </c>
      <c r="DI28" s="24" t="s">
        <v>1593</v>
      </c>
      <c r="DJ28" s="24" t="s">
        <v>1544</v>
      </c>
      <c r="DK28" s="24" t="s">
        <v>1580</v>
      </c>
      <c r="DL28" s="24" t="s">
        <v>1598</v>
      </c>
      <c r="DM28" s="24" t="s">
        <v>1599</v>
      </c>
    </row>
    <row r="29" spans="1:117" ht="11">
      <c r="A29" s="322" t="s">
        <v>997</v>
      </c>
      <c r="B29" s="24" t="e">
        <f t="shared" ref="B29:M33" si="31">B$3</f>
        <v>#N/A</v>
      </c>
      <c r="C29" s="24" t="e">
        <f t="shared" si="31"/>
        <v>#N/A</v>
      </c>
      <c r="D29" s="24" t="e">
        <f t="shared" si="31"/>
        <v>#N/A</v>
      </c>
      <c r="E29" s="24" t="e">
        <f t="shared" si="31"/>
        <v>#N/A</v>
      </c>
      <c r="F29" s="24" t="str">
        <f t="shared" si="31"/>
        <v>未記入</v>
      </c>
      <c r="G29" s="24" t="e">
        <f t="shared" si="31"/>
        <v>#N/A</v>
      </c>
      <c r="H29" s="24" t="e">
        <f t="shared" si="31"/>
        <v>#N/A</v>
      </c>
      <c r="I29" s="24" t="e">
        <f t="shared" si="31"/>
        <v>#N/A</v>
      </c>
      <c r="J29" s="24" t="e">
        <f t="shared" si="31"/>
        <v>#N/A</v>
      </c>
      <c r="K29" s="24" t="e">
        <f t="shared" si="31"/>
        <v>#N/A</v>
      </c>
      <c r="L29" s="24" t="str">
        <f t="shared" si="31"/>
        <v>未記入</v>
      </c>
      <c r="M29" s="24" t="e">
        <f t="shared" si="31"/>
        <v>#N/A</v>
      </c>
      <c r="N29" s="325" t="s">
        <v>380</v>
      </c>
      <c r="O29" s="325" t="s">
        <v>380</v>
      </c>
      <c r="P29" s="325" t="s">
        <v>380</v>
      </c>
      <c r="Q29" s="325" t="s">
        <v>380</v>
      </c>
      <c r="R29" s="325" t="s">
        <v>380</v>
      </c>
      <c r="S29" s="325" t="s">
        <v>380</v>
      </c>
      <c r="T29" s="24" t="e">
        <f t="shared" ref="T29:AB33" si="32">T$3</f>
        <v>#N/A</v>
      </c>
      <c r="U29" s="24" t="e">
        <f t="shared" si="32"/>
        <v>#N/A</v>
      </c>
      <c r="V29" s="24" t="e">
        <f t="shared" si="32"/>
        <v>#N/A</v>
      </c>
      <c r="W29" s="24" t="e">
        <f t="shared" si="32"/>
        <v>#N/A</v>
      </c>
      <c r="X29" s="24" t="str">
        <f t="shared" si="32"/>
        <v>未記入</v>
      </c>
      <c r="Y29" s="24" t="e">
        <f t="shared" si="32"/>
        <v>#N/A</v>
      </c>
      <c r="Z29" s="24" t="e">
        <f t="shared" si="32"/>
        <v>#N/A</v>
      </c>
      <c r="AA29" s="24" t="e">
        <f t="shared" si="32"/>
        <v>#N/A</v>
      </c>
      <c r="AB29" s="24" t="e">
        <f t="shared" si="32"/>
        <v>#N/A</v>
      </c>
      <c r="AC29" s="24" t="str">
        <f>IF(ISBLANK(入力フォームDSPA!D78),"",VLOOKUP(入力フォームDSPA!D78,中間データDSPA!B2:C36,2,FALSE))</f>
        <v/>
      </c>
      <c r="AD29" s="305"/>
      <c r="AE29" s="24" t="s">
        <v>998</v>
      </c>
      <c r="AF29" s="24" t="str">
        <f>IF(入力フォームDSPA!AG97="初年度","-01",IF(入力フォームDSPA!AL97="","",入力フォームDSPA!AL97))</f>
        <v/>
      </c>
      <c r="AG29" s="24" t="str">
        <f>IFERROR(中間データDSPA!H4,"")</f>
        <v/>
      </c>
      <c r="AH29" s="327" t="str">
        <f>IF(中間データDSPA!G4="2000/0/1","",中間データDSPA!G4)</f>
        <v/>
      </c>
      <c r="AI29" s="327" t="str">
        <f>IFERROR(中間データDSPA!I4,"")</f>
        <v/>
      </c>
      <c r="AJ29" s="320" t="str">
        <f>IF(入力フォームDSPA!AE78="","",VLOOKUP(入力フォームDSPA!AE78,中間データDSPA!$B$62:$C$68,2,FALSE))</f>
        <v/>
      </c>
      <c r="AK29" s="320" t="str">
        <f>IF(入力フォームDSPA!BM78="","",VLOOKUP(入力フォームDSPA!BM78,中間データDSPA!$B$80:$C$81,2,FALSE))</f>
        <v/>
      </c>
      <c r="AL29" s="320" t="str">
        <f>IF(入力フォームDSPA!CD78="","",VLOOKUP(入力フォームDSPA!CD78,中間データDSPA!$B$84:$C$86,2,FALSE))</f>
        <v/>
      </c>
      <c r="AM29" s="320" t="str">
        <f>IF(入力フォームDSPA!CU78="","",VLOOKUP(入力フォームDSPA!CU78,中間データDSPA!$B$92:$C$97,2,FALSE))</f>
        <v/>
      </c>
      <c r="AN29" s="302" t="e">
        <f t="shared" ref="AN29:AT33" si="33">AN$3</f>
        <v>#N/A</v>
      </c>
      <c r="AO29" s="302" t="e">
        <f t="shared" si="33"/>
        <v>#N/A</v>
      </c>
      <c r="AP29" s="302" t="e">
        <f t="shared" si="33"/>
        <v>#N/A</v>
      </c>
      <c r="AQ29" s="302" t="e">
        <f t="shared" si="33"/>
        <v>#N/A</v>
      </c>
      <c r="AR29" s="302" t="e">
        <f t="shared" si="33"/>
        <v>#N/A</v>
      </c>
      <c r="AS29" s="302" t="e">
        <f t="shared" si="33"/>
        <v>#N/A</v>
      </c>
      <c r="AT29" s="302" t="e">
        <f t="shared" si="33"/>
        <v>#N/A</v>
      </c>
      <c r="AU29" s="316" t="str">
        <f>中間データDSPA!N4</f>
        <v>0</v>
      </c>
      <c r="AV29" s="305" t="str">
        <f>IFERROR(AG29*12,"")</f>
        <v/>
      </c>
      <c r="AW29" s="321" t="str">
        <f>IF(ISBLANK(入力フォームDSPA!D97),"",入力フォームDSPA!$L$97&amp;" 保守サービス ")&amp;IF(入力フォームDSPA!$W$97="コールドスタンバイ","(コールドスタンバイ)","")</f>
        <v xml:space="preserve"> 保守サービス </v>
      </c>
      <c r="AX29" s="321" t="e">
        <f>IF(中間データDSPA!$Q3=2,入力フォームDSPA!M33,入力フォームDSPA!BI116)</f>
        <v>#N/A</v>
      </c>
      <c r="AY29" s="321" t="e">
        <f>IF(中間データDSPA!$Q3=2,入力フォームDSPA!$AD$33,入力フォームDSPA!$BN$116)</f>
        <v>#N/A</v>
      </c>
      <c r="AZ29" s="321" t="e">
        <f>IF(中間データDSPA!$Q3=2,入力フォームDSPA!$AU$33,入力フォームDSPA!$BS$116)</f>
        <v>#N/A</v>
      </c>
      <c r="BA29" s="321" t="e">
        <f>IF(中間データDSPA!$Q3=2,入力フォームDSPA!$M$35&amp;"　"&amp;入力フォームDSPA!$AM$35,入力フォームDSPA!$CA$116&amp;"　"&amp;入力フォームDSPA!$CM$116)</f>
        <v>#N/A</v>
      </c>
      <c r="BB29" s="321" t="e">
        <f>IF(中間データDSPA!$Q3=2,入力フォームDSPA!G40,入力フォームDSPA!$DB$116)</f>
        <v>#N/A</v>
      </c>
      <c r="BC29" s="321" t="e">
        <f t="shared" ref="BC29:BC33" si="34">BC$3</f>
        <v>#N/A</v>
      </c>
      <c r="BD29" s="296"/>
      <c r="BE29" s="296"/>
      <c r="BF29" s="296"/>
      <c r="BG29" s="296"/>
      <c r="BH29" s="296" t="s">
        <v>132</v>
      </c>
      <c r="BI29" s="296" t="e">
        <f>IF(入力フォームDSPA!Z116=0,AB20,入力フォームDSPA!Z116)</f>
        <v>#N/A</v>
      </c>
      <c r="BJ29" s="296"/>
      <c r="BK29" s="296"/>
      <c r="BL29" s="328" t="e">
        <f t="shared" ref="BL29:BM33" si="35">BL$3</f>
        <v>#N/A</v>
      </c>
      <c r="BM29" s="328" t="e">
        <f t="shared" si="35"/>
        <v>#N/A</v>
      </c>
      <c r="BN29" s="24" t="str">
        <f>IF(入力フォームDSPA!CH97="あり","HDD引渡しオプション","")</f>
        <v/>
      </c>
      <c r="BO29" s="24" t="str">
        <f>IF(入力フォームDSPA!$AR$151="○ あり","パトランプ","")</f>
        <v/>
      </c>
      <c r="BP29" s="402"/>
      <c r="BQ29" s="402"/>
      <c r="BR29" s="402"/>
      <c r="BS29" s="402"/>
      <c r="BT29" s="402"/>
      <c r="BU29" s="402"/>
      <c r="BV29" s="402"/>
      <c r="BW29" s="402"/>
      <c r="BX29" s="402"/>
      <c r="BY29" s="402"/>
      <c r="BZ29" s="402"/>
      <c r="CA29" s="402"/>
      <c r="CB29" s="402"/>
      <c r="CC29" s="402"/>
      <c r="CD29" s="300" t="e">
        <f t="shared" ref="CD29:CD33" si="36">CD$3</f>
        <v>#N/A</v>
      </c>
      <c r="CE29" s="300" t="str">
        <f>IF(入力フォームDSPA!CF54="","",入力フォームDSPA!CF54)</f>
        <v/>
      </c>
      <c r="CF29" s="24" t="s">
        <v>999</v>
      </c>
      <c r="CG29" s="24" t="e">
        <f t="shared" ref="CG29:CK33" si="37">CG$3</f>
        <v>#N/A</v>
      </c>
      <c r="CH29" s="24" t="e">
        <f t="shared" si="37"/>
        <v>#N/A</v>
      </c>
      <c r="CI29" s="24" t="e">
        <f t="shared" si="37"/>
        <v>#N/A</v>
      </c>
      <c r="CJ29" s="24" t="e">
        <f t="shared" si="37"/>
        <v>#N/A</v>
      </c>
      <c r="CK29" s="24" t="e">
        <f t="shared" si="37"/>
        <v>#N/A</v>
      </c>
      <c r="CL29" s="24" t="s">
        <v>999</v>
      </c>
      <c r="CM29" s="24" t="e">
        <f t="shared" ref="CM29:CQ33" si="38">CM$3</f>
        <v>#N/A</v>
      </c>
      <c r="CN29" s="24" t="e">
        <f t="shared" si="38"/>
        <v>#N/A</v>
      </c>
      <c r="CO29" s="24" t="e">
        <f t="shared" si="38"/>
        <v>#N/A</v>
      </c>
      <c r="CP29" s="24" t="e">
        <f t="shared" si="38"/>
        <v>#N/A</v>
      </c>
      <c r="CQ29" s="24" t="e">
        <f t="shared" si="38"/>
        <v>#N/A</v>
      </c>
      <c r="CR29" s="305"/>
      <c r="CS29" s="305"/>
      <c r="CT29" s="305"/>
      <c r="CU29" s="305"/>
      <c r="CV29" s="24">
        <v>1</v>
      </c>
      <c r="CW29" s="296"/>
      <c r="CX29" s="296"/>
      <c r="CY29" s="296"/>
      <c r="CZ29" s="296"/>
      <c r="DA29" s="296"/>
      <c r="DB29" s="296"/>
      <c r="DC29" s="296"/>
      <c r="DD29" s="296"/>
      <c r="DE29" s="296"/>
      <c r="DF29" s="296"/>
      <c r="DG29" s="296"/>
      <c r="DH29" s="296"/>
      <c r="DI29" s="296"/>
      <c r="DJ29" s="296"/>
      <c r="DK29" s="296"/>
      <c r="DL29" s="296"/>
      <c r="DM29" s="296"/>
    </row>
    <row r="30" spans="1:117" ht="11">
      <c r="A30" s="322" t="s">
        <v>381</v>
      </c>
      <c r="B30" s="24" t="e">
        <f t="shared" si="31"/>
        <v>#N/A</v>
      </c>
      <c r="C30" s="24" t="e">
        <f t="shared" si="31"/>
        <v>#N/A</v>
      </c>
      <c r="D30" s="24" t="e">
        <f t="shared" si="31"/>
        <v>#N/A</v>
      </c>
      <c r="E30" s="24" t="e">
        <f t="shared" si="31"/>
        <v>#N/A</v>
      </c>
      <c r="F30" s="24" t="str">
        <f t="shared" si="31"/>
        <v>未記入</v>
      </c>
      <c r="G30" s="24" t="e">
        <f t="shared" si="31"/>
        <v>#N/A</v>
      </c>
      <c r="H30" s="24" t="e">
        <f t="shared" si="31"/>
        <v>#N/A</v>
      </c>
      <c r="I30" s="24" t="e">
        <f t="shared" si="31"/>
        <v>#N/A</v>
      </c>
      <c r="J30" s="24" t="e">
        <f t="shared" si="31"/>
        <v>#N/A</v>
      </c>
      <c r="K30" s="24" t="e">
        <f t="shared" si="31"/>
        <v>#N/A</v>
      </c>
      <c r="L30" s="24" t="str">
        <f t="shared" si="31"/>
        <v>未記入</v>
      </c>
      <c r="M30" s="24" t="e">
        <f t="shared" si="31"/>
        <v>#N/A</v>
      </c>
      <c r="N30" s="325" t="str">
        <f t="shared" ref="N30:S30" si="39">N29</f>
        <v>未記入</v>
      </c>
      <c r="O30" s="325" t="str">
        <f t="shared" si="39"/>
        <v>未記入</v>
      </c>
      <c r="P30" s="325" t="str">
        <f t="shared" si="39"/>
        <v>未記入</v>
      </c>
      <c r="Q30" s="325" t="str">
        <f t="shared" si="39"/>
        <v>未記入</v>
      </c>
      <c r="R30" s="325" t="str">
        <f t="shared" si="39"/>
        <v>未記入</v>
      </c>
      <c r="S30" s="325" t="str">
        <f t="shared" si="39"/>
        <v>未記入</v>
      </c>
      <c r="T30" s="24" t="e">
        <f t="shared" si="32"/>
        <v>#N/A</v>
      </c>
      <c r="U30" s="24" t="e">
        <f t="shared" si="32"/>
        <v>#N/A</v>
      </c>
      <c r="V30" s="24" t="e">
        <f t="shared" si="32"/>
        <v>#N/A</v>
      </c>
      <c r="W30" s="24" t="e">
        <f t="shared" si="32"/>
        <v>#N/A</v>
      </c>
      <c r="X30" s="24" t="str">
        <f t="shared" si="32"/>
        <v>未記入</v>
      </c>
      <c r="Y30" s="24" t="e">
        <f t="shared" si="32"/>
        <v>#N/A</v>
      </c>
      <c r="Z30" s="24" t="e">
        <f t="shared" si="32"/>
        <v>#N/A</v>
      </c>
      <c r="AA30" s="24" t="e">
        <f t="shared" si="32"/>
        <v>#N/A</v>
      </c>
      <c r="AB30" s="24" t="e">
        <f t="shared" si="32"/>
        <v>#N/A</v>
      </c>
      <c r="AC30" s="24" t="str">
        <f>IF(ISBLANK(入力フォームDSPA!D80),"",VLOOKUP(入力フォームDSPA!D80,中間データDSPA!B2:C36,2,FALSE))</f>
        <v/>
      </c>
      <c r="AD30" s="305"/>
      <c r="AE30" s="24" t="s">
        <v>998</v>
      </c>
      <c r="AF30" s="24" t="str">
        <f>IF(入力フォームDSPA!AG97="初年度","-01",IF(入力フォームDSPA!AL99="","",入力フォームDSPA!AL99))</f>
        <v/>
      </c>
      <c r="AG30" s="24" t="str">
        <f>AG29</f>
        <v/>
      </c>
      <c r="AH30" s="327" t="str">
        <f>AH$29</f>
        <v/>
      </c>
      <c r="AI30" s="327" t="str">
        <f t="shared" ref="AI30:AI33" si="40">AI$29</f>
        <v/>
      </c>
      <c r="AJ30" s="320" t="str">
        <f>IF(入力フォームDSPA!AE80="","",VLOOKUP(入力フォームDSPA!AE80,中間データDSPA!$B$62:$C$68,2,FALSE))</f>
        <v/>
      </c>
      <c r="AK30" s="320" t="str">
        <f>IF(入力フォームDSPA!BM80="","",VLOOKUP(入力フォームDSPA!BM80,中間データDSPA!$B$80:$C$81,2,FALSE))</f>
        <v/>
      </c>
      <c r="AL30" s="320" t="str">
        <f>IF(入力フォームDSPA!CD80="","",VLOOKUP(入力フォームDSPA!CD80,中間データDSPA!$B$84:$C$86,2,FALSE))</f>
        <v/>
      </c>
      <c r="AM30" s="320" t="str">
        <f>IF(入力フォームDSPA!CU80="","",VLOOKUP(入力フォームDSPA!CU80,中間データDSPA!$B$92:$C$97,2,FALSE))</f>
        <v/>
      </c>
      <c r="AN30" s="302" t="e">
        <f t="shared" si="33"/>
        <v>#N/A</v>
      </c>
      <c r="AO30" s="302" t="e">
        <f t="shared" si="33"/>
        <v>#N/A</v>
      </c>
      <c r="AP30" s="302" t="e">
        <f t="shared" si="33"/>
        <v>#N/A</v>
      </c>
      <c r="AQ30" s="302" t="e">
        <f t="shared" si="33"/>
        <v>#N/A</v>
      </c>
      <c r="AR30" s="302" t="e">
        <f t="shared" si="33"/>
        <v>#N/A</v>
      </c>
      <c r="AS30" s="302" t="e">
        <f t="shared" si="33"/>
        <v>#N/A</v>
      </c>
      <c r="AT30" s="302" t="e">
        <f t="shared" si="33"/>
        <v>#N/A</v>
      </c>
      <c r="AU30" s="316" t="str">
        <f>中間データDSPA!N5</f>
        <v>0</v>
      </c>
      <c r="AV30" s="305" t="str">
        <f>AV29</f>
        <v/>
      </c>
      <c r="AW30" s="321" t="str">
        <f>IF(ISBLANK(入力フォームDSPA!D99),"",入力フォームDSPA!$L$97&amp;" 保守サービス ")&amp;IF(入力フォームDSPA!$W$99="コールドスタンバイ","(コールドスタンバイ)","")</f>
        <v xml:space="preserve"> 保守サービス </v>
      </c>
      <c r="AX30" s="321" t="e">
        <f>IF(中間データDSPA!Q4=2,入力フォームDSPA!M33,入力フォームDSPA!BI118)</f>
        <v>#N/A</v>
      </c>
      <c r="AY30" s="321" t="e">
        <f>IF(中間データDSPA!$Q4=2,入力フォームDSPA!$AD$33,入力フォームDSPA!$BN$118)</f>
        <v>#N/A</v>
      </c>
      <c r="AZ30" s="321" t="e">
        <f>IF(中間データDSPA!Q4=2,入力フォームDSPA!$AU$33,入力フォームDSPA!$BS$118)</f>
        <v>#N/A</v>
      </c>
      <c r="BA30" s="321" t="e">
        <f>IF(中間データDSPA!Q4=2,入力フォームDSPA!$M$35&amp;"　"&amp;入力フォームDSPA!$AM$35,入力フォームDSPA!$CA$118&amp;"　"&amp;入力フォームDSPA!$CM$118)</f>
        <v>#N/A</v>
      </c>
      <c r="BB30" s="321" t="e">
        <f>IF(中間データDSPA!$Q4=2,入力フォームDSPA!G40,入力フォームDSPA!$DB$118)</f>
        <v>#N/A</v>
      </c>
      <c r="BC30" s="321" t="e">
        <f t="shared" si="34"/>
        <v>#N/A</v>
      </c>
      <c r="BD30" s="296"/>
      <c r="BE30" s="296"/>
      <c r="BF30" s="296"/>
      <c r="BG30" s="296"/>
      <c r="BH30" s="296" t="s">
        <v>132</v>
      </c>
      <c r="BI30" s="296" t="e">
        <f>IF(入力フォームDSPA!Z118=0,AB20,入力フォームDSPA!Z118)</f>
        <v>#N/A</v>
      </c>
      <c r="BJ30" s="296"/>
      <c r="BK30" s="296"/>
      <c r="BL30" s="328" t="e">
        <f t="shared" si="35"/>
        <v>#N/A</v>
      </c>
      <c r="BM30" s="328" t="e">
        <f t="shared" si="35"/>
        <v>#N/A</v>
      </c>
      <c r="BN30" s="24" t="str">
        <f>IF(入力フォームDSPA!CH99="あり","HDD引渡しオプション","")</f>
        <v/>
      </c>
      <c r="BO30" s="24" t="str">
        <f>BO29</f>
        <v/>
      </c>
      <c r="BP30" s="402"/>
      <c r="BQ30" s="402"/>
      <c r="BR30" s="402"/>
      <c r="BS30" s="402"/>
      <c r="BT30" s="402"/>
      <c r="BU30" s="402"/>
      <c r="BV30" s="402"/>
      <c r="BW30" s="402"/>
      <c r="BX30" s="402"/>
      <c r="BY30" s="402"/>
      <c r="BZ30" s="402"/>
      <c r="CA30" s="402"/>
      <c r="CB30" s="402"/>
      <c r="CC30" s="402"/>
      <c r="CD30" s="300" t="e">
        <f t="shared" si="36"/>
        <v>#N/A</v>
      </c>
      <c r="CE30" s="300" t="str">
        <f>IF(入力フォームDSPA!CF56="","",入力フォームDSPA!CF56)</f>
        <v/>
      </c>
      <c r="CF30" s="24" t="s">
        <v>999</v>
      </c>
      <c r="CG30" s="24" t="e">
        <f t="shared" si="37"/>
        <v>#N/A</v>
      </c>
      <c r="CH30" s="24" t="e">
        <f t="shared" si="37"/>
        <v>#N/A</v>
      </c>
      <c r="CI30" s="24" t="e">
        <f t="shared" si="37"/>
        <v>#N/A</v>
      </c>
      <c r="CJ30" s="24" t="e">
        <f t="shared" si="37"/>
        <v>#N/A</v>
      </c>
      <c r="CK30" s="24" t="e">
        <f t="shared" si="37"/>
        <v>#N/A</v>
      </c>
      <c r="CL30" s="24" t="s">
        <v>999</v>
      </c>
      <c r="CM30" s="24" t="e">
        <f t="shared" si="38"/>
        <v>#N/A</v>
      </c>
      <c r="CN30" s="24" t="e">
        <f t="shared" si="38"/>
        <v>#N/A</v>
      </c>
      <c r="CO30" s="24" t="e">
        <f t="shared" si="38"/>
        <v>#N/A</v>
      </c>
      <c r="CP30" s="24" t="e">
        <f t="shared" si="38"/>
        <v>#N/A</v>
      </c>
      <c r="CQ30" s="24" t="e">
        <f t="shared" si="38"/>
        <v>#N/A</v>
      </c>
      <c r="CR30" s="305"/>
      <c r="CS30" s="305"/>
      <c r="CT30" s="305"/>
      <c r="CU30" s="305"/>
      <c r="CV30" s="24">
        <v>1</v>
      </c>
      <c r="CW30" s="296"/>
      <c r="CX30" s="296"/>
      <c r="CY30" s="296"/>
      <c r="CZ30" s="296"/>
      <c r="DA30" s="296"/>
      <c r="DB30" s="296"/>
      <c r="DC30" s="296"/>
      <c r="DD30" s="296"/>
      <c r="DE30" s="296"/>
      <c r="DF30" s="296"/>
      <c r="DG30" s="296"/>
      <c r="DH30" s="296"/>
      <c r="DI30" s="296"/>
      <c r="DJ30" s="296"/>
      <c r="DK30" s="296"/>
      <c r="DL30" s="296"/>
      <c r="DM30" s="296"/>
    </row>
    <row r="31" spans="1:117" ht="11">
      <c r="A31" s="322" t="s">
        <v>382</v>
      </c>
      <c r="B31" s="24" t="e">
        <f t="shared" si="31"/>
        <v>#N/A</v>
      </c>
      <c r="C31" s="24" t="e">
        <f t="shared" si="31"/>
        <v>#N/A</v>
      </c>
      <c r="D31" s="24" t="e">
        <f t="shared" si="31"/>
        <v>#N/A</v>
      </c>
      <c r="E31" s="24" t="e">
        <f t="shared" si="31"/>
        <v>#N/A</v>
      </c>
      <c r="F31" s="24" t="str">
        <f t="shared" si="31"/>
        <v>未記入</v>
      </c>
      <c r="G31" s="24" t="e">
        <f t="shared" si="31"/>
        <v>#N/A</v>
      </c>
      <c r="H31" s="24" t="e">
        <f t="shared" si="31"/>
        <v>#N/A</v>
      </c>
      <c r="I31" s="24" t="e">
        <f t="shared" si="31"/>
        <v>#N/A</v>
      </c>
      <c r="J31" s="24" t="e">
        <f t="shared" si="31"/>
        <v>#N/A</v>
      </c>
      <c r="K31" s="24" t="e">
        <f t="shared" si="31"/>
        <v>#N/A</v>
      </c>
      <c r="L31" s="24" t="str">
        <f t="shared" si="31"/>
        <v>未記入</v>
      </c>
      <c r="M31" s="24" t="e">
        <f t="shared" si="31"/>
        <v>#N/A</v>
      </c>
      <c r="N31" s="325" t="str">
        <f t="shared" ref="N31:S31" si="41">N29</f>
        <v>未記入</v>
      </c>
      <c r="O31" s="325" t="str">
        <f t="shared" si="41"/>
        <v>未記入</v>
      </c>
      <c r="P31" s="325" t="str">
        <f t="shared" si="41"/>
        <v>未記入</v>
      </c>
      <c r="Q31" s="325" t="str">
        <f t="shared" si="41"/>
        <v>未記入</v>
      </c>
      <c r="R31" s="325" t="str">
        <f t="shared" si="41"/>
        <v>未記入</v>
      </c>
      <c r="S31" s="325" t="str">
        <f t="shared" si="41"/>
        <v>未記入</v>
      </c>
      <c r="T31" s="24" t="e">
        <f t="shared" si="32"/>
        <v>#N/A</v>
      </c>
      <c r="U31" s="24" t="e">
        <f t="shared" si="32"/>
        <v>#N/A</v>
      </c>
      <c r="V31" s="24" t="e">
        <f t="shared" si="32"/>
        <v>#N/A</v>
      </c>
      <c r="W31" s="24" t="e">
        <f t="shared" si="32"/>
        <v>#N/A</v>
      </c>
      <c r="X31" s="24" t="str">
        <f t="shared" si="32"/>
        <v>未記入</v>
      </c>
      <c r="Y31" s="24" t="e">
        <f t="shared" si="32"/>
        <v>#N/A</v>
      </c>
      <c r="Z31" s="24" t="e">
        <f t="shared" si="32"/>
        <v>#N/A</v>
      </c>
      <c r="AA31" s="24" t="e">
        <f t="shared" si="32"/>
        <v>#N/A</v>
      </c>
      <c r="AB31" s="24" t="e">
        <f t="shared" si="32"/>
        <v>#N/A</v>
      </c>
      <c r="AC31" s="24" t="str">
        <f>IF(ISBLANK(入力フォームDSPA!D82),"",VLOOKUP(入力フォームDSPA!D82,中間データDSPA!B2:C36,2,FALSE))</f>
        <v/>
      </c>
      <c r="AD31" s="305"/>
      <c r="AE31" s="24" t="s">
        <v>998</v>
      </c>
      <c r="AF31" s="24" t="str">
        <f>IF(入力フォームDSPA!AG97="初年度","-01",IF(入力フォームDSPA!AL101="","",入力フォームDSPA!AL101))</f>
        <v/>
      </c>
      <c r="AG31" s="24" t="str">
        <f>AG29</f>
        <v/>
      </c>
      <c r="AH31" s="327" t="str">
        <f t="shared" ref="AH31:AH33" si="42">AH$29</f>
        <v/>
      </c>
      <c r="AI31" s="327" t="str">
        <f t="shared" si="40"/>
        <v/>
      </c>
      <c r="AJ31" s="320" t="str">
        <f>IF(入力フォームDSPA!AE82="","",VLOOKUP(入力フォームDSPA!AE82,中間データDSPA!$B$62:$C$68,2,FALSE))</f>
        <v/>
      </c>
      <c r="AK31" s="320" t="str">
        <f>IF(入力フォームDSPA!BM82="","",VLOOKUP(入力フォームDSPA!BM82,中間データDSPA!$B$80:$C$81,2,FALSE))</f>
        <v/>
      </c>
      <c r="AL31" s="320" t="str">
        <f>IF(入力フォームDSPA!CD82="","",VLOOKUP(入力フォームDSPA!CD82,中間データDSPA!$B$84:$C$86,2,FALSE))</f>
        <v/>
      </c>
      <c r="AM31" s="320" t="str">
        <f>IF(入力フォームDSPA!CU82="","",VLOOKUP(入力フォームDSPA!CU82,中間データDSPA!$B$92:$C$97,2,FALSE))</f>
        <v/>
      </c>
      <c r="AN31" s="302" t="e">
        <f t="shared" si="33"/>
        <v>#N/A</v>
      </c>
      <c r="AO31" s="302" t="e">
        <f t="shared" si="33"/>
        <v>#N/A</v>
      </c>
      <c r="AP31" s="302" t="e">
        <f t="shared" si="33"/>
        <v>#N/A</v>
      </c>
      <c r="AQ31" s="302" t="e">
        <f t="shared" si="33"/>
        <v>#N/A</v>
      </c>
      <c r="AR31" s="302" t="e">
        <f t="shared" si="33"/>
        <v>#N/A</v>
      </c>
      <c r="AS31" s="302" t="e">
        <f t="shared" si="33"/>
        <v>#N/A</v>
      </c>
      <c r="AT31" s="302" t="e">
        <f t="shared" si="33"/>
        <v>#N/A</v>
      </c>
      <c r="AU31" s="316" t="str">
        <f>中間データDSPA!N6</f>
        <v>0</v>
      </c>
      <c r="AV31" s="305" t="str">
        <f>AV29</f>
        <v/>
      </c>
      <c r="AW31" s="321" t="str">
        <f>IF(ISBLANK(入力フォームDSPA!D101),"",入力フォームDSPA!$L$97&amp;" 保守サービス ")&amp;IF(入力フォームDSPA!$W$101="コールドスタンバイ","(コールドスタンバイ)","")</f>
        <v xml:space="preserve"> 保守サービス </v>
      </c>
      <c r="AX31" s="321" t="e">
        <f>IF(中間データDSPA!Q5=2,入力フォームDSPA!M33,入力フォームDSPA!BI120)</f>
        <v>#N/A</v>
      </c>
      <c r="AY31" s="321" t="e">
        <f>IF(中間データDSPA!$Q5=2,入力フォームDSPA!$AD$33,入力フォームDSPA!$BN$120)</f>
        <v>#N/A</v>
      </c>
      <c r="AZ31" s="321" t="e">
        <f>IF(中間データDSPA!Q5=2,入力フォームDSPA!$AU$33,入力フォームDSPA!$BS$120)</f>
        <v>#N/A</v>
      </c>
      <c r="BA31" s="321" t="e">
        <f>IF(中間データDSPA!Q5=2,入力フォームDSPA!$M$35&amp;"　"&amp;入力フォームDSPA!$AM$35,入力フォームDSPA!$CA$120&amp;"　"&amp;入力フォームDSPA!$CM$120)</f>
        <v>#N/A</v>
      </c>
      <c r="BB31" s="321" t="e">
        <f>IF(中間データDSPA!$Q5=2,入力フォームDSPA!G40,入力フォームDSPA!$DB$120)</f>
        <v>#N/A</v>
      </c>
      <c r="BC31" s="321" t="e">
        <f t="shared" si="34"/>
        <v>#N/A</v>
      </c>
      <c r="BD31" s="296"/>
      <c r="BE31" s="296"/>
      <c r="BF31" s="296"/>
      <c r="BG31" s="296"/>
      <c r="BH31" s="296" t="s">
        <v>132</v>
      </c>
      <c r="BI31" s="296" t="e">
        <f>IF(入力フォームDSPA!Z120=0,AB20,入力フォームDSPA!Z120)</f>
        <v>#N/A</v>
      </c>
      <c r="BJ31" s="296"/>
      <c r="BK31" s="296"/>
      <c r="BL31" s="328" t="e">
        <f t="shared" si="35"/>
        <v>#N/A</v>
      </c>
      <c r="BM31" s="328" t="e">
        <f t="shared" si="35"/>
        <v>#N/A</v>
      </c>
      <c r="BN31" s="24" t="str">
        <f>IF(入力フォームDSPA!CH101="あり","HDD引渡しオプション","")</f>
        <v/>
      </c>
      <c r="BO31" s="24" t="str">
        <f>BO29</f>
        <v/>
      </c>
      <c r="BP31" s="402"/>
      <c r="BQ31" s="402"/>
      <c r="BR31" s="402"/>
      <c r="BS31" s="402"/>
      <c r="BT31" s="402"/>
      <c r="BU31" s="402"/>
      <c r="BV31" s="402"/>
      <c r="BW31" s="402"/>
      <c r="BX31" s="402"/>
      <c r="BY31" s="402"/>
      <c r="BZ31" s="402"/>
      <c r="CA31" s="402"/>
      <c r="CB31" s="402"/>
      <c r="CC31" s="402"/>
      <c r="CD31" s="300" t="e">
        <f t="shared" si="36"/>
        <v>#N/A</v>
      </c>
      <c r="CE31" s="300" t="str">
        <f>IF(入力フォームDSPA!CF58="","",入力フォームDSPA!CF58)</f>
        <v/>
      </c>
      <c r="CF31" s="24" t="s">
        <v>999</v>
      </c>
      <c r="CG31" s="24" t="e">
        <f t="shared" si="37"/>
        <v>#N/A</v>
      </c>
      <c r="CH31" s="24" t="e">
        <f t="shared" si="37"/>
        <v>#N/A</v>
      </c>
      <c r="CI31" s="24" t="e">
        <f t="shared" si="37"/>
        <v>#N/A</v>
      </c>
      <c r="CJ31" s="24" t="e">
        <f t="shared" si="37"/>
        <v>#N/A</v>
      </c>
      <c r="CK31" s="24" t="e">
        <f t="shared" si="37"/>
        <v>#N/A</v>
      </c>
      <c r="CL31" s="24" t="s">
        <v>999</v>
      </c>
      <c r="CM31" s="24" t="e">
        <f t="shared" si="38"/>
        <v>#N/A</v>
      </c>
      <c r="CN31" s="24" t="e">
        <f t="shared" si="38"/>
        <v>#N/A</v>
      </c>
      <c r="CO31" s="24" t="e">
        <f t="shared" si="38"/>
        <v>#N/A</v>
      </c>
      <c r="CP31" s="24" t="e">
        <f t="shared" si="38"/>
        <v>#N/A</v>
      </c>
      <c r="CQ31" s="24" t="e">
        <f t="shared" si="38"/>
        <v>#N/A</v>
      </c>
      <c r="CR31" s="305"/>
      <c r="CS31" s="305"/>
      <c r="CT31" s="305"/>
      <c r="CU31" s="305"/>
      <c r="CV31" s="24">
        <v>1</v>
      </c>
      <c r="CW31" s="296"/>
      <c r="CX31" s="296"/>
      <c r="CY31" s="296"/>
      <c r="CZ31" s="296"/>
      <c r="DA31" s="296"/>
      <c r="DB31" s="296"/>
      <c r="DC31" s="296"/>
      <c r="DD31" s="296"/>
      <c r="DE31" s="296"/>
      <c r="DF31" s="296"/>
      <c r="DG31" s="296"/>
      <c r="DH31" s="296"/>
      <c r="DI31" s="296"/>
      <c r="DJ31" s="296"/>
      <c r="DK31" s="296"/>
      <c r="DL31" s="296"/>
      <c r="DM31" s="296"/>
    </row>
    <row r="32" spans="1:117" ht="11">
      <c r="A32" s="322" t="s">
        <v>383</v>
      </c>
      <c r="B32" s="24" t="e">
        <f t="shared" si="31"/>
        <v>#N/A</v>
      </c>
      <c r="C32" s="24" t="e">
        <f t="shared" si="31"/>
        <v>#N/A</v>
      </c>
      <c r="D32" s="24" t="e">
        <f t="shared" si="31"/>
        <v>#N/A</v>
      </c>
      <c r="E32" s="24" t="e">
        <f t="shared" si="31"/>
        <v>#N/A</v>
      </c>
      <c r="F32" s="24" t="str">
        <f t="shared" si="31"/>
        <v>未記入</v>
      </c>
      <c r="G32" s="24" t="e">
        <f t="shared" si="31"/>
        <v>#N/A</v>
      </c>
      <c r="H32" s="24" t="e">
        <f t="shared" si="31"/>
        <v>#N/A</v>
      </c>
      <c r="I32" s="24" t="e">
        <f t="shared" si="31"/>
        <v>#N/A</v>
      </c>
      <c r="J32" s="24" t="e">
        <f t="shared" si="31"/>
        <v>#N/A</v>
      </c>
      <c r="K32" s="24" t="e">
        <f t="shared" si="31"/>
        <v>#N/A</v>
      </c>
      <c r="L32" s="24" t="str">
        <f t="shared" si="31"/>
        <v>未記入</v>
      </c>
      <c r="M32" s="24" t="e">
        <f t="shared" si="31"/>
        <v>#N/A</v>
      </c>
      <c r="N32" s="325" t="str">
        <f t="shared" ref="N32:S32" si="43">N29</f>
        <v>未記入</v>
      </c>
      <c r="O32" s="325" t="str">
        <f t="shared" si="43"/>
        <v>未記入</v>
      </c>
      <c r="P32" s="325" t="str">
        <f t="shared" si="43"/>
        <v>未記入</v>
      </c>
      <c r="Q32" s="325" t="str">
        <f t="shared" si="43"/>
        <v>未記入</v>
      </c>
      <c r="R32" s="325" t="str">
        <f t="shared" si="43"/>
        <v>未記入</v>
      </c>
      <c r="S32" s="325" t="str">
        <f t="shared" si="43"/>
        <v>未記入</v>
      </c>
      <c r="T32" s="24" t="e">
        <f t="shared" si="32"/>
        <v>#N/A</v>
      </c>
      <c r="U32" s="24" t="e">
        <f t="shared" si="32"/>
        <v>#N/A</v>
      </c>
      <c r="V32" s="24" t="e">
        <f t="shared" si="32"/>
        <v>#N/A</v>
      </c>
      <c r="W32" s="24" t="e">
        <f t="shared" si="32"/>
        <v>#N/A</v>
      </c>
      <c r="X32" s="24" t="str">
        <f t="shared" si="32"/>
        <v>未記入</v>
      </c>
      <c r="Y32" s="24" t="e">
        <f t="shared" si="32"/>
        <v>#N/A</v>
      </c>
      <c r="Z32" s="24" t="e">
        <f t="shared" si="32"/>
        <v>#N/A</v>
      </c>
      <c r="AA32" s="24" t="e">
        <f t="shared" si="32"/>
        <v>#N/A</v>
      </c>
      <c r="AB32" s="24" t="e">
        <f t="shared" si="32"/>
        <v>#N/A</v>
      </c>
      <c r="AC32" s="24" t="str">
        <f>IF(ISBLANK(入力フォームDSPA!D84),"",VLOOKUP(入力フォームDSPA!D84,中間データDSPA!B2:C36,2,FALSE))</f>
        <v/>
      </c>
      <c r="AD32" s="305"/>
      <c r="AE32" s="24" t="s">
        <v>998</v>
      </c>
      <c r="AF32" s="24" t="str">
        <f>IF(入力フォームDSPA!AG97="初年度","-01",IF(入力フォームDSPA!AL103="","",入力フォームDSPA!AL103))</f>
        <v/>
      </c>
      <c r="AG32" s="24" t="str">
        <f>AG29</f>
        <v/>
      </c>
      <c r="AH32" s="327" t="str">
        <f t="shared" si="42"/>
        <v/>
      </c>
      <c r="AI32" s="327" t="str">
        <f t="shared" si="40"/>
        <v/>
      </c>
      <c r="AJ32" s="320" t="str">
        <f>IF(入力フォームDSPA!AE84="","",VLOOKUP(入力フォームDSPA!AE84,中間データDSPA!$B$62:$C$68,2,FALSE))</f>
        <v/>
      </c>
      <c r="AK32" s="320" t="str">
        <f>IF(入力フォームDSPA!BM84="","",VLOOKUP(入力フォームDSPA!BM84,中間データDSPA!$B$80:$C$81,2,FALSE))</f>
        <v/>
      </c>
      <c r="AL32" s="320" t="str">
        <f>IF(入力フォームDSPA!CD84="","",VLOOKUP(入力フォームDSPA!CD84,中間データDSPA!$B$84:$C$86,2,FALSE))</f>
        <v/>
      </c>
      <c r="AM32" s="320" t="str">
        <f>IF(入力フォームDSPA!CU84="","",VLOOKUP(入力フォームDSPA!CU84,中間データDSPA!$B$92:$C$97,2,FALSE))</f>
        <v/>
      </c>
      <c r="AN32" s="302" t="e">
        <f t="shared" si="33"/>
        <v>#N/A</v>
      </c>
      <c r="AO32" s="302" t="e">
        <f t="shared" si="33"/>
        <v>#N/A</v>
      </c>
      <c r="AP32" s="302" t="e">
        <f t="shared" si="33"/>
        <v>#N/A</v>
      </c>
      <c r="AQ32" s="302" t="e">
        <f t="shared" si="33"/>
        <v>#N/A</v>
      </c>
      <c r="AR32" s="302" t="e">
        <f t="shared" si="33"/>
        <v>#N/A</v>
      </c>
      <c r="AS32" s="302" t="e">
        <f t="shared" si="33"/>
        <v>#N/A</v>
      </c>
      <c r="AT32" s="302" t="e">
        <f t="shared" si="33"/>
        <v>#N/A</v>
      </c>
      <c r="AU32" s="316" t="str">
        <f>中間データDSPA!N7</f>
        <v>0</v>
      </c>
      <c r="AV32" s="305" t="str">
        <f>AV29</f>
        <v/>
      </c>
      <c r="AW32" s="321" t="str">
        <f>IF(ISBLANK(入力フォームDSPA!D103),"",入力フォームDSPA!$L$97&amp;" 保守サービス ")&amp;IF(入力フォームDSPA!$W$103="コールドスタンバイ","(コールドスタンバイ)","")</f>
        <v xml:space="preserve"> 保守サービス </v>
      </c>
      <c r="AX32" s="321" t="e">
        <f>IF(中間データDSPA!Q6=2,入力フォームDSPA!M33,入力フォームDSPA!BI122)</f>
        <v>#N/A</v>
      </c>
      <c r="AY32" s="321" t="e">
        <f>IF(中間データDSPA!$Q6=2,入力フォームDSPA!$AD$33,入力フォームDSPA!$BN$122)</f>
        <v>#N/A</v>
      </c>
      <c r="AZ32" s="321" t="e">
        <f>IF(中間データDSPA!Q6=2,入力フォームDSPA!$AU$33,入力フォームDSPA!$BS$122)</f>
        <v>#N/A</v>
      </c>
      <c r="BA32" s="321" t="e">
        <f>IF(中間データDSPA!Q6=2,入力フォームDSPA!$M$35&amp;"　"&amp;入力フォームDSPA!$AM$35,入力フォームDSPA!$CA$122&amp;"　"&amp;入力フォームDSPA!$CM$122)</f>
        <v>#N/A</v>
      </c>
      <c r="BB32" s="321" t="e">
        <f>IF(中間データDSPA!$Q6=2,入力フォームDSPA!G40,入力フォームDSPA!$DB$122)</f>
        <v>#N/A</v>
      </c>
      <c r="BC32" s="321" t="e">
        <f t="shared" si="34"/>
        <v>#N/A</v>
      </c>
      <c r="BD32" s="296"/>
      <c r="BE32" s="296"/>
      <c r="BF32" s="296"/>
      <c r="BG32" s="296"/>
      <c r="BH32" s="296" t="s">
        <v>132</v>
      </c>
      <c r="BI32" s="296" t="e">
        <f>IF(入力フォームDSPA!Z122=0,AB20,入力フォームDSPA!Z122)</f>
        <v>#N/A</v>
      </c>
      <c r="BJ32" s="296"/>
      <c r="BK32" s="296"/>
      <c r="BL32" s="328" t="e">
        <f t="shared" si="35"/>
        <v>#N/A</v>
      </c>
      <c r="BM32" s="328" t="e">
        <f t="shared" si="35"/>
        <v>#N/A</v>
      </c>
      <c r="BN32" s="24" t="str">
        <f>IF(入力フォームDSPA!CH103="あり","HDD引渡しオプション","")</f>
        <v/>
      </c>
      <c r="BO32" s="24" t="str">
        <f>BO29</f>
        <v/>
      </c>
      <c r="BP32" s="402"/>
      <c r="BQ32" s="402"/>
      <c r="BR32" s="402"/>
      <c r="BS32" s="402"/>
      <c r="BT32" s="402"/>
      <c r="BU32" s="402"/>
      <c r="BV32" s="402"/>
      <c r="BW32" s="402"/>
      <c r="BX32" s="402"/>
      <c r="BY32" s="402"/>
      <c r="BZ32" s="402"/>
      <c r="CA32" s="402"/>
      <c r="CB32" s="402"/>
      <c r="CC32" s="402"/>
      <c r="CD32" s="300" t="e">
        <f t="shared" si="36"/>
        <v>#N/A</v>
      </c>
      <c r="CE32" s="300" t="str">
        <f>IF(入力フォームDSPA!CF60="","",入力フォームDSPA!CF60)</f>
        <v/>
      </c>
      <c r="CF32" s="24" t="s">
        <v>999</v>
      </c>
      <c r="CG32" s="24" t="e">
        <f t="shared" si="37"/>
        <v>#N/A</v>
      </c>
      <c r="CH32" s="24" t="e">
        <f t="shared" si="37"/>
        <v>#N/A</v>
      </c>
      <c r="CI32" s="24" t="e">
        <f t="shared" si="37"/>
        <v>#N/A</v>
      </c>
      <c r="CJ32" s="24" t="e">
        <f t="shared" si="37"/>
        <v>#N/A</v>
      </c>
      <c r="CK32" s="24" t="e">
        <f t="shared" si="37"/>
        <v>#N/A</v>
      </c>
      <c r="CL32" s="24" t="s">
        <v>999</v>
      </c>
      <c r="CM32" s="24" t="e">
        <f t="shared" si="38"/>
        <v>#N/A</v>
      </c>
      <c r="CN32" s="24" t="e">
        <f t="shared" si="38"/>
        <v>#N/A</v>
      </c>
      <c r="CO32" s="24" t="e">
        <f t="shared" si="38"/>
        <v>#N/A</v>
      </c>
      <c r="CP32" s="24" t="e">
        <f t="shared" si="38"/>
        <v>#N/A</v>
      </c>
      <c r="CQ32" s="24" t="e">
        <f t="shared" si="38"/>
        <v>#N/A</v>
      </c>
      <c r="CR32" s="305"/>
      <c r="CS32" s="305"/>
      <c r="CT32" s="305"/>
      <c r="CU32" s="305"/>
      <c r="CV32" s="24">
        <v>1</v>
      </c>
      <c r="CW32" s="296"/>
      <c r="CX32" s="296"/>
      <c r="CY32" s="296"/>
      <c r="CZ32" s="296"/>
      <c r="DA32" s="296"/>
      <c r="DB32" s="296"/>
      <c r="DC32" s="296"/>
      <c r="DD32" s="296"/>
      <c r="DE32" s="296"/>
      <c r="DF32" s="296"/>
      <c r="DG32" s="296"/>
      <c r="DH32" s="296"/>
      <c r="DI32" s="296"/>
      <c r="DJ32" s="296"/>
      <c r="DK32" s="296"/>
      <c r="DL32" s="296"/>
      <c r="DM32" s="296"/>
    </row>
    <row r="33" spans="1:117" ht="11">
      <c r="A33" s="322" t="s">
        <v>384</v>
      </c>
      <c r="B33" s="24" t="e">
        <f t="shared" si="31"/>
        <v>#N/A</v>
      </c>
      <c r="C33" s="24" t="e">
        <f t="shared" si="31"/>
        <v>#N/A</v>
      </c>
      <c r="D33" s="24" t="e">
        <f t="shared" si="31"/>
        <v>#N/A</v>
      </c>
      <c r="E33" s="24" t="e">
        <f t="shared" si="31"/>
        <v>#N/A</v>
      </c>
      <c r="F33" s="24" t="str">
        <f t="shared" si="31"/>
        <v>未記入</v>
      </c>
      <c r="G33" s="24" t="e">
        <f t="shared" si="31"/>
        <v>#N/A</v>
      </c>
      <c r="H33" s="24" t="e">
        <f t="shared" si="31"/>
        <v>#N/A</v>
      </c>
      <c r="I33" s="24" t="e">
        <f t="shared" si="31"/>
        <v>#N/A</v>
      </c>
      <c r="J33" s="24" t="e">
        <f t="shared" si="31"/>
        <v>#N/A</v>
      </c>
      <c r="K33" s="24" t="e">
        <f t="shared" si="31"/>
        <v>#N/A</v>
      </c>
      <c r="L33" s="24" t="str">
        <f t="shared" si="31"/>
        <v>未記入</v>
      </c>
      <c r="M33" s="24" t="e">
        <f t="shared" si="31"/>
        <v>#N/A</v>
      </c>
      <c r="N33" s="325" t="str">
        <f t="shared" ref="N33:S33" si="44">N29</f>
        <v>未記入</v>
      </c>
      <c r="O33" s="325" t="str">
        <f t="shared" si="44"/>
        <v>未記入</v>
      </c>
      <c r="P33" s="325" t="str">
        <f t="shared" si="44"/>
        <v>未記入</v>
      </c>
      <c r="Q33" s="325" t="str">
        <f t="shared" si="44"/>
        <v>未記入</v>
      </c>
      <c r="R33" s="325" t="str">
        <f t="shared" si="44"/>
        <v>未記入</v>
      </c>
      <c r="S33" s="325" t="str">
        <f t="shared" si="44"/>
        <v>未記入</v>
      </c>
      <c r="T33" s="24" t="e">
        <f t="shared" si="32"/>
        <v>#N/A</v>
      </c>
      <c r="U33" s="24" t="e">
        <f t="shared" si="32"/>
        <v>#N/A</v>
      </c>
      <c r="V33" s="24" t="e">
        <f t="shared" si="32"/>
        <v>#N/A</v>
      </c>
      <c r="W33" s="24" t="e">
        <f t="shared" si="32"/>
        <v>#N/A</v>
      </c>
      <c r="X33" s="24" t="str">
        <f t="shared" si="32"/>
        <v>未記入</v>
      </c>
      <c r="Y33" s="24" t="e">
        <f t="shared" si="32"/>
        <v>#N/A</v>
      </c>
      <c r="Z33" s="24" t="e">
        <f t="shared" si="32"/>
        <v>#N/A</v>
      </c>
      <c r="AA33" s="24" t="e">
        <f t="shared" si="32"/>
        <v>#N/A</v>
      </c>
      <c r="AB33" s="24" t="e">
        <f t="shared" si="32"/>
        <v>#N/A</v>
      </c>
      <c r="AC33" s="24" t="str">
        <f>IF(ISBLANK(入力フォームDSPA!D86),"",VLOOKUP(入力フォームDSPA!D86,中間データDSPA!B2:C36,2,FALSE))</f>
        <v/>
      </c>
      <c r="AD33" s="305"/>
      <c r="AE33" s="24" t="s">
        <v>998</v>
      </c>
      <c r="AF33" s="24" t="str">
        <f>IF(入力フォームDSPA!AG97="初年度","-01",IF(入力フォームDSPA!AL105="","",入力フォームDSPA!AL105))</f>
        <v/>
      </c>
      <c r="AG33" s="24" t="str">
        <f>AG29</f>
        <v/>
      </c>
      <c r="AH33" s="327" t="str">
        <f t="shared" si="42"/>
        <v/>
      </c>
      <c r="AI33" s="327" t="str">
        <f t="shared" si="40"/>
        <v/>
      </c>
      <c r="AJ33" s="320" t="str">
        <f>IF(入力フォームDSPA!AE86="","",VLOOKUP(入力フォームDSPA!AE86,中間データDSPA!$B$62:$C$68,2,FALSE))</f>
        <v/>
      </c>
      <c r="AK33" s="320" t="str">
        <f>IF(入力フォームDSPA!BM86="","",VLOOKUP(入力フォームDSPA!BM86,中間データDSPA!$B$80:$C$81,2,FALSE))</f>
        <v/>
      </c>
      <c r="AL33" s="320" t="str">
        <f>IF(入力フォームDSPA!CD86="","",VLOOKUP(入力フォームDSPA!CD86,中間データDSPA!$B$84:$C$86,2,FALSE))</f>
        <v/>
      </c>
      <c r="AM33" s="320" t="str">
        <f>IF(入力フォームDSPA!CU86="","",VLOOKUP(入力フォームDSPA!CU86,中間データDSPA!$B$92:$C$97,2,FALSE))</f>
        <v/>
      </c>
      <c r="AN33" s="302" t="e">
        <f t="shared" si="33"/>
        <v>#N/A</v>
      </c>
      <c r="AO33" s="302" t="e">
        <f t="shared" si="33"/>
        <v>#N/A</v>
      </c>
      <c r="AP33" s="302" t="e">
        <f t="shared" si="33"/>
        <v>#N/A</v>
      </c>
      <c r="AQ33" s="302" t="e">
        <f t="shared" si="33"/>
        <v>#N/A</v>
      </c>
      <c r="AR33" s="302" t="e">
        <f t="shared" si="33"/>
        <v>#N/A</v>
      </c>
      <c r="AS33" s="302" t="e">
        <f t="shared" si="33"/>
        <v>#N/A</v>
      </c>
      <c r="AT33" s="302" t="e">
        <f t="shared" si="33"/>
        <v>#N/A</v>
      </c>
      <c r="AU33" s="316" t="str">
        <f>中間データDSPA!N8</f>
        <v>0</v>
      </c>
      <c r="AV33" s="305" t="str">
        <f>AV29</f>
        <v/>
      </c>
      <c r="AW33" s="321" t="str">
        <f>IF(ISBLANK(入力フォームDSPA!D105),"",入力フォームDSPA!$L$97&amp;" 保守サービス ")&amp;IF(入力フォームDSPA!$W$105="コールドスタンバイ","(コールドスタンバイ)","")</f>
        <v xml:space="preserve"> 保守サービス </v>
      </c>
      <c r="AX33" s="321" t="e">
        <f>IF(中間データDSPA!Q7=2,入力フォームDSPA!M33,入力フォームDSPA!BI124)</f>
        <v>#N/A</v>
      </c>
      <c r="AY33" s="321" t="e">
        <f>IF(中間データDSPA!$Q7=2,入力フォームDSPA!$AD$33,入力フォームDSPA!$BN$124)</f>
        <v>#N/A</v>
      </c>
      <c r="AZ33" s="321" t="e">
        <f>IF(中間データDSPA!Q7=2,入力フォームDSPA!$AU$33,入力フォームDSPA!$BS$124)</f>
        <v>#N/A</v>
      </c>
      <c r="BA33" s="321" t="e">
        <f>IF(中間データDSPA!Q7=2,入力フォームDSPA!$M$35&amp;"　"&amp;入力フォームDSPA!$AM$35,入力フォームDSPA!$CA$124&amp;"　"&amp;入力フォームDSPA!$CM$124)</f>
        <v>#N/A</v>
      </c>
      <c r="BB33" s="321" t="e">
        <f>IF(中間データDSPA!$Q7=2,入力フォームDSPA!G40,入力フォームDSPA!$DB$124)</f>
        <v>#N/A</v>
      </c>
      <c r="BC33" s="321" t="e">
        <f t="shared" si="34"/>
        <v>#N/A</v>
      </c>
      <c r="BD33" s="296"/>
      <c r="BE33" s="296"/>
      <c r="BF33" s="296"/>
      <c r="BG33" s="296"/>
      <c r="BH33" s="296" t="s">
        <v>132</v>
      </c>
      <c r="BI33" s="296" t="e">
        <f>IF(入力フォームDSPA!Z124=0,AB20,入力フォームDSPA!Z124)</f>
        <v>#N/A</v>
      </c>
      <c r="BJ33" s="296"/>
      <c r="BK33" s="296"/>
      <c r="BL33" s="328" t="e">
        <f t="shared" si="35"/>
        <v>#N/A</v>
      </c>
      <c r="BM33" s="328" t="e">
        <f t="shared" si="35"/>
        <v>#N/A</v>
      </c>
      <c r="BN33" s="24" t="str">
        <f>IF(入力フォームDSPA!CH105="あり","HDD引渡しオプション","")</f>
        <v/>
      </c>
      <c r="BO33" s="24" t="str">
        <f>BO29</f>
        <v/>
      </c>
      <c r="BP33" s="402"/>
      <c r="BQ33" s="402"/>
      <c r="BR33" s="402"/>
      <c r="BS33" s="402"/>
      <c r="BT33" s="402"/>
      <c r="BU33" s="402"/>
      <c r="BV33" s="402"/>
      <c r="BW33" s="402"/>
      <c r="BX33" s="402"/>
      <c r="BY33" s="402"/>
      <c r="BZ33" s="402"/>
      <c r="CA33" s="402"/>
      <c r="CB33" s="402"/>
      <c r="CC33" s="402"/>
      <c r="CD33" s="300" t="e">
        <f t="shared" si="36"/>
        <v>#N/A</v>
      </c>
      <c r="CE33" s="300" t="str">
        <f>IF(入力フォームDSPA!CF62="","",入力フォームDSPA!CF62)</f>
        <v/>
      </c>
      <c r="CF33" s="24" t="s">
        <v>999</v>
      </c>
      <c r="CG33" s="24" t="e">
        <f t="shared" si="37"/>
        <v>#N/A</v>
      </c>
      <c r="CH33" s="24" t="e">
        <f t="shared" si="37"/>
        <v>#N/A</v>
      </c>
      <c r="CI33" s="24" t="e">
        <f t="shared" si="37"/>
        <v>#N/A</v>
      </c>
      <c r="CJ33" s="24" t="e">
        <f t="shared" si="37"/>
        <v>#N/A</v>
      </c>
      <c r="CK33" s="24" t="e">
        <f t="shared" si="37"/>
        <v>#N/A</v>
      </c>
      <c r="CL33" s="24" t="s">
        <v>999</v>
      </c>
      <c r="CM33" s="24" t="e">
        <f t="shared" si="38"/>
        <v>#N/A</v>
      </c>
      <c r="CN33" s="24" t="e">
        <f t="shared" si="38"/>
        <v>#N/A</v>
      </c>
      <c r="CO33" s="24" t="e">
        <f t="shared" si="38"/>
        <v>#N/A</v>
      </c>
      <c r="CP33" s="24" t="e">
        <f t="shared" si="38"/>
        <v>#N/A</v>
      </c>
      <c r="CQ33" s="24" t="e">
        <f t="shared" si="38"/>
        <v>#N/A</v>
      </c>
      <c r="CR33" s="305"/>
      <c r="CS33" s="305"/>
      <c r="CT33" s="305"/>
      <c r="CU33" s="305"/>
      <c r="CV33" s="24">
        <v>1</v>
      </c>
      <c r="CW33" s="296"/>
      <c r="CX33" s="296"/>
      <c r="CY33" s="296"/>
      <c r="CZ33" s="296"/>
      <c r="DA33" s="296"/>
      <c r="DB33" s="296"/>
      <c r="DC33" s="296"/>
      <c r="DD33" s="296"/>
      <c r="DE33" s="296"/>
      <c r="DF33" s="296"/>
      <c r="DG33" s="296"/>
      <c r="DH33" s="296"/>
      <c r="DI33" s="296"/>
      <c r="DJ33" s="296"/>
      <c r="DK33" s="296"/>
      <c r="DL33" s="296"/>
      <c r="DM33" s="296"/>
    </row>
    <row r="34" spans="1:117" ht="11.25" customHeight="1">
      <c r="BW34" s="24"/>
    </row>
    <row r="35" spans="1:117" ht="11">
      <c r="A35" s="317" t="s">
        <v>1020</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8"/>
      <c r="AI35" s="317"/>
      <c r="AJ35" s="317"/>
      <c r="AK35" s="317"/>
      <c r="AL35" s="317"/>
      <c r="AM35" s="317"/>
      <c r="AN35" s="317"/>
      <c r="AO35" s="317"/>
      <c r="AP35" s="317"/>
      <c r="AQ35" s="317"/>
      <c r="AR35" s="317"/>
      <c r="AS35" s="317"/>
      <c r="AT35" s="317"/>
      <c r="AU35" s="317"/>
      <c r="AV35" s="317"/>
      <c r="AW35" s="317"/>
      <c r="AX35" s="317"/>
      <c r="AY35" s="317"/>
      <c r="AZ35" s="317"/>
      <c r="BA35" s="317"/>
      <c r="BB35" s="317"/>
      <c r="BC35" s="317"/>
      <c r="BD35" s="317"/>
      <c r="BE35" s="317"/>
      <c r="BF35" s="317"/>
      <c r="BG35" s="317"/>
      <c r="BH35" s="317"/>
      <c r="BI35" s="317"/>
      <c r="BJ35" s="317"/>
      <c r="BK35" s="317"/>
      <c r="BL35" s="317"/>
      <c r="BM35" s="317"/>
      <c r="BN35" s="317"/>
      <c r="BO35" s="317"/>
      <c r="BP35" s="317"/>
      <c r="BQ35" s="317"/>
      <c r="BR35" s="317"/>
      <c r="BS35" s="317"/>
      <c r="BT35" s="317"/>
      <c r="BU35" s="317"/>
      <c r="BV35" s="317"/>
      <c r="BW35" s="317"/>
      <c r="BX35" s="317"/>
      <c r="BY35" s="317"/>
      <c r="BZ35" s="317"/>
      <c r="CA35" s="317"/>
      <c r="CB35" s="317"/>
      <c r="CC35" s="317"/>
      <c r="CD35" s="317"/>
      <c r="CE35" s="317"/>
      <c r="CF35" s="317"/>
      <c r="CG35" s="317"/>
      <c r="CH35" s="317"/>
      <c r="CI35" s="317"/>
      <c r="CJ35" s="317"/>
      <c r="CK35" s="317"/>
      <c r="CL35" s="317"/>
      <c r="CM35" s="317"/>
      <c r="CN35" s="317"/>
      <c r="CO35" s="317"/>
      <c r="CP35" s="317"/>
      <c r="CQ35" s="317"/>
      <c r="CR35" s="317"/>
      <c r="CS35" s="317"/>
      <c r="CT35" s="317"/>
      <c r="CU35" s="317"/>
      <c r="CV35" s="317"/>
      <c r="CW35" s="317"/>
      <c r="CX35" s="317"/>
      <c r="CY35" s="317"/>
      <c r="CZ35" s="317"/>
      <c r="DA35" s="317"/>
      <c r="DB35" s="317"/>
      <c r="DC35" s="317"/>
      <c r="DD35" s="317"/>
      <c r="DE35" s="317"/>
      <c r="DF35" s="317"/>
      <c r="DG35" s="317"/>
      <c r="DH35" s="317"/>
      <c r="DI35" s="317"/>
      <c r="DJ35" s="317"/>
      <c r="DK35" s="317"/>
      <c r="DL35" s="317"/>
      <c r="DM35" s="317"/>
    </row>
    <row r="36" spans="1:117" ht="11">
      <c r="A36" s="319"/>
      <c r="B36" s="387"/>
      <c r="C36" s="387"/>
      <c r="D36" s="387"/>
      <c r="E36" s="387"/>
      <c r="F36" s="387"/>
      <c r="G36" s="387"/>
      <c r="H36" s="388"/>
      <c r="I36" s="388"/>
      <c r="J36" s="388"/>
      <c r="K36" s="388"/>
      <c r="L36" s="388"/>
      <c r="M36" s="388"/>
      <c r="N36" s="389"/>
      <c r="O36" s="389"/>
      <c r="P36" s="389"/>
      <c r="Q36" s="389"/>
      <c r="R36" s="389"/>
      <c r="S36" s="389"/>
      <c r="T36" s="301"/>
      <c r="U36" s="301"/>
      <c r="V36" s="301"/>
      <c r="W36" s="301"/>
      <c r="X36" s="301"/>
      <c r="Y36" s="301"/>
      <c r="Z36" s="301"/>
      <c r="AA36" s="390"/>
      <c r="AB36" s="390"/>
      <c r="AC36" s="24" t="s">
        <v>1001</v>
      </c>
      <c r="AD36" s="24" t="s">
        <v>957</v>
      </c>
      <c r="AF36" s="24" t="s">
        <v>1002</v>
      </c>
      <c r="AN36" s="302"/>
      <c r="AO36" s="302"/>
      <c r="AP36" s="302"/>
      <c r="AQ36" s="302"/>
      <c r="AR36" s="302"/>
      <c r="AS36" s="302"/>
      <c r="AT36" s="302"/>
      <c r="AW36" s="301"/>
      <c r="BW36" s="24"/>
    </row>
    <row r="37" spans="1:117" ht="11">
      <c r="A37" s="24" t="s">
        <v>1000</v>
      </c>
      <c r="B37" s="298" t="s">
        <v>963</v>
      </c>
      <c r="C37" s="298"/>
      <c r="D37" s="298"/>
      <c r="E37" s="298"/>
      <c r="F37" s="298"/>
      <c r="G37" s="298"/>
      <c r="H37" s="299" t="s">
        <v>964</v>
      </c>
      <c r="I37" s="299"/>
      <c r="J37" s="299"/>
      <c r="K37" s="299"/>
      <c r="L37" s="299"/>
      <c r="M37" s="299"/>
      <c r="N37" s="300" t="s">
        <v>965</v>
      </c>
      <c r="O37" s="300"/>
      <c r="P37" s="300"/>
      <c r="Q37" s="300"/>
      <c r="R37" s="300"/>
      <c r="S37" s="300"/>
      <c r="T37" s="301" t="s">
        <v>966</v>
      </c>
      <c r="U37" s="301"/>
      <c r="V37" s="301"/>
      <c r="W37" s="301"/>
      <c r="X37" s="301"/>
      <c r="Y37" s="301"/>
      <c r="Z37" s="301"/>
      <c r="AA37" s="302" t="s">
        <v>967</v>
      </c>
      <c r="AB37" s="302"/>
      <c r="AG37" s="296"/>
      <c r="BW37" s="297"/>
      <c r="BX37" s="297"/>
      <c r="BY37" s="297"/>
      <c r="CA37" s="303"/>
      <c r="CB37" s="304"/>
      <c r="CD37" s="300"/>
      <c r="CE37" s="300"/>
    </row>
    <row r="38" spans="1:117" ht="11">
      <c r="A38" s="415" t="s">
        <v>10</v>
      </c>
      <c r="B38" s="323" t="s">
        <v>969</v>
      </c>
      <c r="C38" s="323" t="s">
        <v>970</v>
      </c>
      <c r="D38" s="323" t="s">
        <v>971</v>
      </c>
      <c r="E38" s="323" t="s">
        <v>972</v>
      </c>
      <c r="F38" s="323" t="s">
        <v>973</v>
      </c>
      <c r="G38" s="323" t="s">
        <v>974</v>
      </c>
      <c r="H38" s="324" t="s">
        <v>969</v>
      </c>
      <c r="I38" s="324" t="s">
        <v>970</v>
      </c>
      <c r="J38" s="324" t="s">
        <v>971</v>
      </c>
      <c r="K38" s="324" t="s">
        <v>972</v>
      </c>
      <c r="L38" s="324" t="s">
        <v>973</v>
      </c>
      <c r="M38" s="324" t="s">
        <v>974</v>
      </c>
      <c r="N38" s="325" t="s">
        <v>969</v>
      </c>
      <c r="O38" s="325" t="s">
        <v>970</v>
      </c>
      <c r="P38" s="325" t="s">
        <v>971</v>
      </c>
      <c r="Q38" s="325" t="s">
        <v>972</v>
      </c>
      <c r="R38" s="325" t="s">
        <v>973</v>
      </c>
      <c r="S38" s="325" t="s">
        <v>974</v>
      </c>
      <c r="T38" s="326" t="s">
        <v>969</v>
      </c>
      <c r="U38" s="326" t="s">
        <v>970</v>
      </c>
      <c r="V38" s="326" t="s">
        <v>971</v>
      </c>
      <c r="W38" s="326" t="s">
        <v>972</v>
      </c>
      <c r="X38" s="326" t="s">
        <v>973</v>
      </c>
      <c r="Y38" s="326" t="s">
        <v>975</v>
      </c>
      <c r="Z38" s="326" t="s">
        <v>974</v>
      </c>
      <c r="AA38" s="302" t="s">
        <v>11</v>
      </c>
      <c r="AB38" s="302" t="s">
        <v>12</v>
      </c>
      <c r="AC38" s="24" t="s">
        <v>13</v>
      </c>
      <c r="AD38" s="24" t="s">
        <v>14</v>
      </c>
      <c r="AE38" s="330" t="s">
        <v>15</v>
      </c>
      <c r="AF38" s="330" t="s">
        <v>16</v>
      </c>
      <c r="AG38" s="280" t="s">
        <v>17</v>
      </c>
      <c r="AH38" s="331" t="s">
        <v>18</v>
      </c>
      <c r="AI38" s="332" t="s">
        <v>19</v>
      </c>
      <c r="AJ38" s="327" t="s">
        <v>20</v>
      </c>
      <c r="AK38" s="327" t="s">
        <v>21</v>
      </c>
      <c r="AL38" s="327" t="s">
        <v>22</v>
      </c>
      <c r="AM38" s="327" t="s">
        <v>23</v>
      </c>
      <c r="AN38" s="302" t="s">
        <v>24</v>
      </c>
      <c r="AO38" s="302" t="s">
        <v>25</v>
      </c>
      <c r="AP38" s="302" t="s">
        <v>26</v>
      </c>
      <c r="AQ38" s="302" t="s">
        <v>27</v>
      </c>
      <c r="AR38" s="302" t="s">
        <v>28</v>
      </c>
      <c r="AS38" s="302" t="s">
        <v>133</v>
      </c>
      <c r="AT38" s="302" t="s">
        <v>31</v>
      </c>
      <c r="AU38" s="296" t="s">
        <v>29</v>
      </c>
      <c r="AV38" s="296" t="s">
        <v>30</v>
      </c>
      <c r="AW38" s="296" t="s">
        <v>107</v>
      </c>
      <c r="AX38" s="296" t="s">
        <v>108</v>
      </c>
      <c r="AY38" s="296" t="s">
        <v>11</v>
      </c>
      <c r="AZ38" s="296" t="s">
        <v>109</v>
      </c>
      <c r="BA38" s="296" t="s">
        <v>110</v>
      </c>
      <c r="BB38" s="296" t="s">
        <v>111</v>
      </c>
      <c r="BC38" s="333" t="s">
        <v>112</v>
      </c>
      <c r="BD38" s="296" t="s">
        <v>115</v>
      </c>
      <c r="BE38" s="296" t="s">
        <v>116</v>
      </c>
      <c r="BF38" s="296" t="s">
        <v>113</v>
      </c>
      <c r="BG38" s="24" t="s">
        <v>117</v>
      </c>
      <c r="BH38" s="296" t="s">
        <v>118</v>
      </c>
      <c r="BI38" s="296" t="s">
        <v>114</v>
      </c>
      <c r="BJ38" s="296" t="s">
        <v>119</v>
      </c>
      <c r="BK38" s="296" t="s">
        <v>128</v>
      </c>
      <c r="BL38" s="328" t="s">
        <v>503</v>
      </c>
      <c r="BM38" s="328" t="s">
        <v>504</v>
      </c>
      <c r="BN38" s="327" t="s">
        <v>127</v>
      </c>
      <c r="BO38" s="24" t="s">
        <v>980</v>
      </c>
      <c r="BP38" s="24" t="s">
        <v>981</v>
      </c>
      <c r="BQ38" s="327" t="s">
        <v>131</v>
      </c>
      <c r="BR38" s="327" t="s">
        <v>126</v>
      </c>
      <c r="BS38" s="24" t="s">
        <v>982</v>
      </c>
      <c r="BT38" s="24" t="s">
        <v>1003</v>
      </c>
      <c r="BU38" s="24" t="s">
        <v>1004</v>
      </c>
      <c r="BV38" s="24" t="s">
        <v>1005</v>
      </c>
      <c r="BW38" s="310" t="s">
        <v>678</v>
      </c>
      <c r="BX38" s="407" t="s">
        <v>1009</v>
      </c>
      <c r="BY38" s="407" t="s">
        <v>1010</v>
      </c>
      <c r="BZ38" s="310" t="s">
        <v>983</v>
      </c>
      <c r="CA38" s="310" t="s">
        <v>681</v>
      </c>
      <c r="CB38" s="407" t="s">
        <v>1011</v>
      </c>
      <c r="CC38" s="24" t="s">
        <v>683</v>
      </c>
      <c r="CD38" s="300" t="s">
        <v>673</v>
      </c>
      <c r="CE38" s="300" t="s">
        <v>674</v>
      </c>
      <c r="CF38" s="24" t="s">
        <v>984</v>
      </c>
      <c r="CG38" s="24" t="s">
        <v>985</v>
      </c>
      <c r="CH38" s="24" t="s">
        <v>986</v>
      </c>
      <c r="CI38" s="24" t="s">
        <v>987</v>
      </c>
      <c r="CJ38" s="24" t="s">
        <v>988</v>
      </c>
      <c r="CK38" s="24" t="s">
        <v>989</v>
      </c>
      <c r="CL38" s="24" t="s">
        <v>990</v>
      </c>
      <c r="CM38" s="24" t="s">
        <v>991</v>
      </c>
      <c r="CN38" s="24" t="s">
        <v>992</v>
      </c>
      <c r="CO38" s="24" t="s">
        <v>993</v>
      </c>
      <c r="CP38" s="24" t="s">
        <v>994</v>
      </c>
      <c r="CQ38" s="24" t="s">
        <v>995</v>
      </c>
      <c r="CR38" s="24" t="s">
        <v>996</v>
      </c>
      <c r="CS38" s="24" t="s">
        <v>1006</v>
      </c>
      <c r="CT38" s="24" t="s">
        <v>1007</v>
      </c>
      <c r="CU38" s="24" t="s">
        <v>934</v>
      </c>
      <c r="CV38" s="24" t="s">
        <v>954</v>
      </c>
      <c r="CW38" s="24" t="s">
        <v>1152</v>
      </c>
      <c r="CX38" s="24" t="s">
        <v>1153</v>
      </c>
      <c r="CY38" s="24" t="s">
        <v>1154</v>
      </c>
      <c r="CZ38" s="24" t="s">
        <v>1155</v>
      </c>
      <c r="DA38" s="24" t="s">
        <v>1156</v>
      </c>
      <c r="DB38" s="24" t="s">
        <v>1157</v>
      </c>
      <c r="DC38" s="24" t="s">
        <v>1158</v>
      </c>
      <c r="DD38" s="24" t="s">
        <v>1159</v>
      </c>
      <c r="DE38" s="24" t="s">
        <v>1196</v>
      </c>
      <c r="DF38" s="24" t="s">
        <v>1210</v>
      </c>
      <c r="DG38" s="24" t="s">
        <v>1309</v>
      </c>
      <c r="DH38" s="24" t="s">
        <v>1367</v>
      </c>
      <c r="DI38" s="24" t="s">
        <v>1593</v>
      </c>
      <c r="DJ38" s="24" t="s">
        <v>1544</v>
      </c>
      <c r="DK38" s="24" t="s">
        <v>1580</v>
      </c>
      <c r="DL38" s="24" t="s">
        <v>1598</v>
      </c>
      <c r="DM38" s="24" t="s">
        <v>1599</v>
      </c>
    </row>
    <row r="39" spans="1:117">
      <c r="A39" s="329" t="s">
        <v>1032</v>
      </c>
      <c r="B39" s="24" t="e">
        <f t="shared" ref="B39:M39" si="45">B$3</f>
        <v>#N/A</v>
      </c>
      <c r="C39" s="24" t="e">
        <f t="shared" si="45"/>
        <v>#N/A</v>
      </c>
      <c r="D39" s="24" t="e">
        <f t="shared" si="45"/>
        <v>#N/A</v>
      </c>
      <c r="E39" s="24" t="e">
        <f t="shared" si="45"/>
        <v>#N/A</v>
      </c>
      <c r="F39" s="24" t="str">
        <f t="shared" si="45"/>
        <v>未記入</v>
      </c>
      <c r="G39" s="24" t="e">
        <f t="shared" si="45"/>
        <v>#N/A</v>
      </c>
      <c r="H39" s="24" t="e">
        <f t="shared" si="45"/>
        <v>#N/A</v>
      </c>
      <c r="I39" s="24" t="e">
        <f t="shared" si="45"/>
        <v>#N/A</v>
      </c>
      <c r="J39" s="24" t="e">
        <f t="shared" si="45"/>
        <v>#N/A</v>
      </c>
      <c r="K39" s="24" t="e">
        <f t="shared" si="45"/>
        <v>#N/A</v>
      </c>
      <c r="L39" s="24" t="str">
        <f t="shared" si="45"/>
        <v>未記入</v>
      </c>
      <c r="M39" s="24" t="e">
        <f t="shared" si="45"/>
        <v>#N/A</v>
      </c>
      <c r="N39" s="24" t="s">
        <v>380</v>
      </c>
      <c r="O39" s="24" t="s">
        <v>380</v>
      </c>
      <c r="P39" s="24" t="s">
        <v>380</v>
      </c>
      <c r="Q39" s="24" t="s">
        <v>380</v>
      </c>
      <c r="R39" s="24" t="s">
        <v>380</v>
      </c>
      <c r="S39" s="24" t="s">
        <v>380</v>
      </c>
      <c r="T39" s="24" t="e">
        <f t="shared" ref="T39:Z39" si="46">T$3</f>
        <v>#N/A</v>
      </c>
      <c r="U39" s="24" t="e">
        <f t="shared" si="46"/>
        <v>#N/A</v>
      </c>
      <c r="V39" s="24" t="e">
        <f t="shared" si="46"/>
        <v>#N/A</v>
      </c>
      <c r="W39" s="24" t="e">
        <f t="shared" si="46"/>
        <v>#N/A</v>
      </c>
      <c r="X39" s="24" t="str">
        <f t="shared" si="46"/>
        <v>未記入</v>
      </c>
      <c r="Y39" s="24" t="e">
        <f t="shared" si="46"/>
        <v>#N/A</v>
      </c>
      <c r="Z39" s="24" t="e">
        <f t="shared" si="46"/>
        <v>#N/A</v>
      </c>
      <c r="AA39" s="24" t="e">
        <f t="shared" ref="AA39:AB39" si="47">AA$3</f>
        <v>#N/A</v>
      </c>
      <c r="AB39" s="24" t="e">
        <f t="shared" si="47"/>
        <v>#N/A</v>
      </c>
      <c r="AC39" s="24" t="str">
        <f>IF(入力フォームDSPA!AB135="○ (GIGAスクール)","D-SPA Option License GIGAスクール版",IF(入力フォームDSPA!AB135="○ (アカデミック)","D-SPA Option License アカデミック","D-SPA Option License"))</f>
        <v>D-SPA Option License</v>
      </c>
      <c r="AD39" s="305"/>
      <c r="AE39" s="24">
        <f>入力フォームDSPA!BV135</f>
        <v>0</v>
      </c>
      <c r="AF39" s="24" t="str">
        <f>IF(OR(COUNTIF(入力フォームDSPA!AR135:BE148,"*更新*"),COUNTIF(入力フォームDSPA!AR135:BE148,"*追加*")),入力フォームDSPA!BF135,"-01")</f>
        <v>-01</v>
      </c>
      <c r="AG39" s="24" t="str">
        <f>IFERROR(中間データDSPA!H14,"")</f>
        <v/>
      </c>
      <c r="AH39" s="24" t="str">
        <f>IF(中間データDSPA!G14="2000/0/1","",中間データDSPA!G14)</f>
        <v/>
      </c>
      <c r="AI39" s="327" t="str">
        <f>IFERROR(中間データDSPA!I14,"")</f>
        <v/>
      </c>
      <c r="AJ39" s="327" t="str">
        <f>中間データDSPA!T3</f>
        <v/>
      </c>
      <c r="AK39" s="327" t="b">
        <f>中間データDSPA!$T$4</f>
        <v>0</v>
      </c>
      <c r="AL39" s="24" t="e">
        <f>IF(入力フォームDSPA!#REF!="○ あり","SSL Adapter for D-SPA",IF(入力フォームDSPA!$AB$139="○ あり","Info Board for D-SPA",""))</f>
        <v>#REF!</v>
      </c>
      <c r="AM39" s="24" t="str">
        <f>IF(入力フォームDSPA!$AB$141="○ (FE)","APT Protection for D-SPA (FE)",IF(入力フォームDSPA!$AB$141="○ (DDI)","APT Protection for D-SPA (DDI)",""))</f>
        <v/>
      </c>
      <c r="AN39" s="24" t="e">
        <f t="shared" ref="AN39:AT39" si="48">AN$3</f>
        <v>#N/A</v>
      </c>
      <c r="AO39" s="24" t="e">
        <f t="shared" si="48"/>
        <v>#N/A</v>
      </c>
      <c r="AP39" s="24" t="e">
        <f t="shared" si="48"/>
        <v>#N/A</v>
      </c>
      <c r="AQ39" s="24" t="e">
        <f t="shared" si="48"/>
        <v>#N/A</v>
      </c>
      <c r="AR39" s="24" t="e">
        <f t="shared" si="48"/>
        <v>#N/A</v>
      </c>
      <c r="AS39" s="24" t="e">
        <f t="shared" si="48"/>
        <v>#N/A</v>
      </c>
      <c r="AT39" s="24" t="e">
        <f t="shared" si="48"/>
        <v>#N/A</v>
      </c>
      <c r="AU39" s="24">
        <f>入力フォームDSPA!AR135</f>
        <v>0</v>
      </c>
      <c r="AV39" s="24" t="str">
        <f>IFERROR(AG39*12,"")</f>
        <v/>
      </c>
      <c r="AW39" s="305"/>
      <c r="AX39" s="305"/>
      <c r="AY39" s="305"/>
      <c r="AZ39" s="305"/>
      <c r="BA39" s="305"/>
      <c r="BB39" s="305"/>
      <c r="BC39" s="24" t="e">
        <f t="shared" ref="BC39" si="49">BC$3</f>
        <v>#N/A</v>
      </c>
      <c r="BG39" s="24">
        <f>入力フォームDSPA!$AI$137</f>
        <v>0</v>
      </c>
      <c r="BH39" s="24" t="s">
        <v>132</v>
      </c>
      <c r="BL39" s="24" t="e">
        <f>BL29</f>
        <v>#N/A</v>
      </c>
      <c r="BM39" s="24" t="e">
        <f>BM29</f>
        <v>#N/A</v>
      </c>
      <c r="BN39" s="327" t="b">
        <f>中間データDSPA!$T$8</f>
        <v>0</v>
      </c>
      <c r="BO39" s="24" t="str">
        <f>BO29</f>
        <v/>
      </c>
      <c r="BP39" s="305"/>
      <c r="BQ39" s="24" t="b">
        <f>IF(入力フォームDSPA!$AB$147="○ あり",中間データDSPA!$T$9&amp;"："&amp;入力フォームDSPA!BV147&amp;"L",中間データDSPA!$T$9)</f>
        <v>0</v>
      </c>
      <c r="BR39" s="24" t="str">
        <f>IF(入力フォームDSPA!AB145="○ あり","Anti-Virus &amp; Sandbox","")</f>
        <v/>
      </c>
      <c r="BS39" s="305"/>
      <c r="BT39" s="305"/>
      <c r="BU39" s="305"/>
      <c r="BV39" s="305"/>
      <c r="BW39" s="413"/>
      <c r="BX39" s="305"/>
      <c r="BY39" s="305"/>
      <c r="BZ39" s="305"/>
      <c r="CA39" s="305"/>
      <c r="CB39" s="305"/>
      <c r="CC39" s="305"/>
      <c r="CD39" s="24" t="e">
        <f>CD$3</f>
        <v>#N/A</v>
      </c>
      <c r="CE39" s="24" t="str">
        <f t="shared" ref="CE39" si="50">CE29</f>
        <v/>
      </c>
      <c r="CF39" s="24" t="s">
        <v>999</v>
      </c>
      <c r="CG39" s="24" t="e">
        <f t="shared" ref="CG39:CK39" si="51">CG$3</f>
        <v>#N/A</v>
      </c>
      <c r="CH39" s="24" t="e">
        <f t="shared" si="51"/>
        <v>#N/A</v>
      </c>
      <c r="CI39" s="24" t="e">
        <f t="shared" si="51"/>
        <v>#N/A</v>
      </c>
      <c r="CJ39" s="24" t="e">
        <f t="shared" si="51"/>
        <v>#N/A</v>
      </c>
      <c r="CK39" s="24" t="e">
        <f t="shared" si="51"/>
        <v>#N/A</v>
      </c>
      <c r="CL39" s="24" t="s">
        <v>999</v>
      </c>
      <c r="CM39" s="24" t="e">
        <f t="shared" ref="CM39:CQ39" si="52">CM$3</f>
        <v>#N/A</v>
      </c>
      <c r="CN39" s="24" t="e">
        <f t="shared" si="52"/>
        <v>#N/A</v>
      </c>
      <c r="CO39" s="24" t="e">
        <f t="shared" si="52"/>
        <v>#N/A</v>
      </c>
      <c r="CP39" s="24" t="e">
        <f t="shared" si="52"/>
        <v>#N/A</v>
      </c>
      <c r="CQ39" s="24" t="e">
        <f t="shared" si="52"/>
        <v>#N/A</v>
      </c>
      <c r="CR39" s="24" t="str">
        <f>IF(入力フォームDSPA!AB151="○ あり","子ども見守り","")</f>
        <v/>
      </c>
      <c r="CS39" s="24" t="str">
        <f>IF(入力フォームDSPA!$AR$151="○ あり","TRUE","FALSE")</f>
        <v>FALSE</v>
      </c>
      <c r="CT39" s="24" t="str">
        <f>IF(入力フォームDSPA!AB147="○ あり",入力フォームDSPA!BV147,"")</f>
        <v/>
      </c>
      <c r="CU39" s="305"/>
      <c r="CV39" s="24">
        <v>1</v>
      </c>
      <c r="CW39" s="296"/>
      <c r="CX39" s="296"/>
      <c r="CY39" s="296"/>
      <c r="CZ39" s="296"/>
      <c r="DA39" s="296"/>
      <c r="DB39" s="296"/>
      <c r="DC39" s="296"/>
      <c r="DD39" s="296"/>
      <c r="DE39" s="296"/>
      <c r="DF39" s="296"/>
      <c r="DG39" s="296"/>
      <c r="DH39" s="296"/>
      <c r="DI39" s="296"/>
      <c r="DJ39" s="296"/>
      <c r="DK39" s="296"/>
      <c r="DL39" s="296"/>
      <c r="DM39" s="296"/>
    </row>
    <row r="41" spans="1:117">
      <c r="A41" s="311"/>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414"/>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1"/>
      <c r="DD41" s="311"/>
      <c r="DE41" s="311"/>
      <c r="DF41" s="311"/>
      <c r="DG41" s="311"/>
      <c r="DH41" s="311"/>
      <c r="DI41" s="311"/>
      <c r="DJ41" s="311"/>
      <c r="DK41" s="311"/>
      <c r="DL41" s="311"/>
      <c r="DM41" s="311"/>
    </row>
    <row r="43" spans="1:117" ht="11">
      <c r="A43" s="317" t="s">
        <v>1012</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8"/>
      <c r="AI43" s="317"/>
      <c r="AJ43" s="317"/>
      <c r="AK43" s="317"/>
      <c r="AL43" s="317"/>
      <c r="AM43" s="317"/>
      <c r="AN43" s="317"/>
      <c r="AO43" s="317"/>
      <c r="AP43" s="317"/>
      <c r="AQ43" s="317"/>
      <c r="AR43" s="317"/>
      <c r="AS43" s="317"/>
      <c r="AT43" s="317"/>
      <c r="AU43" s="317"/>
      <c r="AV43" s="317"/>
      <c r="AW43" s="317"/>
      <c r="AX43" s="317"/>
      <c r="AY43" s="317"/>
      <c r="AZ43" s="317"/>
      <c r="BA43" s="317"/>
      <c r="BB43" s="317"/>
      <c r="BC43" s="317"/>
      <c r="BD43" s="317"/>
      <c r="BE43" s="317"/>
      <c r="BF43" s="317"/>
      <c r="BG43" s="317"/>
      <c r="BH43" s="317"/>
      <c r="BI43" s="317"/>
      <c r="BJ43" s="317"/>
      <c r="BK43" s="317"/>
      <c r="BL43" s="317"/>
      <c r="BM43" s="317"/>
      <c r="BN43" s="317"/>
      <c r="BO43" s="317"/>
      <c r="BP43" s="317"/>
      <c r="BQ43" s="317"/>
      <c r="BR43" s="317"/>
      <c r="BS43" s="317"/>
      <c r="BT43" s="317"/>
      <c r="BU43" s="317"/>
      <c r="BV43" s="317"/>
      <c r="BW43" s="317"/>
      <c r="BX43" s="317"/>
      <c r="BY43" s="317"/>
      <c r="BZ43" s="317"/>
      <c r="CA43" s="317"/>
      <c r="CB43" s="317"/>
      <c r="CC43" s="317"/>
      <c r="CD43" s="317"/>
      <c r="CE43" s="317"/>
      <c r="CF43" s="317"/>
      <c r="CG43" s="317"/>
      <c r="CH43" s="317"/>
      <c r="CI43" s="317"/>
      <c r="CJ43" s="317"/>
      <c r="CK43" s="317"/>
      <c r="CL43" s="317"/>
      <c r="CM43" s="317"/>
      <c r="CN43" s="317"/>
      <c r="CO43" s="317"/>
      <c r="CP43" s="317"/>
      <c r="CQ43" s="317"/>
      <c r="CR43" s="317"/>
      <c r="CS43" s="317"/>
      <c r="CT43" s="317"/>
      <c r="CU43" s="317"/>
      <c r="CV43" s="317"/>
      <c r="CW43" s="317"/>
      <c r="CX43" s="317"/>
      <c r="CY43" s="317"/>
      <c r="CZ43" s="317"/>
      <c r="DA43" s="317"/>
      <c r="DB43" s="317"/>
      <c r="DC43" s="317"/>
      <c r="DD43" s="317"/>
      <c r="DE43" s="317"/>
      <c r="DF43" s="317"/>
      <c r="DG43" s="317"/>
      <c r="DH43" s="317"/>
      <c r="DI43" s="317"/>
      <c r="DJ43" s="317"/>
      <c r="DK43" s="317"/>
      <c r="DL43" s="317"/>
      <c r="DM43" s="317"/>
    </row>
    <row r="44" spans="1:117" ht="11">
      <c r="A44" s="24" t="s">
        <v>10</v>
      </c>
      <c r="B44" s="24" t="s">
        <v>40</v>
      </c>
      <c r="C44" s="24" t="s">
        <v>41</v>
      </c>
      <c r="D44" s="24" t="s">
        <v>42</v>
      </c>
      <c r="E44" s="24" t="s">
        <v>43</v>
      </c>
      <c r="F44" s="24" t="s">
        <v>973</v>
      </c>
      <c r="G44" s="24" t="s">
        <v>974</v>
      </c>
      <c r="H44" s="24" t="s">
        <v>40</v>
      </c>
      <c r="I44" s="24" t="s">
        <v>41</v>
      </c>
      <c r="J44" s="24" t="s">
        <v>42</v>
      </c>
      <c r="K44" s="24" t="s">
        <v>43</v>
      </c>
      <c r="L44" s="24" t="s">
        <v>973</v>
      </c>
      <c r="M44" s="24" t="s">
        <v>974</v>
      </c>
      <c r="N44" s="24" t="s">
        <v>40</v>
      </c>
      <c r="O44" s="24" t="s">
        <v>41</v>
      </c>
      <c r="P44" s="24" t="s">
        <v>42</v>
      </c>
      <c r="Q44" s="24" t="s">
        <v>43</v>
      </c>
      <c r="R44" s="24" t="s">
        <v>973</v>
      </c>
      <c r="S44" s="24" t="s">
        <v>974</v>
      </c>
      <c r="T44" s="24" t="s">
        <v>40</v>
      </c>
      <c r="U44" s="24" t="s">
        <v>46</v>
      </c>
      <c r="V44" s="24" t="s">
        <v>47</v>
      </c>
      <c r="W44" s="24" t="s">
        <v>48</v>
      </c>
      <c r="X44" s="24" t="s">
        <v>973</v>
      </c>
      <c r="Y44" s="24" t="s">
        <v>49</v>
      </c>
      <c r="Z44" s="24" t="s">
        <v>974</v>
      </c>
      <c r="AA44" s="24" t="s">
        <v>11</v>
      </c>
      <c r="AB44" s="24" t="s">
        <v>12</v>
      </c>
      <c r="AC44" s="24" t="s">
        <v>13</v>
      </c>
      <c r="AD44" s="24" t="s">
        <v>14</v>
      </c>
      <c r="AE44" s="24" t="s">
        <v>15</v>
      </c>
      <c r="AF44" s="24" t="s">
        <v>16</v>
      </c>
      <c r="AG44" s="24" t="s">
        <v>17</v>
      </c>
      <c r="AH44" s="330" t="s">
        <v>1013</v>
      </c>
      <c r="AI44" s="24" t="s">
        <v>19</v>
      </c>
      <c r="AJ44" s="24" t="s">
        <v>20</v>
      </c>
      <c r="AK44" s="24" t="s">
        <v>21</v>
      </c>
      <c r="AL44" s="24" t="s">
        <v>22</v>
      </c>
      <c r="AM44" s="24" t="s">
        <v>23</v>
      </c>
      <c r="AN44" s="24" t="s">
        <v>24</v>
      </c>
      <c r="AO44" s="24" t="s">
        <v>25</v>
      </c>
      <c r="AP44" s="24" t="s">
        <v>26</v>
      </c>
      <c r="AQ44" s="24" t="s">
        <v>27</v>
      </c>
      <c r="AR44" s="24" t="s">
        <v>28</v>
      </c>
      <c r="AS44" s="24" t="s">
        <v>133</v>
      </c>
      <c r="AT44" s="24" t="s">
        <v>31</v>
      </c>
      <c r="AU44" s="24" t="s">
        <v>29</v>
      </c>
      <c r="AV44" s="24" t="s">
        <v>30</v>
      </c>
      <c r="AW44" s="24" t="s">
        <v>107</v>
      </c>
      <c r="AX44" s="24" t="s">
        <v>108</v>
      </c>
      <c r="AY44" s="24" t="s">
        <v>11</v>
      </c>
      <c r="AZ44" s="24" t="s">
        <v>109</v>
      </c>
      <c r="BA44" s="24" t="s">
        <v>110</v>
      </c>
      <c r="BB44" s="24" t="s">
        <v>111</v>
      </c>
      <c r="BC44" s="24" t="s">
        <v>112</v>
      </c>
      <c r="BD44" s="24" t="s">
        <v>115</v>
      </c>
      <c r="BE44" s="24" t="s">
        <v>116</v>
      </c>
      <c r="BF44" s="24" t="s">
        <v>113</v>
      </c>
      <c r="BG44" s="24" t="s">
        <v>117</v>
      </c>
      <c r="BH44" s="24" t="s">
        <v>118</v>
      </c>
      <c r="BI44" s="24" t="s">
        <v>114</v>
      </c>
      <c r="BJ44" s="24" t="s">
        <v>119</v>
      </c>
      <c r="BK44" s="24" t="s">
        <v>128</v>
      </c>
      <c r="BL44" s="24" t="s">
        <v>129</v>
      </c>
      <c r="BM44" s="24" t="s">
        <v>130</v>
      </c>
      <c r="BN44" s="24" t="s">
        <v>127</v>
      </c>
      <c r="BO44" s="24" t="s">
        <v>135</v>
      </c>
      <c r="BP44" s="24" t="s">
        <v>136</v>
      </c>
      <c r="BQ44" s="24" t="s">
        <v>131</v>
      </c>
      <c r="BR44" s="24" t="s">
        <v>126</v>
      </c>
      <c r="BS44" s="24" t="s">
        <v>134</v>
      </c>
      <c r="BT44" s="24" t="s">
        <v>675</v>
      </c>
      <c r="BU44" s="24" t="s">
        <v>676</v>
      </c>
      <c r="BV44" s="24" t="s">
        <v>677</v>
      </c>
      <c r="BW44" s="24" t="s">
        <v>678</v>
      </c>
      <c r="BX44" s="24" t="s">
        <v>679</v>
      </c>
      <c r="BY44" s="24" t="s">
        <v>680</v>
      </c>
      <c r="BZ44" s="24" t="s">
        <v>196</v>
      </c>
      <c r="CA44" s="24" t="s">
        <v>681</v>
      </c>
      <c r="CB44" s="24" t="s">
        <v>682</v>
      </c>
      <c r="CC44" s="24" t="s">
        <v>683</v>
      </c>
      <c r="CD44" s="320" t="s">
        <v>673</v>
      </c>
      <c r="CE44" s="320" t="s">
        <v>674</v>
      </c>
      <c r="CF44" s="24" t="s">
        <v>687</v>
      </c>
      <c r="CG44" s="24" t="s">
        <v>688</v>
      </c>
      <c r="CH44" s="24" t="s">
        <v>689</v>
      </c>
      <c r="CI44" s="24" t="s">
        <v>690</v>
      </c>
      <c r="CJ44" s="24" t="s">
        <v>691</v>
      </c>
      <c r="CK44" s="24" t="s">
        <v>692</v>
      </c>
      <c r="CL44" s="24" t="s">
        <v>693</v>
      </c>
      <c r="CM44" s="24" t="s">
        <v>694</v>
      </c>
      <c r="CN44" s="24" t="s">
        <v>695</v>
      </c>
      <c r="CO44" s="24" t="s">
        <v>696</v>
      </c>
      <c r="CP44" s="24" t="s">
        <v>697</v>
      </c>
      <c r="CQ44" s="24" t="s">
        <v>698</v>
      </c>
      <c r="CR44" s="24" t="s">
        <v>1184</v>
      </c>
      <c r="CS44" s="24" t="s">
        <v>881</v>
      </c>
      <c r="CT44" s="24" t="s">
        <v>933</v>
      </c>
      <c r="CU44" s="24" t="s">
        <v>934</v>
      </c>
      <c r="CV44" s="24" t="s">
        <v>954</v>
      </c>
      <c r="CW44" s="24" t="s">
        <v>1152</v>
      </c>
      <c r="CX44" s="24" t="s">
        <v>1153</v>
      </c>
      <c r="CY44" s="24" t="s">
        <v>1154</v>
      </c>
      <c r="CZ44" s="24" t="s">
        <v>1155</v>
      </c>
      <c r="DA44" s="24" t="s">
        <v>1156</v>
      </c>
      <c r="DB44" s="24" t="s">
        <v>1157</v>
      </c>
      <c r="DC44" s="24" t="s">
        <v>1158</v>
      </c>
      <c r="DD44" s="24" t="s">
        <v>1159</v>
      </c>
      <c r="DE44" s="24" t="s">
        <v>1196</v>
      </c>
      <c r="DF44" s="24" t="s">
        <v>1210</v>
      </c>
      <c r="DG44" s="24" t="s">
        <v>1309</v>
      </c>
      <c r="DH44" s="24" t="s">
        <v>1367</v>
      </c>
      <c r="DI44" s="24" t="s">
        <v>1593</v>
      </c>
      <c r="DJ44" s="24" t="s">
        <v>1544</v>
      </c>
      <c r="DK44" s="24" t="s">
        <v>1580</v>
      </c>
      <c r="DL44" s="24" t="s">
        <v>1598</v>
      </c>
      <c r="DM44" s="24" t="s">
        <v>1599</v>
      </c>
    </row>
    <row r="45" spans="1:117" ht="11">
      <c r="A45" s="40" t="s">
        <v>1023</v>
      </c>
      <c r="B45" s="24" t="e">
        <f t="shared" ref="B45:M48" si="53">B$3</f>
        <v>#N/A</v>
      </c>
      <c r="C45" s="24" t="e">
        <f t="shared" si="53"/>
        <v>#N/A</v>
      </c>
      <c r="D45" s="24" t="e">
        <f t="shared" si="53"/>
        <v>#N/A</v>
      </c>
      <c r="E45" s="24" t="e">
        <f t="shared" si="53"/>
        <v>#N/A</v>
      </c>
      <c r="F45" s="24" t="str">
        <f t="shared" si="53"/>
        <v>未記入</v>
      </c>
      <c r="G45" s="24" t="e">
        <f t="shared" si="53"/>
        <v>#N/A</v>
      </c>
      <c r="H45" s="24" t="e">
        <f t="shared" si="53"/>
        <v>#N/A</v>
      </c>
      <c r="I45" s="24" t="e">
        <f t="shared" si="53"/>
        <v>#N/A</v>
      </c>
      <c r="J45" s="24" t="e">
        <f t="shared" si="53"/>
        <v>#N/A</v>
      </c>
      <c r="K45" s="24" t="e">
        <f t="shared" si="53"/>
        <v>#N/A</v>
      </c>
      <c r="L45" s="24" t="str">
        <f t="shared" si="53"/>
        <v>未記入</v>
      </c>
      <c r="M45" s="24" t="e">
        <f t="shared" si="53"/>
        <v>#N/A</v>
      </c>
      <c r="N45" s="24" t="s">
        <v>380</v>
      </c>
      <c r="O45" s="24" t="s">
        <v>380</v>
      </c>
      <c r="P45" s="24" t="s">
        <v>380</v>
      </c>
      <c r="Q45" s="24" t="s">
        <v>380</v>
      </c>
      <c r="R45" s="24" t="s">
        <v>380</v>
      </c>
      <c r="S45" s="24" t="s">
        <v>380</v>
      </c>
      <c r="T45" s="24" t="e">
        <f t="shared" ref="T45:AB48" si="54">T$3</f>
        <v>#N/A</v>
      </c>
      <c r="U45" s="24" t="e">
        <f t="shared" si="54"/>
        <v>#N/A</v>
      </c>
      <c r="V45" s="24" t="e">
        <f t="shared" si="54"/>
        <v>#N/A</v>
      </c>
      <c r="W45" s="24" t="e">
        <f t="shared" si="54"/>
        <v>#N/A</v>
      </c>
      <c r="X45" s="24" t="str">
        <f t="shared" si="54"/>
        <v>未記入</v>
      </c>
      <c r="Y45" s="24" t="e">
        <f t="shared" si="54"/>
        <v>#N/A</v>
      </c>
      <c r="Z45" s="24" t="e">
        <f t="shared" si="54"/>
        <v>#N/A</v>
      </c>
      <c r="AA45" s="24" t="e">
        <f t="shared" si="54"/>
        <v>#N/A</v>
      </c>
      <c r="AB45" s="24" t="e">
        <f t="shared" si="54"/>
        <v>#N/A</v>
      </c>
      <c r="AC45" s="24" t="str">
        <f>IF(OR(代ホ_入力フォームiF・mF・MA!$E$80="",代ホ_入力フォームiF・mF・MA!$U$80=""),"",INDEX(中間データオンプレ!$W$35:$Z$39,MATCH(代ホ_入力フォームiF・mF・MA!$U$80,中間データオンプレ!$W$35:$W$39,0),MATCH(代ホ_入力フォームiF・mF・MA!$E$80,中間データオンプレ!$W$35:$Z$35,0)))</f>
        <v/>
      </c>
      <c r="AD45" s="305"/>
      <c r="AE45" s="307">
        <f>代ホ_入力フォームiF・mF・MA!BH80</f>
        <v>0</v>
      </c>
      <c r="AF45" s="24" t="str">
        <f>IF(OR(代ホ_入力フォームiF・mF・MA!AL80="新規",代ホ_入力フォームiF・mF・MA!AL80="乗換"),中間データオンプレ!I21,IF(代ホ_入力フォームiF・mF・MA!CT80="","",代ホ_入力フォームiF・mF・MA!CT80))</f>
        <v/>
      </c>
      <c r="AG45" s="24" t="str">
        <f>IF(ISERROR(中間データオンプレ!H15),"",中間データオンプレ!H15)</f>
        <v/>
      </c>
      <c r="AH45" s="24" t="str">
        <f>IF(代ホ_入力フォームiF・mF・MA!CF80*代ホ_入力フォームiF・mF・MA!CJ80=0,"",中間データオンプレ!I15)</f>
        <v/>
      </c>
      <c r="AI45" s="327" t="str">
        <f>IF(ISERROR(中間データオンプレ!I19),"",中間データオンプレ!I19)</f>
        <v/>
      </c>
      <c r="AJ45" s="24" t="str">
        <f>IF(中間データオンプレ!H10,中間データオンプレ!I10,"")</f>
        <v/>
      </c>
      <c r="AK45" s="24" t="str">
        <f>IF(中間データオンプレ!H12,中間データオンプレ!I12,"")</f>
        <v/>
      </c>
      <c r="AL45" s="24" t="str">
        <f>IF(中間データオンプレ!H11,中間データオンプレ!I11,"")</f>
        <v/>
      </c>
      <c r="AM45" s="24" t="str">
        <f>IF(中間データオンプレ!H13,中間データオンプレ!I13&amp;"："&amp;代ホ_入力フォームiF・mF・MA!N84&amp;"L","")</f>
        <v/>
      </c>
      <c r="AN45" s="24" t="e">
        <f t="shared" ref="AN45:AT48" si="55">AN$3</f>
        <v>#N/A</v>
      </c>
      <c r="AO45" s="24" t="e">
        <f t="shared" si="55"/>
        <v>#N/A</v>
      </c>
      <c r="AP45" s="24" t="e">
        <f t="shared" si="55"/>
        <v>#N/A</v>
      </c>
      <c r="AQ45" s="24" t="e">
        <f t="shared" si="55"/>
        <v>#N/A</v>
      </c>
      <c r="AR45" s="24" t="e">
        <f t="shared" si="55"/>
        <v>#N/A</v>
      </c>
      <c r="AS45" s="24" t="e">
        <f t="shared" si="55"/>
        <v>#N/A</v>
      </c>
      <c r="AT45" s="24" t="e">
        <f t="shared" si="55"/>
        <v>#N/A</v>
      </c>
      <c r="AU45" s="24" t="str">
        <f>LEFT(代ホ_入力フォームiF・mF・MA!AL80,2)</f>
        <v/>
      </c>
      <c r="AV45" s="24" t="str">
        <f>IF(ISERROR(中間データオンプレ!H15*12),"",中間データオンプレ!H15*12)</f>
        <v/>
      </c>
      <c r="BC45" s="24" t="e">
        <f t="shared" ref="BC45:BC48" si="56">BC$3</f>
        <v>#N/A</v>
      </c>
      <c r="BD45" s="24" t="s">
        <v>888</v>
      </c>
      <c r="BE45" s="24" t="e">
        <f>IF(ISBLANK(お客様情報!N33),"",お客様情報!N33)</f>
        <v>#N/A</v>
      </c>
      <c r="BF45" s="24" t="e">
        <f>お客様情報!N35&amp;"　"&amp;お客様情報!N36&amp;お客様情報!N37&amp;お客様情報!N38&amp;"　"&amp;お客様情報!N39</f>
        <v>#N/A</v>
      </c>
      <c r="BG45" s="24" t="str">
        <f>IF(代ホ_入力フォームiF・mF・MA!AB84=0,"",代ホ_入力フォームiF・mF・MA!AB84)</f>
        <v/>
      </c>
      <c r="BH45" s="24" t="s">
        <v>132</v>
      </c>
      <c r="BI45" s="402"/>
      <c r="BJ45" s="402"/>
      <c r="BK45" s="402"/>
      <c r="BL45" s="24" t="e">
        <f t="shared" ref="BL45:BM48" si="57">BL$3</f>
        <v>#N/A</v>
      </c>
      <c r="BM45" s="24" t="e">
        <f t="shared" si="57"/>
        <v>#N/A</v>
      </c>
      <c r="BN45" s="24" t="str">
        <f>IF(中間データオンプレ!H14,中間データオンプレ!I14,"")</f>
        <v/>
      </c>
      <c r="BP45" s="402"/>
      <c r="BR45" s="24" t="str">
        <f>IF(代ホ_入力フォームiF・mF・MA!J87="有","Anti-Virus &amp; Sandbox","")</f>
        <v/>
      </c>
      <c r="BS45" s="402"/>
      <c r="BT45" s="402"/>
      <c r="BU45" s="402"/>
      <c r="BV45" s="402"/>
      <c r="BW45" s="402"/>
      <c r="BX45" s="402"/>
      <c r="BY45" s="402"/>
      <c r="BZ45" s="402"/>
      <c r="CA45" s="402"/>
      <c r="CB45" s="402"/>
      <c r="CC45" s="402"/>
      <c r="CD45" s="320" t="e">
        <f t="shared" ref="CD45:CD48" si="58">CD$3</f>
        <v>#N/A</v>
      </c>
      <c r="CE45" s="320" t="str">
        <f>IFERROR(VLOOKUP("i‐FILTER",お客様情報!$T$42:$U$45,2,FALSE),"")</f>
        <v/>
      </c>
      <c r="CF45" s="24" t="s">
        <v>999</v>
      </c>
      <c r="CG45" s="24" t="e">
        <f t="shared" ref="CG45:CK48" si="59">CG$3</f>
        <v>#N/A</v>
      </c>
      <c r="CH45" s="24" t="e">
        <f t="shared" si="59"/>
        <v>#N/A</v>
      </c>
      <c r="CI45" s="24" t="e">
        <f t="shared" si="59"/>
        <v>#N/A</v>
      </c>
      <c r="CJ45" s="24" t="e">
        <f t="shared" si="59"/>
        <v>#N/A</v>
      </c>
      <c r="CK45" s="24" t="e">
        <f t="shared" si="59"/>
        <v>#N/A</v>
      </c>
      <c r="CL45" s="24" t="s">
        <v>999</v>
      </c>
      <c r="CM45" s="24" t="e">
        <f t="shared" ref="CM45:CQ48" si="60">CM$3</f>
        <v>#N/A</v>
      </c>
      <c r="CN45" s="24" t="e">
        <f t="shared" si="60"/>
        <v>#N/A</v>
      </c>
      <c r="CO45" s="24" t="e">
        <f t="shared" si="60"/>
        <v>#N/A</v>
      </c>
      <c r="CP45" s="24" t="e">
        <f t="shared" si="60"/>
        <v>#N/A</v>
      </c>
      <c r="CQ45" s="24" t="e">
        <f t="shared" si="60"/>
        <v>#N/A</v>
      </c>
      <c r="CR45" s="24" t="str">
        <f>IF(代ホ_入力フォームiF・mF・MA!BR84="有","子ども見守り","")</f>
        <v/>
      </c>
      <c r="CS45" s="24" t="str">
        <f>IF(代ホ_入力フォームiF・mF・MA!CB84="有","TRUE","FALSE")</f>
        <v>FALSE</v>
      </c>
      <c r="CT45" s="305"/>
      <c r="CU45" s="24" t="e">
        <f>お客様情報!N34</f>
        <v>#N/A</v>
      </c>
      <c r="CV45" s="24" t="str">
        <f>IF(代ホ_入力フォームiF・mF・MA!BP80="","",代ホ_入力フォームiF・mF・MA!BP80)</f>
        <v/>
      </c>
      <c r="CW45" s="296"/>
      <c r="CX45" s="296"/>
      <c r="CY45" s="296"/>
      <c r="CZ45" s="296"/>
      <c r="DA45" s="296"/>
      <c r="DB45" s="296"/>
      <c r="DC45" s="296"/>
      <c r="DD45" s="296"/>
      <c r="DE45" s="296"/>
      <c r="DF45" s="296"/>
      <c r="DG45" s="296"/>
      <c r="DH45" s="296"/>
      <c r="DI45" s="305"/>
      <c r="DJ45" s="305"/>
      <c r="DK45" s="305"/>
      <c r="DL45" s="305"/>
      <c r="DM45" s="305"/>
    </row>
    <row r="46" spans="1:117" ht="11">
      <c r="A46" s="42" t="s">
        <v>1024</v>
      </c>
      <c r="B46" s="24" t="e">
        <f t="shared" si="53"/>
        <v>#N/A</v>
      </c>
      <c r="C46" s="24" t="e">
        <f t="shared" si="53"/>
        <v>#N/A</v>
      </c>
      <c r="D46" s="24" t="e">
        <f t="shared" si="53"/>
        <v>#N/A</v>
      </c>
      <c r="E46" s="24" t="e">
        <f t="shared" si="53"/>
        <v>#N/A</v>
      </c>
      <c r="F46" s="24" t="str">
        <f t="shared" si="53"/>
        <v>未記入</v>
      </c>
      <c r="G46" s="24" t="e">
        <f t="shared" si="53"/>
        <v>#N/A</v>
      </c>
      <c r="H46" s="24" t="e">
        <f t="shared" si="53"/>
        <v>#N/A</v>
      </c>
      <c r="I46" s="24" t="e">
        <f t="shared" si="53"/>
        <v>#N/A</v>
      </c>
      <c r="J46" s="24" t="e">
        <f t="shared" si="53"/>
        <v>#N/A</v>
      </c>
      <c r="K46" s="24" t="e">
        <f t="shared" si="53"/>
        <v>#N/A</v>
      </c>
      <c r="L46" s="24" t="str">
        <f t="shared" si="53"/>
        <v>未記入</v>
      </c>
      <c r="M46" s="24" t="e">
        <f t="shared" si="53"/>
        <v>#N/A</v>
      </c>
      <c r="N46" s="24" t="s">
        <v>380</v>
      </c>
      <c r="O46" s="24" t="s">
        <v>380</v>
      </c>
      <c r="P46" s="24" t="s">
        <v>380</v>
      </c>
      <c r="Q46" s="24" t="s">
        <v>380</v>
      </c>
      <c r="R46" s="24" t="s">
        <v>380</v>
      </c>
      <c r="S46" s="24" t="s">
        <v>380</v>
      </c>
      <c r="T46" s="24" t="e">
        <f t="shared" si="54"/>
        <v>#N/A</v>
      </c>
      <c r="U46" s="24" t="e">
        <f t="shared" si="54"/>
        <v>#N/A</v>
      </c>
      <c r="V46" s="24" t="e">
        <f t="shared" si="54"/>
        <v>#N/A</v>
      </c>
      <c r="W46" s="24" t="e">
        <f t="shared" si="54"/>
        <v>#N/A</v>
      </c>
      <c r="X46" s="24" t="str">
        <f t="shared" si="54"/>
        <v>未記入</v>
      </c>
      <c r="Y46" s="24" t="e">
        <f t="shared" si="54"/>
        <v>#N/A</v>
      </c>
      <c r="Z46" s="24" t="e">
        <f t="shared" si="54"/>
        <v>#N/A</v>
      </c>
      <c r="AA46" s="24" t="e">
        <f t="shared" si="54"/>
        <v>#N/A</v>
      </c>
      <c r="AB46" s="24" t="e">
        <f t="shared" si="54"/>
        <v>#N/A</v>
      </c>
      <c r="AC46" s="24" t="str">
        <f>IF(OR(代ホ_入力フォームiF・mF・MA!$E$98="",代ホ_入力フォームiF・mF・MA!$Z$98=""),"",INDEX(中間データオンプレ!$W$43:$AA$45,MATCH(代ホ_入力フォームiF・mF・MA!$Z$98,中間データオンプレ!$W$43:$W$45,0),MATCH(代ホ_入力フォームiF・mF・MA!$E$98,中間データオンプレ!$W$43:$AA$43,0)))</f>
        <v/>
      </c>
      <c r="AD46" s="305"/>
      <c r="AE46" s="307">
        <f>代ホ_入力フォームiF・mF・MA!BH98</f>
        <v>0</v>
      </c>
      <c r="AF46" s="24" t="str">
        <f>IF(OR(COUNTIF(代ホ_入力フォームiF・mF・MA!AL98,"*新規*"),COUNTIF(代ホ_入力フォームiF・mF・MA!AL98,"*乗換*")),中間データオンプレ!R22,IF(代ホ_入力フォームiF・mF・MA!CT98="","",代ホ_入力フォームiF・mF・MA!CT98))</f>
        <v/>
      </c>
      <c r="AG46" s="24" t="str">
        <f>IF(ISERROR(中間データオンプレ!Q16),"",中間データオンプレ!Q16)</f>
        <v/>
      </c>
      <c r="AH46" s="24" t="str">
        <f>IF(代ホ_入力フォームiF・mF・MA!CF98*代ホ_入力フォームiF・mF・MA!CJ98=0,"",中間データオンプレ!R16)</f>
        <v/>
      </c>
      <c r="AI46" s="327" t="str">
        <f>IF(ISERROR(中間データオンプレ!R20),"",中間データオンプレ!R20)</f>
        <v/>
      </c>
      <c r="AJ46" s="24" t="str">
        <f>IF(中間データオンプレ!Q3,中間データオンプレ!R3,"")</f>
        <v/>
      </c>
      <c r="AK46" s="24" t="str">
        <f>IF(中間データオンプレ!Q4,中間データオンプレ!R4,"")</f>
        <v/>
      </c>
      <c r="AL46" s="308" t="str">
        <f>IF(中間データオンプレ!Q5,中間データオンプレ!R5,"")</f>
        <v/>
      </c>
      <c r="AM46" s="24" t="str">
        <f>IF(中間データオンプレ!Q6,中間データオンプレ!R6,"")</f>
        <v/>
      </c>
      <c r="AN46" s="24" t="e">
        <f t="shared" si="55"/>
        <v>#N/A</v>
      </c>
      <c r="AO46" s="24" t="e">
        <f t="shared" si="55"/>
        <v>#N/A</v>
      </c>
      <c r="AP46" s="24" t="e">
        <f t="shared" si="55"/>
        <v>#N/A</v>
      </c>
      <c r="AQ46" s="24" t="e">
        <f t="shared" si="55"/>
        <v>#N/A</v>
      </c>
      <c r="AR46" s="24" t="e">
        <f t="shared" si="55"/>
        <v>#N/A</v>
      </c>
      <c r="AS46" s="24" t="e">
        <f t="shared" si="55"/>
        <v>#N/A</v>
      </c>
      <c r="AT46" s="24" t="e">
        <f t="shared" si="55"/>
        <v>#N/A</v>
      </c>
      <c r="AU46" s="24" t="str">
        <f>LEFT(代ホ_入力フォームiF・mF・MA!AL98,2)</f>
        <v/>
      </c>
      <c r="AV46" s="24" t="str">
        <f>IF(ISERROR(中間データオンプレ!Q16*12),"",中間データオンプレ!Q16*12)</f>
        <v/>
      </c>
      <c r="BC46" s="24" t="e">
        <f t="shared" si="56"/>
        <v>#N/A</v>
      </c>
      <c r="BD46" s="24" t="s">
        <v>888</v>
      </c>
      <c r="BE46" s="24" t="e">
        <f>BE$45</f>
        <v>#N/A</v>
      </c>
      <c r="BF46" s="24" t="e">
        <f t="shared" ref="BF46:BF48" si="61">BF$45</f>
        <v>#N/A</v>
      </c>
      <c r="BG46" s="305"/>
      <c r="BH46" s="24" t="s">
        <v>132</v>
      </c>
      <c r="BI46" s="402"/>
      <c r="BJ46" s="24" t="str">
        <f>IF(代ホ_入力フォームiF・mF・MA!H105="有/今回購入",代ホ_入力フォームiF・mF・MA!AP105,"")</f>
        <v/>
      </c>
      <c r="BK46" s="402"/>
      <c r="BL46" s="24" t="e">
        <f t="shared" si="57"/>
        <v>#N/A</v>
      </c>
      <c r="BM46" s="24" t="e">
        <f t="shared" si="57"/>
        <v>#N/A</v>
      </c>
      <c r="BN46" s="24" t="str">
        <f>IF(中間データオンプレ!Q25=TRUE,中間データオンプレ!R25,"")</f>
        <v/>
      </c>
      <c r="BO46" s="24" t="str">
        <f>IF(中間データオンプレ!Q7,中間データオンプレ!R7&amp;"："&amp;代ホ_入力フォームiF・mF・MA!BF102&amp;"L","")</f>
        <v/>
      </c>
      <c r="BP46" s="24" t="str">
        <f>IF(代ホ_入力フォームiF・mF・MA!AK102="有/FinalCode保有",IF(代ホ_入力フォームiF・mF・MA!BQ102="","100F-",代ホ_入力フォームiF・mF・MA!BQ102),"")</f>
        <v/>
      </c>
      <c r="BQ46" s="24" t="str">
        <f>IF(中間データオンプレ!Q9=TRUE,中間データオンプレ!R9,IF(中間データオンプレ!Q11=TRUE,中間データオンプレ!R11,""))</f>
        <v/>
      </c>
      <c r="BR46" s="24" t="str">
        <f>IF(中間データオンプレ!Q23=TRUE,中間データオンプレ!R23,"")</f>
        <v/>
      </c>
      <c r="BS46" s="24" t="str">
        <f>IF(DF46&lt;&gt;"",代ホ_入力フォームiF・mF・MA!CK105,"")</f>
        <v/>
      </c>
      <c r="BT46" s="24" t="str">
        <f>IF(中間データオンプレ!Q13=TRUE,IF(中間データオンプレ!Q14=TRUE,中間データオンプレ!R14,中間データオンプレ!R13),IF(中間データオンプレ!Q15=TRUE,中間データオンプレ!R15,""))</f>
        <v/>
      </c>
      <c r="BU46" s="24" t="str">
        <f>IF(中間データオンプレ!Q10,中間データオンプレ!R10,"")</f>
        <v/>
      </c>
      <c r="BV46" s="24" t="str">
        <f>IF(中間データオンプレ!Q24,中間データオンプレ!R24,"")</f>
        <v/>
      </c>
      <c r="BW46" s="402"/>
      <c r="BX46" s="402"/>
      <c r="BY46" s="402"/>
      <c r="BZ46" s="402"/>
      <c r="CA46" s="402"/>
      <c r="CB46" s="402"/>
      <c r="CC46" s="402"/>
      <c r="CD46" s="320" t="e">
        <f t="shared" si="58"/>
        <v>#N/A</v>
      </c>
      <c r="CE46" s="320" t="str">
        <f>IFERROR(VLOOKUP("m‐FILTER",お客様情報!$T$42:$U$45,2,FALSE),"")</f>
        <v/>
      </c>
      <c r="CF46" s="24" t="s">
        <v>999</v>
      </c>
      <c r="CG46" s="24" t="e">
        <f t="shared" si="59"/>
        <v>#N/A</v>
      </c>
      <c r="CH46" s="24" t="e">
        <f t="shared" si="59"/>
        <v>#N/A</v>
      </c>
      <c r="CI46" s="24" t="e">
        <f t="shared" si="59"/>
        <v>#N/A</v>
      </c>
      <c r="CJ46" s="24" t="e">
        <f t="shared" si="59"/>
        <v>#N/A</v>
      </c>
      <c r="CK46" s="24" t="e">
        <f t="shared" si="59"/>
        <v>#N/A</v>
      </c>
      <c r="CL46" s="24" t="s">
        <v>999</v>
      </c>
      <c r="CM46" s="24" t="e">
        <f t="shared" si="60"/>
        <v>#N/A</v>
      </c>
      <c r="CN46" s="24" t="e">
        <f t="shared" si="60"/>
        <v>#N/A</v>
      </c>
      <c r="CO46" s="24" t="e">
        <f t="shared" si="60"/>
        <v>#N/A</v>
      </c>
      <c r="CP46" s="24" t="e">
        <f t="shared" si="60"/>
        <v>#N/A</v>
      </c>
      <c r="CQ46" s="24" t="e">
        <f t="shared" si="60"/>
        <v>#N/A</v>
      </c>
      <c r="CR46" s="566" t="str">
        <f>IF(代ホ_入力フォームiF・mF・MA!DC105&gt;=1,代ホ_入力フォームiF・mF・MA!DC105,"")</f>
        <v/>
      </c>
      <c r="CS46" s="305"/>
      <c r="CT46" s="305"/>
      <c r="CU46" s="24" t="e">
        <f>CU$45</f>
        <v>#N/A</v>
      </c>
      <c r="CV46" s="24" t="str">
        <f>IF(代ホ_入力フォームiF・mF・MA!BP98="","",代ホ_入力フォームiF・mF・MA!BP98)</f>
        <v/>
      </c>
      <c r="CW46" s="296"/>
      <c r="CX46" s="296"/>
      <c r="CY46" s="296"/>
      <c r="CZ46" s="296"/>
      <c r="DA46" s="296"/>
      <c r="DB46" s="296"/>
      <c r="DC46" s="296"/>
      <c r="DD46" s="296"/>
      <c r="DE46" s="296"/>
      <c r="DF46" s="24" t="str">
        <f>IF(COUNTIF(代ホ_入力フォームiF・mF・MA!BS105,"*有*"),"m-FILTER クリプト便連携","")</f>
        <v/>
      </c>
      <c r="DG46" s="24" t="str">
        <f>IF(DF46&lt;&gt;"","クリプト便　"&amp;VLOOKUP(代ホ_入力フォームiF・mF・MA!BS105,中間データオンプレ!W49:X51,2,FALSE),"")</f>
        <v/>
      </c>
      <c r="DH46" s="568" t="str">
        <f>IF(COUNTIF(代ホ_入力フォームiF・mF・MA!DC108,"有"),"ファイル無害化OP","")</f>
        <v/>
      </c>
      <c r="DI46" s="305"/>
      <c r="DJ46" s="305"/>
      <c r="DK46" s="305"/>
      <c r="DL46" s="305"/>
      <c r="DM46" s="305"/>
    </row>
    <row r="47" spans="1:117" ht="11">
      <c r="A47" s="43" t="s">
        <v>1025</v>
      </c>
      <c r="B47" s="24" t="e">
        <f t="shared" si="53"/>
        <v>#N/A</v>
      </c>
      <c r="C47" s="24" t="e">
        <f t="shared" si="53"/>
        <v>#N/A</v>
      </c>
      <c r="D47" s="24" t="e">
        <f t="shared" si="53"/>
        <v>#N/A</v>
      </c>
      <c r="E47" s="24" t="e">
        <f t="shared" si="53"/>
        <v>#N/A</v>
      </c>
      <c r="F47" s="24" t="str">
        <f t="shared" si="53"/>
        <v>未記入</v>
      </c>
      <c r="G47" s="24" t="e">
        <f t="shared" si="53"/>
        <v>#N/A</v>
      </c>
      <c r="H47" s="24" t="e">
        <f t="shared" si="53"/>
        <v>#N/A</v>
      </c>
      <c r="I47" s="24" t="e">
        <f t="shared" si="53"/>
        <v>#N/A</v>
      </c>
      <c r="J47" s="24" t="e">
        <f t="shared" si="53"/>
        <v>#N/A</v>
      </c>
      <c r="K47" s="24" t="e">
        <f t="shared" si="53"/>
        <v>#N/A</v>
      </c>
      <c r="L47" s="24" t="str">
        <f t="shared" si="53"/>
        <v>未記入</v>
      </c>
      <c r="M47" s="24" t="e">
        <f t="shared" si="53"/>
        <v>#N/A</v>
      </c>
      <c r="N47" s="24" t="s">
        <v>380</v>
      </c>
      <c r="O47" s="24" t="s">
        <v>380</v>
      </c>
      <c r="P47" s="24" t="s">
        <v>380</v>
      </c>
      <c r="Q47" s="24" t="s">
        <v>380</v>
      </c>
      <c r="R47" s="24" t="s">
        <v>380</v>
      </c>
      <c r="S47" s="24" t="s">
        <v>380</v>
      </c>
      <c r="T47" s="24" t="e">
        <f t="shared" si="54"/>
        <v>#N/A</v>
      </c>
      <c r="U47" s="24" t="e">
        <f t="shared" si="54"/>
        <v>#N/A</v>
      </c>
      <c r="V47" s="24" t="e">
        <f t="shared" si="54"/>
        <v>#N/A</v>
      </c>
      <c r="W47" s="24" t="e">
        <f t="shared" si="54"/>
        <v>#N/A</v>
      </c>
      <c r="X47" s="24" t="str">
        <f t="shared" si="54"/>
        <v>未記入</v>
      </c>
      <c r="Y47" s="24" t="e">
        <f t="shared" si="54"/>
        <v>#N/A</v>
      </c>
      <c r="Z47" s="24" t="e">
        <f t="shared" si="54"/>
        <v>#N/A</v>
      </c>
      <c r="AA47" s="24" t="e">
        <f t="shared" si="54"/>
        <v>#N/A</v>
      </c>
      <c r="AB47" s="24" t="e">
        <f t="shared" si="54"/>
        <v>#N/A</v>
      </c>
      <c r="AC47" s="24" t="s">
        <v>948</v>
      </c>
      <c r="AD47" s="305"/>
      <c r="AE47" s="307">
        <f>代ホ_入力フォームiF・mF・MA!AR151</f>
        <v>0</v>
      </c>
      <c r="AF47" s="24" t="str">
        <f>IF(代ホ_入力フォームiF・mF・MA!BX151="","-01",入力フォームiF・mF・FC・iFBC・MA!BX158)</f>
        <v>-01</v>
      </c>
      <c r="AG47" s="24" t="str">
        <f>AG9</f>
        <v/>
      </c>
      <c r="AH47" s="402"/>
      <c r="AI47" s="402"/>
      <c r="AJ47" s="555"/>
      <c r="AK47" s="555"/>
      <c r="AL47" s="555"/>
      <c r="AM47" s="555"/>
      <c r="AN47" s="24" t="e">
        <f t="shared" si="55"/>
        <v>#N/A</v>
      </c>
      <c r="AO47" s="24" t="e">
        <f t="shared" si="55"/>
        <v>#N/A</v>
      </c>
      <c r="AP47" s="24" t="e">
        <f t="shared" si="55"/>
        <v>#N/A</v>
      </c>
      <c r="AQ47" s="24" t="e">
        <f t="shared" si="55"/>
        <v>#N/A</v>
      </c>
      <c r="AR47" s="24" t="e">
        <f t="shared" si="55"/>
        <v>#N/A</v>
      </c>
      <c r="AS47" s="24" t="e">
        <f t="shared" si="55"/>
        <v>#N/A</v>
      </c>
      <c r="AT47" s="24" t="e">
        <f t="shared" si="55"/>
        <v>#N/A</v>
      </c>
      <c r="AU47" s="24" t="str">
        <f>LEFT(代ホ_入力フォームiF・mF・MA!X151,2)</f>
        <v/>
      </c>
      <c r="AV47" s="24" t="str">
        <f>IF(ISERROR(中間データオンプレ!T13*12),"",中間データオンプレ!T13*12)</f>
        <v/>
      </c>
      <c r="BC47" s="24" t="e">
        <f t="shared" si="56"/>
        <v>#N/A</v>
      </c>
      <c r="BD47" s="24" t="s">
        <v>888</v>
      </c>
      <c r="BE47" s="24" t="e">
        <f t="shared" ref="BE47:BE48" si="62">BE$45</f>
        <v>#N/A</v>
      </c>
      <c r="BF47" s="24" t="e">
        <f t="shared" si="61"/>
        <v>#N/A</v>
      </c>
      <c r="BG47" s="305"/>
      <c r="BH47" s="24" t="s">
        <v>132</v>
      </c>
      <c r="BI47" s="402"/>
      <c r="BJ47" s="555"/>
      <c r="BK47" s="402"/>
      <c r="BL47" s="24" t="e">
        <f t="shared" si="57"/>
        <v>#N/A</v>
      </c>
      <c r="BM47" s="24" t="e">
        <f t="shared" si="57"/>
        <v>#N/A</v>
      </c>
      <c r="BN47" s="402"/>
      <c r="BO47" s="402"/>
      <c r="BP47" s="402"/>
      <c r="BQ47" s="402"/>
      <c r="BR47" s="402"/>
      <c r="BS47" s="402"/>
      <c r="BT47" s="402"/>
      <c r="BU47" s="402"/>
      <c r="BV47" s="402"/>
      <c r="BW47" s="402"/>
      <c r="BX47" s="402"/>
      <c r="BY47" s="402"/>
      <c r="BZ47" s="402"/>
      <c r="CA47" s="402"/>
      <c r="CB47" s="402"/>
      <c r="CC47" s="402"/>
      <c r="CD47" s="320" t="e">
        <f t="shared" si="58"/>
        <v>#N/A</v>
      </c>
      <c r="CE47" s="320" t="str">
        <f>IFERROR(VLOOKUP("m-FILTER MailAdviser",お客様情報!$T$42:$U$45,2,FALSE),"")</f>
        <v/>
      </c>
      <c r="CF47" s="24" t="s">
        <v>999</v>
      </c>
      <c r="CG47" s="24" t="e">
        <f t="shared" si="59"/>
        <v>#N/A</v>
      </c>
      <c r="CH47" s="24" t="e">
        <f t="shared" si="59"/>
        <v>#N/A</v>
      </c>
      <c r="CI47" s="24" t="e">
        <f t="shared" si="59"/>
        <v>#N/A</v>
      </c>
      <c r="CJ47" s="24" t="e">
        <f t="shared" si="59"/>
        <v>#N/A</v>
      </c>
      <c r="CK47" s="24" t="e">
        <f t="shared" si="59"/>
        <v>#N/A</v>
      </c>
      <c r="CL47" s="24" t="s">
        <v>999</v>
      </c>
      <c r="CM47" s="24" t="e">
        <f t="shared" si="60"/>
        <v>#N/A</v>
      </c>
      <c r="CN47" s="24" t="e">
        <f t="shared" si="60"/>
        <v>#N/A</v>
      </c>
      <c r="CO47" s="24" t="e">
        <f t="shared" si="60"/>
        <v>#N/A</v>
      </c>
      <c r="CP47" s="24" t="e">
        <f t="shared" si="60"/>
        <v>#N/A</v>
      </c>
      <c r="CQ47" s="24" t="e">
        <f t="shared" si="60"/>
        <v>#N/A</v>
      </c>
      <c r="CR47" s="305"/>
      <c r="CS47" s="305"/>
      <c r="CT47" s="305"/>
      <c r="CU47" s="24" t="e">
        <f t="shared" ref="CU47:CU48" si="63">CU$45</f>
        <v>#N/A</v>
      </c>
      <c r="CV47" s="24">
        <v>1</v>
      </c>
      <c r="CW47" s="296"/>
      <c r="CX47" s="296"/>
      <c r="CY47" s="296"/>
      <c r="CZ47" s="296"/>
      <c r="DA47" s="296"/>
      <c r="DB47" s="296"/>
      <c r="DC47" s="296"/>
      <c r="DD47" s="296"/>
      <c r="DE47" s="296"/>
      <c r="DF47" s="296"/>
      <c r="DG47" s="296"/>
      <c r="DH47" s="296"/>
      <c r="DI47" s="305"/>
      <c r="DJ47" s="305"/>
      <c r="DK47" s="305"/>
      <c r="DL47" s="305"/>
      <c r="DM47" s="305"/>
    </row>
    <row r="48" spans="1:117" ht="11">
      <c r="A48" s="43" t="s">
        <v>1469</v>
      </c>
      <c r="B48" s="24" t="e">
        <f t="shared" si="53"/>
        <v>#N/A</v>
      </c>
      <c r="C48" s="24" t="e">
        <f t="shared" si="53"/>
        <v>#N/A</v>
      </c>
      <c r="D48" s="24" t="e">
        <f t="shared" si="53"/>
        <v>#N/A</v>
      </c>
      <c r="E48" s="24" t="e">
        <f t="shared" si="53"/>
        <v>#N/A</v>
      </c>
      <c r="F48" s="24" t="str">
        <f t="shared" si="53"/>
        <v>未記入</v>
      </c>
      <c r="G48" s="24" t="e">
        <f t="shared" si="53"/>
        <v>#N/A</v>
      </c>
      <c r="H48" s="24" t="e">
        <f t="shared" si="53"/>
        <v>#N/A</v>
      </c>
      <c r="I48" s="24" t="e">
        <f t="shared" si="53"/>
        <v>#N/A</v>
      </c>
      <c r="J48" s="24" t="e">
        <f t="shared" si="53"/>
        <v>#N/A</v>
      </c>
      <c r="K48" s="24" t="e">
        <f t="shared" si="53"/>
        <v>#N/A</v>
      </c>
      <c r="L48" s="24" t="str">
        <f t="shared" si="53"/>
        <v>未記入</v>
      </c>
      <c r="M48" s="24" t="e">
        <f t="shared" si="53"/>
        <v>#N/A</v>
      </c>
      <c r="N48" s="24" t="s">
        <v>380</v>
      </c>
      <c r="O48" s="24" t="s">
        <v>380</v>
      </c>
      <c r="P48" s="24" t="s">
        <v>380</v>
      </c>
      <c r="Q48" s="24" t="s">
        <v>380</v>
      </c>
      <c r="R48" s="24" t="s">
        <v>380</v>
      </c>
      <c r="S48" s="24" t="s">
        <v>380</v>
      </c>
      <c r="T48" s="24" t="e">
        <f t="shared" si="54"/>
        <v>#N/A</v>
      </c>
      <c r="U48" s="24" t="e">
        <f t="shared" si="54"/>
        <v>#N/A</v>
      </c>
      <c r="V48" s="24" t="e">
        <f t="shared" si="54"/>
        <v>#N/A</v>
      </c>
      <c r="W48" s="24" t="e">
        <f t="shared" si="54"/>
        <v>#N/A</v>
      </c>
      <c r="X48" s="24" t="str">
        <f t="shared" si="54"/>
        <v>未記入</v>
      </c>
      <c r="Y48" s="24" t="e">
        <f t="shared" si="54"/>
        <v>#N/A</v>
      </c>
      <c r="Z48" s="24" t="e">
        <f t="shared" si="54"/>
        <v>#N/A</v>
      </c>
      <c r="AA48" s="24" t="e">
        <f t="shared" si="54"/>
        <v>#N/A</v>
      </c>
      <c r="AB48" s="24" t="e">
        <f t="shared" si="54"/>
        <v>#N/A</v>
      </c>
      <c r="AC48" s="24" t="s">
        <v>1467</v>
      </c>
      <c r="AD48" s="305"/>
      <c r="AE48" s="24">
        <f>AE27</f>
        <v>0</v>
      </c>
      <c r="AF48" s="24" t="str">
        <f>AF47</f>
        <v>-01</v>
      </c>
      <c r="AG48" s="24" t="str">
        <f>AG47</f>
        <v/>
      </c>
      <c r="AH48" s="24" t="str">
        <f>IF(代ホ_入力フォームiF・mF・MA!BJ151*代ホ_入力フォームiF・mF・MA!BN151=0,"",中間データオンプレ!U13)</f>
        <v/>
      </c>
      <c r="AI48" s="24" t="str">
        <f>IF(ISERROR(中間データオンプレ!U17),"",中間データオンプレ!U17)</f>
        <v/>
      </c>
      <c r="AJ48" s="24" t="str">
        <f>IF(LEFT(代ホ_入力フォームiF・mF・MA!I155,1)="有","暗号化強固オプション","")</f>
        <v/>
      </c>
      <c r="AK48" s="24" t="str">
        <f>IF(中間データオンプレ!T19,中間データオンプレ!U19,"")</f>
        <v/>
      </c>
      <c r="AL48" s="555"/>
      <c r="AM48" s="555"/>
      <c r="AN48" s="24" t="e">
        <f t="shared" si="55"/>
        <v>#N/A</v>
      </c>
      <c r="AO48" s="24" t="e">
        <f t="shared" si="55"/>
        <v>#N/A</v>
      </c>
      <c r="AP48" s="24" t="e">
        <f t="shared" si="55"/>
        <v>#N/A</v>
      </c>
      <c r="AQ48" s="24" t="e">
        <f t="shared" si="55"/>
        <v>#N/A</v>
      </c>
      <c r="AR48" s="24" t="e">
        <f t="shared" si="55"/>
        <v>#N/A</v>
      </c>
      <c r="AS48" s="24" t="e">
        <f t="shared" si="55"/>
        <v>#N/A</v>
      </c>
      <c r="AT48" s="24" t="e">
        <f t="shared" si="55"/>
        <v>#N/A</v>
      </c>
      <c r="AU48" s="24" t="str">
        <f>AU47</f>
        <v/>
      </c>
      <c r="AV48" s="24" t="str">
        <f>AV47</f>
        <v/>
      </c>
      <c r="BC48" s="24" t="e">
        <f t="shared" si="56"/>
        <v>#N/A</v>
      </c>
      <c r="BD48" s="24" t="s">
        <v>888</v>
      </c>
      <c r="BE48" s="24" t="e">
        <f t="shared" si="62"/>
        <v>#N/A</v>
      </c>
      <c r="BF48" s="24" t="e">
        <f t="shared" si="61"/>
        <v>#N/A</v>
      </c>
      <c r="BG48" s="305"/>
      <c r="BH48" s="24" t="s">
        <v>132</v>
      </c>
      <c r="BI48" s="402"/>
      <c r="BJ48" s="24" t="str">
        <f>IF(代ホ_入力フォームiF・mF・MA!H105="有/今回購入",代ホ_入力フォームiF・mF・MA!AP105,"")</f>
        <v/>
      </c>
      <c r="BK48" s="402"/>
      <c r="BL48" s="24" t="e">
        <f t="shared" si="57"/>
        <v>#N/A</v>
      </c>
      <c r="BM48" s="24" t="e">
        <f t="shared" si="57"/>
        <v>#N/A</v>
      </c>
      <c r="BN48" s="402"/>
      <c r="BO48" s="24" t="str">
        <f>IF(中間データオンプレ!T8,中間データオンプレ!U8&amp;"："&amp;代ホ_入力フォームiF・mF・MA!DI155&amp;"L","")</f>
        <v/>
      </c>
      <c r="BP48" s="24" t="str">
        <f>IF(代ホ_入力フォームiF・mF・MA!CP155="有/FinalCode保有",IF(代ホ_入力フォームiF・mF・MA!AE155="","100F-",代ホ_入力フォームiF・mF・MA!AE155),"")</f>
        <v/>
      </c>
      <c r="BQ48" s="402"/>
      <c r="BR48" s="402"/>
      <c r="BS48" s="402"/>
      <c r="BT48" s="402"/>
      <c r="BU48" s="402"/>
      <c r="BV48" s="402"/>
      <c r="BW48" s="402"/>
      <c r="BX48" s="402"/>
      <c r="BY48" s="402"/>
      <c r="BZ48" s="402"/>
      <c r="CA48" s="402"/>
      <c r="CB48" s="402"/>
      <c r="CC48" s="402"/>
      <c r="CD48" s="320" t="e">
        <f t="shared" si="58"/>
        <v>#N/A</v>
      </c>
      <c r="CE48" s="320" t="str">
        <f>CE47</f>
        <v/>
      </c>
      <c r="CF48" s="24" t="s">
        <v>999</v>
      </c>
      <c r="CG48" s="24" t="e">
        <f t="shared" si="59"/>
        <v>#N/A</v>
      </c>
      <c r="CH48" s="24" t="e">
        <f t="shared" si="59"/>
        <v>#N/A</v>
      </c>
      <c r="CI48" s="24" t="e">
        <f t="shared" si="59"/>
        <v>#N/A</v>
      </c>
      <c r="CJ48" s="24" t="e">
        <f t="shared" si="59"/>
        <v>#N/A</v>
      </c>
      <c r="CK48" s="24" t="e">
        <f t="shared" si="59"/>
        <v>#N/A</v>
      </c>
      <c r="CL48" s="24" t="s">
        <v>999</v>
      </c>
      <c r="CM48" s="24" t="e">
        <f t="shared" si="60"/>
        <v>#N/A</v>
      </c>
      <c r="CN48" s="24" t="e">
        <f t="shared" si="60"/>
        <v>#N/A</v>
      </c>
      <c r="CO48" s="24" t="e">
        <f t="shared" si="60"/>
        <v>#N/A</v>
      </c>
      <c r="CP48" s="24" t="e">
        <f t="shared" si="60"/>
        <v>#N/A</v>
      </c>
      <c r="CQ48" s="24" t="e">
        <f t="shared" si="60"/>
        <v>#N/A</v>
      </c>
      <c r="CR48" s="305"/>
      <c r="CS48" s="305"/>
      <c r="CT48" s="305"/>
      <c r="CU48" s="24" t="e">
        <f t="shared" si="63"/>
        <v>#N/A</v>
      </c>
      <c r="CV48" s="24">
        <v>1</v>
      </c>
      <c r="CW48" s="296"/>
      <c r="CX48" s="296"/>
      <c r="CY48" s="296"/>
      <c r="CZ48" s="296"/>
      <c r="DA48" s="296"/>
      <c r="DB48" s="296"/>
      <c r="DC48" s="296"/>
      <c r="DD48" s="296"/>
      <c r="DE48" s="296"/>
      <c r="DF48" s="296"/>
      <c r="DG48" s="296"/>
      <c r="DH48" s="296"/>
      <c r="DI48" s="305"/>
      <c r="DJ48" s="305"/>
      <c r="DK48" s="305"/>
      <c r="DL48" s="305"/>
      <c r="DM48" s="305"/>
    </row>
    <row r="51" spans="1:117" ht="11">
      <c r="A51" s="317" t="s">
        <v>1019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8"/>
      <c r="AI51" s="317"/>
      <c r="AJ51" s="317"/>
      <c r="AK51" s="317"/>
      <c r="AL51" s="317"/>
      <c r="AM51" s="317"/>
      <c r="AN51" s="317"/>
      <c r="AO51" s="317"/>
      <c r="AP51" s="317"/>
      <c r="AQ51" s="317"/>
      <c r="AR51" s="317"/>
      <c r="AS51" s="317"/>
      <c r="AT51" s="317"/>
      <c r="AU51" s="317"/>
      <c r="AV51" s="317"/>
      <c r="AW51" s="317"/>
      <c r="AX51" s="317"/>
      <c r="AY51" s="317"/>
      <c r="AZ51" s="317"/>
      <c r="BA51" s="317"/>
      <c r="BB51" s="317"/>
      <c r="BC51" s="317"/>
      <c r="BD51" s="317"/>
      <c r="BE51" s="317"/>
      <c r="BF51" s="317"/>
      <c r="BG51" s="317"/>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317"/>
      <c r="CM51" s="317"/>
      <c r="CN51" s="317"/>
      <c r="CO51" s="317"/>
      <c r="CP51" s="317"/>
      <c r="CQ51" s="317"/>
      <c r="CR51" s="317"/>
      <c r="CS51" s="317"/>
      <c r="CT51" s="317"/>
      <c r="CU51" s="317"/>
      <c r="CV51" s="317"/>
      <c r="CW51" s="317"/>
      <c r="CX51" s="317"/>
      <c r="CY51" s="317"/>
      <c r="CZ51" s="317"/>
      <c r="DA51" s="317"/>
      <c r="DB51" s="317"/>
      <c r="DC51" s="317"/>
      <c r="DD51" s="317"/>
      <c r="DE51" s="317"/>
      <c r="DF51" s="317"/>
      <c r="DG51" s="317"/>
      <c r="DH51" s="317"/>
      <c r="DI51" s="317"/>
      <c r="DJ51" s="317"/>
      <c r="DK51" s="317"/>
      <c r="DL51" s="317"/>
      <c r="DM51" s="317"/>
    </row>
    <row r="52" spans="1:117" ht="13.5" customHeight="1">
      <c r="A52" s="319" t="s">
        <v>962</v>
      </c>
      <c r="B52" s="387" t="s">
        <v>963</v>
      </c>
      <c r="C52" s="387"/>
      <c r="D52" s="387"/>
      <c r="E52" s="387"/>
      <c r="F52" s="387"/>
      <c r="G52" s="387"/>
      <c r="H52" s="388" t="s">
        <v>964</v>
      </c>
      <c r="I52" s="388"/>
      <c r="J52" s="388"/>
      <c r="K52" s="388"/>
      <c r="L52" s="388"/>
      <c r="M52" s="388"/>
      <c r="N52" s="389" t="s">
        <v>965</v>
      </c>
      <c r="O52" s="389"/>
      <c r="P52" s="389"/>
      <c r="Q52" s="389"/>
      <c r="R52" s="389"/>
      <c r="S52" s="389"/>
      <c r="T52" s="301" t="s">
        <v>966</v>
      </c>
      <c r="U52" s="301"/>
      <c r="V52" s="301"/>
      <c r="W52" s="301"/>
      <c r="X52" s="301"/>
      <c r="Y52" s="301"/>
      <c r="Z52" s="301"/>
      <c r="AA52" s="390" t="s">
        <v>967</v>
      </c>
      <c r="AB52" s="390"/>
      <c r="AN52" s="302"/>
      <c r="AO52" s="302"/>
      <c r="AP52" s="302"/>
      <c r="AQ52" s="302"/>
      <c r="AR52" s="302"/>
      <c r="AS52" s="302"/>
      <c r="AT52" s="302"/>
      <c r="AU52" s="305"/>
      <c r="AV52" s="305"/>
      <c r="AY52" s="301"/>
      <c r="BD52" s="296"/>
      <c r="BE52" s="296"/>
      <c r="BF52" s="296"/>
      <c r="BG52" s="296"/>
      <c r="BH52" s="296"/>
      <c r="BI52" s="296"/>
      <c r="BJ52" s="296" t="s">
        <v>119</v>
      </c>
      <c r="BK52" s="296" t="s">
        <v>128</v>
      </c>
      <c r="BL52" s="302" t="s">
        <v>968</v>
      </c>
      <c r="BM52" s="302"/>
      <c r="BW52" s="24"/>
    </row>
    <row r="53" spans="1:117" ht="12.75" customHeight="1">
      <c r="A53" s="24" t="s">
        <v>10</v>
      </c>
      <c r="B53" s="298" t="s">
        <v>969</v>
      </c>
      <c r="C53" s="298" t="s">
        <v>970</v>
      </c>
      <c r="D53" s="298" t="s">
        <v>971</v>
      </c>
      <c r="E53" s="298" t="s">
        <v>972</v>
      </c>
      <c r="F53" s="298" t="s">
        <v>973</v>
      </c>
      <c r="G53" s="298" t="s">
        <v>974</v>
      </c>
      <c r="H53" s="299" t="s">
        <v>969</v>
      </c>
      <c r="I53" s="299" t="s">
        <v>970</v>
      </c>
      <c r="J53" s="299" t="s">
        <v>971</v>
      </c>
      <c r="K53" s="299" t="s">
        <v>972</v>
      </c>
      <c r="L53" s="299" t="s">
        <v>973</v>
      </c>
      <c r="M53" s="299" t="s">
        <v>974</v>
      </c>
      <c r="N53" s="320" t="s">
        <v>969</v>
      </c>
      <c r="O53" s="320" t="s">
        <v>970</v>
      </c>
      <c r="P53" s="320" t="s">
        <v>971</v>
      </c>
      <c r="Q53" s="320" t="s">
        <v>972</v>
      </c>
      <c r="R53" s="320" t="s">
        <v>973</v>
      </c>
      <c r="S53" s="320" t="s">
        <v>974</v>
      </c>
      <c r="T53" s="301" t="s">
        <v>969</v>
      </c>
      <c r="U53" s="301" t="s">
        <v>970</v>
      </c>
      <c r="V53" s="301" t="s">
        <v>971</v>
      </c>
      <c r="W53" s="301" t="s">
        <v>972</v>
      </c>
      <c r="X53" s="301" t="s">
        <v>973</v>
      </c>
      <c r="Y53" s="301" t="s">
        <v>975</v>
      </c>
      <c r="Z53" s="301" t="s">
        <v>974</v>
      </c>
      <c r="AA53" s="302" t="s">
        <v>11</v>
      </c>
      <c r="AB53" s="302" t="s">
        <v>12</v>
      </c>
      <c r="AC53" s="24" t="s">
        <v>13</v>
      </c>
      <c r="AD53" s="24" t="s">
        <v>14</v>
      </c>
      <c r="AE53" s="24" t="s">
        <v>15</v>
      </c>
      <c r="AF53" s="24" t="s">
        <v>16</v>
      </c>
      <c r="AG53" s="24" t="s">
        <v>17</v>
      </c>
      <c r="AH53" s="24" t="s">
        <v>18</v>
      </c>
      <c r="AI53" s="24" t="s">
        <v>19</v>
      </c>
      <c r="AJ53" s="320" t="s">
        <v>659</v>
      </c>
      <c r="AK53" s="320" t="s">
        <v>976</v>
      </c>
      <c r="AL53" s="320" t="s">
        <v>977</v>
      </c>
      <c r="AM53" s="320" t="s">
        <v>978</v>
      </c>
      <c r="AN53" s="302" t="s">
        <v>24</v>
      </c>
      <c r="AO53" s="302" t="s">
        <v>25</v>
      </c>
      <c r="AP53" s="302" t="s">
        <v>26</v>
      </c>
      <c r="AQ53" s="302" t="s">
        <v>27</v>
      </c>
      <c r="AR53" s="302" t="s">
        <v>28</v>
      </c>
      <c r="AS53" s="302" t="s">
        <v>133</v>
      </c>
      <c r="AT53" s="302" t="s">
        <v>31</v>
      </c>
      <c r="AU53" s="305" t="s">
        <v>29</v>
      </c>
      <c r="AV53" s="305" t="s">
        <v>30</v>
      </c>
      <c r="AW53" s="321" t="s">
        <v>107</v>
      </c>
      <c r="AX53" s="321" t="s">
        <v>108</v>
      </c>
      <c r="AY53" s="321" t="s">
        <v>11</v>
      </c>
      <c r="AZ53" s="321" t="s">
        <v>109</v>
      </c>
      <c r="BA53" s="321" t="s">
        <v>110</v>
      </c>
      <c r="BB53" s="321" t="s">
        <v>111</v>
      </c>
      <c r="BC53" s="321" t="s">
        <v>112</v>
      </c>
      <c r="BD53" s="296" t="s">
        <v>115</v>
      </c>
      <c r="BE53" s="296" t="s">
        <v>116</v>
      </c>
      <c r="BF53" s="296" t="s">
        <v>113</v>
      </c>
      <c r="BG53" s="296" t="s">
        <v>117</v>
      </c>
      <c r="BH53" s="296" t="s">
        <v>118</v>
      </c>
      <c r="BI53" s="296" t="s">
        <v>114</v>
      </c>
      <c r="BJ53" s="296"/>
      <c r="BK53" s="296"/>
      <c r="BL53" s="302" t="s">
        <v>503</v>
      </c>
      <c r="BM53" s="302" t="s">
        <v>504</v>
      </c>
      <c r="BN53" s="24" t="s">
        <v>979</v>
      </c>
      <c r="BO53" s="24" t="s">
        <v>980</v>
      </c>
      <c r="BP53" s="24" t="s">
        <v>981</v>
      </c>
      <c r="BQ53" s="24" t="s">
        <v>131</v>
      </c>
      <c r="BR53" s="24" t="s">
        <v>126</v>
      </c>
      <c r="BS53" s="24" t="s">
        <v>982</v>
      </c>
      <c r="BT53" s="24" t="s">
        <v>675</v>
      </c>
      <c r="BU53" s="24" t="s">
        <v>676</v>
      </c>
      <c r="BV53" s="24" t="s">
        <v>677</v>
      </c>
      <c r="BW53" s="297" t="s">
        <v>1008</v>
      </c>
      <c r="BX53" s="297" t="s">
        <v>1009</v>
      </c>
      <c r="BY53" s="297" t="s">
        <v>1010</v>
      </c>
      <c r="BZ53" s="24" t="s">
        <v>983</v>
      </c>
      <c r="CA53" s="24" t="s">
        <v>681</v>
      </c>
      <c r="CB53" s="297" t="s">
        <v>1011</v>
      </c>
      <c r="CC53" s="24" t="s">
        <v>683</v>
      </c>
      <c r="CD53" s="300" t="s">
        <v>673</v>
      </c>
      <c r="CE53" s="300" t="s">
        <v>674</v>
      </c>
      <c r="CF53" s="24" t="s">
        <v>984</v>
      </c>
      <c r="CG53" s="24" t="s">
        <v>985</v>
      </c>
      <c r="CH53" s="24" t="s">
        <v>986</v>
      </c>
      <c r="CI53" s="24" t="s">
        <v>987</v>
      </c>
      <c r="CJ53" s="24" t="s">
        <v>988</v>
      </c>
      <c r="CK53" s="24" t="s">
        <v>989</v>
      </c>
      <c r="CL53" s="24" t="s">
        <v>990</v>
      </c>
      <c r="CM53" s="24" t="s">
        <v>991</v>
      </c>
      <c r="CN53" s="24" t="s">
        <v>992</v>
      </c>
      <c r="CO53" s="24" t="s">
        <v>993</v>
      </c>
      <c r="CP53" s="24" t="s">
        <v>994</v>
      </c>
      <c r="CQ53" s="24" t="s">
        <v>995</v>
      </c>
      <c r="CR53" s="24" t="s">
        <v>821</v>
      </c>
      <c r="CS53" s="24" t="s">
        <v>881</v>
      </c>
      <c r="CT53" s="24" t="s">
        <v>933</v>
      </c>
      <c r="CU53" s="24" t="s">
        <v>934</v>
      </c>
      <c r="CV53" s="24" t="s">
        <v>954</v>
      </c>
      <c r="CW53" s="24" t="s">
        <v>1152</v>
      </c>
      <c r="CX53" s="24" t="s">
        <v>1153</v>
      </c>
      <c r="CY53" s="24" t="s">
        <v>1154</v>
      </c>
      <c r="CZ53" s="24" t="s">
        <v>1155</v>
      </c>
      <c r="DA53" s="24" t="s">
        <v>1156</v>
      </c>
      <c r="DB53" s="24" t="s">
        <v>1157</v>
      </c>
      <c r="DC53" s="24" t="s">
        <v>1158</v>
      </c>
      <c r="DD53" s="24" t="s">
        <v>1159</v>
      </c>
      <c r="DE53" s="24" t="s">
        <v>1196</v>
      </c>
      <c r="DF53" s="24" t="s">
        <v>1210</v>
      </c>
      <c r="DG53" s="24" t="s">
        <v>1309</v>
      </c>
      <c r="DH53" s="24" t="s">
        <v>1367</v>
      </c>
      <c r="DI53" s="24" t="s">
        <v>1593</v>
      </c>
      <c r="DJ53" s="24" t="s">
        <v>1544</v>
      </c>
      <c r="DK53" s="24" t="s">
        <v>1580</v>
      </c>
      <c r="DL53" s="24" t="s">
        <v>1598</v>
      </c>
      <c r="DM53" s="24" t="s">
        <v>1599</v>
      </c>
    </row>
    <row r="54" spans="1:117" ht="11">
      <c r="A54" s="322" t="s">
        <v>1026</v>
      </c>
      <c r="B54" s="24" t="e">
        <f t="shared" ref="B54:M58" si="64">B$3</f>
        <v>#N/A</v>
      </c>
      <c r="C54" s="24" t="e">
        <f t="shared" si="64"/>
        <v>#N/A</v>
      </c>
      <c r="D54" s="24" t="e">
        <f t="shared" si="64"/>
        <v>#N/A</v>
      </c>
      <c r="E54" s="24" t="e">
        <f t="shared" si="64"/>
        <v>#N/A</v>
      </c>
      <c r="F54" s="24" t="str">
        <f t="shared" si="64"/>
        <v>未記入</v>
      </c>
      <c r="G54" s="24" t="e">
        <f t="shared" si="64"/>
        <v>#N/A</v>
      </c>
      <c r="H54" s="24" t="e">
        <f t="shared" si="64"/>
        <v>#N/A</v>
      </c>
      <c r="I54" s="24" t="e">
        <f t="shared" si="64"/>
        <v>#N/A</v>
      </c>
      <c r="J54" s="24" t="e">
        <f t="shared" si="64"/>
        <v>#N/A</v>
      </c>
      <c r="K54" s="24" t="e">
        <f t="shared" si="64"/>
        <v>#N/A</v>
      </c>
      <c r="L54" s="24" t="str">
        <f t="shared" si="64"/>
        <v>未記入</v>
      </c>
      <c r="M54" s="24" t="e">
        <f t="shared" si="64"/>
        <v>#N/A</v>
      </c>
      <c r="N54" s="24" t="s">
        <v>380</v>
      </c>
      <c r="O54" s="24" t="s">
        <v>380</v>
      </c>
      <c r="P54" s="24" t="s">
        <v>380</v>
      </c>
      <c r="Q54" s="24" t="s">
        <v>380</v>
      </c>
      <c r="R54" s="24" t="s">
        <v>380</v>
      </c>
      <c r="S54" s="24" t="s">
        <v>380</v>
      </c>
      <c r="T54" s="24" t="e">
        <f t="shared" ref="T54:AB58" si="65">T$3</f>
        <v>#N/A</v>
      </c>
      <c r="U54" s="24" t="e">
        <f t="shared" si="65"/>
        <v>#N/A</v>
      </c>
      <c r="V54" s="24" t="e">
        <f t="shared" si="65"/>
        <v>#N/A</v>
      </c>
      <c r="W54" s="24" t="e">
        <f t="shared" si="65"/>
        <v>#N/A</v>
      </c>
      <c r="X54" s="24" t="str">
        <f t="shared" si="65"/>
        <v>未記入</v>
      </c>
      <c r="Y54" s="24" t="e">
        <f t="shared" si="65"/>
        <v>#N/A</v>
      </c>
      <c r="Z54" s="24" t="e">
        <f t="shared" si="65"/>
        <v>#N/A</v>
      </c>
      <c r="AA54" s="24" t="e">
        <f t="shared" si="65"/>
        <v>#N/A</v>
      </c>
      <c r="AB54" s="24" t="e">
        <f t="shared" si="65"/>
        <v>#N/A</v>
      </c>
      <c r="AC54" s="24" t="str">
        <f>IF(ISBLANK(代ホ_入力フォームDSPA!D88),"",VLOOKUP(代ホ_入力フォームDSPA!D88,中間データDSPA!B2:C36,2,FALSE))</f>
        <v/>
      </c>
      <c r="AD54" s="305"/>
      <c r="AE54" s="24" t="s">
        <v>998</v>
      </c>
      <c r="AF54" s="24" t="str">
        <f>IF(代ホ_入力フォームDSPA!AG107="初年度","-01",IF(代ホ_入力フォームDSPA!AL107="","",代ホ_入力フォームDSPA!AL107))</f>
        <v/>
      </c>
      <c r="AG54" s="24" t="str">
        <f>IFERROR(中間データDSPA!H9,"")</f>
        <v/>
      </c>
      <c r="AH54" s="24" t="str">
        <f>IF(中間データDSPA!G9="2000/0/1","",中間データDSPA!G9)</f>
        <v/>
      </c>
      <c r="AI54" s="327" t="str">
        <f>IFERROR(中間データDSPA!I9,"")</f>
        <v/>
      </c>
      <c r="AJ54" s="24">
        <f>IF(代ホ_入力フォームDSPA!AE88="なし","",代ホ_入力フォームDSPA!AE88)</f>
        <v>0</v>
      </c>
      <c r="AK54" s="24">
        <f>IF(代ホ_入力フォームDSPA!BM88="なし","",代ホ_入力フォームDSPA!BM88)</f>
        <v>0</v>
      </c>
      <c r="AL54" s="24">
        <f>IF(代ホ_入力フォームDSPA!CD88="なし","",代ホ_入力フォームDSPA!CD88)</f>
        <v>0</v>
      </c>
      <c r="AM54" s="24">
        <f>IF(代ホ_入力フォームDSPA!CU88="なし","",代ホ_入力フォームDSPA!CU88)</f>
        <v>0</v>
      </c>
      <c r="AN54" s="24" t="e">
        <f t="shared" ref="AN54:AT58" si="66">AN$3</f>
        <v>#N/A</v>
      </c>
      <c r="AO54" s="24" t="e">
        <f t="shared" si="66"/>
        <v>#N/A</v>
      </c>
      <c r="AP54" s="24" t="e">
        <f t="shared" si="66"/>
        <v>#N/A</v>
      </c>
      <c r="AQ54" s="24" t="e">
        <f t="shared" si="66"/>
        <v>#N/A</v>
      </c>
      <c r="AR54" s="24" t="e">
        <f t="shared" si="66"/>
        <v>#N/A</v>
      </c>
      <c r="AS54" s="24" t="e">
        <f t="shared" si="66"/>
        <v>#N/A</v>
      </c>
      <c r="AT54" s="24" t="e">
        <f t="shared" si="66"/>
        <v>#N/A</v>
      </c>
      <c r="AU54" s="24" t="str">
        <f>中間データDSPA!N11</f>
        <v>0</v>
      </c>
      <c r="AV54" s="24" t="str">
        <f>IFERROR(AG54*12,"")</f>
        <v/>
      </c>
      <c r="AW54" s="24" t="str">
        <f>IF(ISBLANK(代ホ_入力フォームDSPA!D107),"",代ホ_入力フォームDSPA!$L$107&amp;" 保守サービス ")&amp;IF(代ホ_入力フォームDSPA!$W$107="コールドスタンバイ","(コールドスタンバイ)","")</f>
        <v xml:space="preserve"> 保守サービス </v>
      </c>
      <c r="AX54" s="24">
        <f>IF(中間データDSPA!P11=2,代ホ_入力フォームDSPA!M33,代ホ_入力フォームDSPA!BI126)</f>
        <v>0</v>
      </c>
      <c r="AY54" s="24">
        <f>IF(中間データDSPA!$P11=2,代ホ_入力フォームDSPA!$AD$33,代ホ_入力フォームDSPA!$BN$126)</f>
        <v>0</v>
      </c>
      <c r="AZ54" s="24">
        <f>IF(中間データDSPA!P11=2,代ホ_入力フォームDSPA!$AU$33,代ホ_入力フォームDSPA!$BS$126)</f>
        <v>0</v>
      </c>
      <c r="BA54" s="24" t="str">
        <f>IF(中間データDSPA!P11=2,代ホ_入力フォームDSPA!$M$35&amp;"　"&amp;代ホ_入力フォームDSPA!$AM$35,代ホ_入力フォームDSPA!$CA$126&amp;"　"&amp;代ホ_入力フォームDSPA!$CM$126)</f>
        <v>　</v>
      </c>
      <c r="BB54" s="24">
        <f>IF(中間データDSPA!$P11=2,代ホ_入力フォームDSPA!G40,代ホ_入力フォームDSPA!$DB$126)</f>
        <v>0</v>
      </c>
      <c r="BC54" s="24" t="e">
        <f t="shared" ref="BC54:BC58" si="67">BC$3</f>
        <v>#N/A</v>
      </c>
      <c r="BD54" s="24" t="s">
        <v>888</v>
      </c>
      <c r="BE54" s="24" t="e">
        <f t="shared" ref="BE54:BF58" si="68">BE$45</f>
        <v>#N/A</v>
      </c>
      <c r="BF54" s="24" t="e">
        <f t="shared" si="68"/>
        <v>#N/A</v>
      </c>
      <c r="BH54" s="24" t="s">
        <v>132</v>
      </c>
      <c r="BI54" s="24" t="e">
        <f>IF(代ホ_入力フォームDSPA!Z126=0,AB15,代ホ_入力フォームDSPA!Z126)</f>
        <v>#N/A</v>
      </c>
      <c r="BJ54" s="402"/>
      <c r="BK54" s="402"/>
      <c r="BL54" s="24" t="e">
        <f t="shared" ref="BL54:BM58" si="69">BL$3</f>
        <v>#N/A</v>
      </c>
      <c r="BM54" s="24" t="e">
        <f t="shared" si="69"/>
        <v>#N/A</v>
      </c>
      <c r="BN54" s="24" t="str">
        <f>IF(代ホ_入力フォームDSPA!CH107="あり","HDD引渡しオプション","")</f>
        <v/>
      </c>
      <c r="BO54" s="24" t="str">
        <f>IF(代ホ_入力フォームDSPA!AB159="○ あり","パトランプ","")</f>
        <v/>
      </c>
      <c r="BP54" s="402"/>
      <c r="BQ54" s="402"/>
      <c r="BR54" s="402"/>
      <c r="BS54" s="402"/>
      <c r="BT54" s="402"/>
      <c r="BU54" s="402"/>
      <c r="BV54" s="402"/>
      <c r="BW54" s="402"/>
      <c r="BX54" s="402"/>
      <c r="BY54" s="402"/>
      <c r="BZ54" s="402"/>
      <c r="CA54" s="402"/>
      <c r="CB54" s="402"/>
      <c r="CC54" s="402"/>
      <c r="CD54" s="320" t="e">
        <f t="shared" ref="CD54:CD58" si="70">CD$3</f>
        <v>#N/A</v>
      </c>
      <c r="CE54" s="320" t="str">
        <f>IF(代ホ_入力フォームDSPA!CF64="","",代ホ_入力フォームDSPA!CF64)</f>
        <v/>
      </c>
      <c r="CF54" s="24" t="s">
        <v>999</v>
      </c>
      <c r="CG54" s="24" t="e">
        <f t="shared" ref="CG54:CQ58" si="71">CG$3</f>
        <v>#N/A</v>
      </c>
      <c r="CH54" s="24" t="e">
        <f t="shared" si="71"/>
        <v>#N/A</v>
      </c>
      <c r="CI54" s="24" t="e">
        <f t="shared" si="71"/>
        <v>#N/A</v>
      </c>
      <c r="CJ54" s="24" t="e">
        <f t="shared" si="71"/>
        <v>#N/A</v>
      </c>
      <c r="CK54" s="24" t="e">
        <f t="shared" si="71"/>
        <v>#N/A</v>
      </c>
      <c r="CL54" s="24" t="s">
        <v>999</v>
      </c>
      <c r="CM54" s="24" t="e">
        <f t="shared" si="71"/>
        <v>#N/A</v>
      </c>
      <c r="CN54" s="24" t="e">
        <f t="shared" si="71"/>
        <v>#N/A</v>
      </c>
      <c r="CO54" s="24" t="e">
        <f t="shared" si="71"/>
        <v>#N/A</v>
      </c>
      <c r="CP54" s="24" t="e">
        <f t="shared" si="71"/>
        <v>#N/A</v>
      </c>
      <c r="CQ54" s="24" t="e">
        <f t="shared" si="71"/>
        <v>#N/A</v>
      </c>
      <c r="CR54" s="305"/>
      <c r="CS54" s="305"/>
      <c r="CT54" s="305"/>
      <c r="CU54" s="305"/>
      <c r="CV54" s="24">
        <v>1</v>
      </c>
      <c r="CW54" s="296"/>
      <c r="CX54" s="296"/>
      <c r="CY54" s="296"/>
      <c r="CZ54" s="296"/>
      <c r="DA54" s="296"/>
      <c r="DB54" s="296"/>
      <c r="DC54" s="296"/>
      <c r="DD54" s="296"/>
      <c r="DE54" s="296"/>
      <c r="DF54" s="296"/>
      <c r="DG54" s="296"/>
      <c r="DH54" s="296"/>
      <c r="DI54" s="296"/>
      <c r="DJ54" s="296"/>
      <c r="DK54" s="296"/>
      <c r="DL54" s="296"/>
      <c r="DM54" s="296"/>
    </row>
    <row r="55" spans="1:117" ht="11">
      <c r="A55" s="322" t="s">
        <v>1027</v>
      </c>
      <c r="B55" s="24" t="e">
        <f t="shared" si="64"/>
        <v>#N/A</v>
      </c>
      <c r="C55" s="24" t="e">
        <f t="shared" si="64"/>
        <v>#N/A</v>
      </c>
      <c r="D55" s="24" t="e">
        <f t="shared" si="64"/>
        <v>#N/A</v>
      </c>
      <c r="E55" s="24" t="e">
        <f t="shared" si="64"/>
        <v>#N/A</v>
      </c>
      <c r="F55" s="24" t="str">
        <f t="shared" si="64"/>
        <v>未記入</v>
      </c>
      <c r="G55" s="24" t="e">
        <f t="shared" si="64"/>
        <v>#N/A</v>
      </c>
      <c r="H55" s="24" t="e">
        <f t="shared" si="64"/>
        <v>#N/A</v>
      </c>
      <c r="I55" s="24" t="e">
        <f t="shared" si="64"/>
        <v>#N/A</v>
      </c>
      <c r="J55" s="24" t="e">
        <f t="shared" si="64"/>
        <v>#N/A</v>
      </c>
      <c r="K55" s="24" t="e">
        <f t="shared" si="64"/>
        <v>#N/A</v>
      </c>
      <c r="L55" s="24" t="str">
        <f t="shared" si="64"/>
        <v>未記入</v>
      </c>
      <c r="M55" s="24" t="e">
        <f t="shared" si="64"/>
        <v>#N/A</v>
      </c>
      <c r="N55" s="24" t="s">
        <v>380</v>
      </c>
      <c r="O55" s="24" t="s">
        <v>380</v>
      </c>
      <c r="P55" s="24" t="s">
        <v>380</v>
      </c>
      <c r="Q55" s="24" t="s">
        <v>380</v>
      </c>
      <c r="R55" s="24" t="s">
        <v>380</v>
      </c>
      <c r="S55" s="24" t="s">
        <v>380</v>
      </c>
      <c r="T55" s="24" t="e">
        <f t="shared" si="65"/>
        <v>#N/A</v>
      </c>
      <c r="U55" s="24" t="e">
        <f t="shared" si="65"/>
        <v>#N/A</v>
      </c>
      <c r="V55" s="24" t="e">
        <f t="shared" si="65"/>
        <v>#N/A</v>
      </c>
      <c r="W55" s="24" t="e">
        <f t="shared" si="65"/>
        <v>#N/A</v>
      </c>
      <c r="X55" s="24" t="str">
        <f t="shared" si="65"/>
        <v>未記入</v>
      </c>
      <c r="Y55" s="24" t="e">
        <f t="shared" si="65"/>
        <v>#N/A</v>
      </c>
      <c r="Z55" s="24" t="e">
        <f t="shared" si="65"/>
        <v>#N/A</v>
      </c>
      <c r="AA55" s="24" t="e">
        <f t="shared" si="65"/>
        <v>#N/A</v>
      </c>
      <c r="AB55" s="24" t="e">
        <f t="shared" si="65"/>
        <v>#N/A</v>
      </c>
      <c r="AC55" s="24" t="str">
        <f>IF(ISBLANK(代ホ_入力フォームDSPA!D90),"",VLOOKUP(代ホ_入力フォームDSPA!D90,中間データDSPA!B2:C36,2,FALSE))</f>
        <v/>
      </c>
      <c r="AD55" s="305"/>
      <c r="AE55" s="24" t="s">
        <v>998</v>
      </c>
      <c r="AF55" s="24" t="str">
        <f>IF(代ホ_入力フォームDSPA!AG107="初年度","-01",IF(代ホ_入力フォームDSPA!AL109="","",代ホ_入力フォームDSPA!AL109))</f>
        <v/>
      </c>
      <c r="AG55" s="24" t="str">
        <f>AG15</f>
        <v/>
      </c>
      <c r="AH55" s="24" t="str">
        <f>AH15</f>
        <v/>
      </c>
      <c r="AI55" s="24" t="str">
        <f>AI15</f>
        <v/>
      </c>
      <c r="AJ55" s="24">
        <f>IF(代ホ_入力フォームDSPA!AE90="なし","",代ホ_入力フォームDSPA!AE90)</f>
        <v>0</v>
      </c>
      <c r="AK55" s="24">
        <f>IF(代ホ_入力フォームDSPA!BM90="なし","",代ホ_入力フォームDSPA!BM90)</f>
        <v>0</v>
      </c>
      <c r="AL55" s="24">
        <f>IF(代ホ_入力フォームDSPA!CD90="なし","",代ホ_入力フォームDSPA!CD90)</f>
        <v>0</v>
      </c>
      <c r="AM55" s="24">
        <f>IF(代ホ_入力フォームDSPA!CU90="なし","",代ホ_入力フォームDSPA!CU90)</f>
        <v>0</v>
      </c>
      <c r="AN55" s="24" t="e">
        <f t="shared" si="66"/>
        <v>#N/A</v>
      </c>
      <c r="AO55" s="24" t="e">
        <f t="shared" si="66"/>
        <v>#N/A</v>
      </c>
      <c r="AP55" s="24" t="e">
        <f t="shared" si="66"/>
        <v>#N/A</v>
      </c>
      <c r="AQ55" s="24" t="e">
        <f t="shared" si="66"/>
        <v>#N/A</v>
      </c>
      <c r="AR55" s="24" t="e">
        <f t="shared" si="66"/>
        <v>#N/A</v>
      </c>
      <c r="AS55" s="24" t="e">
        <f t="shared" si="66"/>
        <v>#N/A</v>
      </c>
      <c r="AT55" s="24" t="e">
        <f t="shared" si="66"/>
        <v>#N/A</v>
      </c>
      <c r="AU55" s="24" t="str">
        <f>中間データDSPA!N12</f>
        <v>0</v>
      </c>
      <c r="AV55" s="24" t="str">
        <f t="shared" ref="AV55:AV58" si="72">IFERROR(AG55*12,"")</f>
        <v/>
      </c>
      <c r="AW55" s="24" t="str">
        <f>IF(ISBLANK(代ホ_入力フォームDSPA!D109),"",代ホ_入力フォームDSPA!$L$109&amp;" 保守サービス ")&amp;IF(代ホ_入力フォームDSPA!$W$109="コールドスタンバイ","(コールドスタンバイ)","")</f>
        <v xml:space="preserve"> 保守サービス </v>
      </c>
      <c r="AX55" s="24">
        <f>IF(中間データDSPA!P12=2,代ホ_入力フォームDSPA!M33,代ホ_入力フォームDSPA!BI128)</f>
        <v>0</v>
      </c>
      <c r="AY55" s="24">
        <f>IF(中間データDSPA!$P12=2,代ホ_入力フォームDSPA!$AD$33,代ホ_入力フォームDSPA!$BN$128)</f>
        <v>0</v>
      </c>
      <c r="AZ55" s="24">
        <f>IF(中間データDSPA!P12=2,代ホ_入力フォームDSPA!$AU$33,代ホ_入力フォームDSPA!$BS$128)</f>
        <v>0</v>
      </c>
      <c r="BA55" s="24" t="str">
        <f>IF(中間データDSPA!P12=2,代ホ_入力フォームDSPA!$M$35&amp;"　"&amp;代ホ_入力フォームDSPA!$AM$35,代ホ_入力フォームDSPA!$CA$128&amp;"　"&amp;代ホ_入力フォームDSPA!$CM$128)</f>
        <v>　</v>
      </c>
      <c r="BB55" s="24">
        <f>IF(中間データDSPA!$P12=2,代ホ_入力フォームDSPA!G40,代ホ_入力フォームDSPA!$DB$128)</f>
        <v>0</v>
      </c>
      <c r="BC55" s="24" t="e">
        <f t="shared" si="67"/>
        <v>#N/A</v>
      </c>
      <c r="BD55" s="24" t="s">
        <v>888</v>
      </c>
      <c r="BE55" s="24" t="e">
        <f t="shared" si="68"/>
        <v>#N/A</v>
      </c>
      <c r="BF55" s="24" t="e">
        <f t="shared" si="68"/>
        <v>#N/A</v>
      </c>
      <c r="BH55" s="24" t="s">
        <v>132</v>
      </c>
      <c r="BI55" s="24" t="e">
        <f>IF(代ホ_入力フォームDSPA!Z128=0,AB15,代ホ_入力フォームDSPA!Z128)</f>
        <v>#N/A</v>
      </c>
      <c r="BJ55" s="402"/>
      <c r="BK55" s="402"/>
      <c r="BL55" s="24" t="e">
        <f t="shared" si="69"/>
        <v>#N/A</v>
      </c>
      <c r="BM55" s="24" t="e">
        <f t="shared" si="69"/>
        <v>#N/A</v>
      </c>
      <c r="BN55" s="24" t="str">
        <f>IF(代ホ_入力フォームDSPA!CH109="あり","HDD引渡しオプション","")</f>
        <v/>
      </c>
      <c r="BO55" s="24" t="str">
        <f>BO54</f>
        <v/>
      </c>
      <c r="BP55" s="402"/>
      <c r="BQ55" s="402"/>
      <c r="BR55" s="402"/>
      <c r="BS55" s="402"/>
      <c r="BT55" s="402"/>
      <c r="BU55" s="402"/>
      <c r="BV55" s="402"/>
      <c r="BW55" s="402"/>
      <c r="BX55" s="402"/>
      <c r="BY55" s="402"/>
      <c r="BZ55" s="402"/>
      <c r="CA55" s="402"/>
      <c r="CB55" s="402"/>
      <c r="CC55" s="402"/>
      <c r="CD55" s="320" t="e">
        <f t="shared" si="70"/>
        <v>#N/A</v>
      </c>
      <c r="CE55" s="320" t="str">
        <f t="shared" ref="CE55:CE58" si="73">CE$54</f>
        <v/>
      </c>
      <c r="CF55" s="24" t="s">
        <v>999</v>
      </c>
      <c r="CG55" s="24" t="e">
        <f t="shared" si="71"/>
        <v>#N/A</v>
      </c>
      <c r="CH55" s="24" t="e">
        <f t="shared" si="71"/>
        <v>#N/A</v>
      </c>
      <c r="CI55" s="24" t="e">
        <f t="shared" si="71"/>
        <v>#N/A</v>
      </c>
      <c r="CJ55" s="24" t="e">
        <f t="shared" si="71"/>
        <v>#N/A</v>
      </c>
      <c r="CK55" s="24" t="e">
        <f t="shared" si="71"/>
        <v>#N/A</v>
      </c>
      <c r="CL55" s="24" t="s">
        <v>999</v>
      </c>
      <c r="CM55" s="24" t="e">
        <f t="shared" si="71"/>
        <v>#N/A</v>
      </c>
      <c r="CN55" s="24" t="e">
        <f t="shared" si="71"/>
        <v>#N/A</v>
      </c>
      <c r="CO55" s="24" t="e">
        <f t="shared" si="71"/>
        <v>#N/A</v>
      </c>
      <c r="CP55" s="24" t="e">
        <f t="shared" si="71"/>
        <v>#N/A</v>
      </c>
      <c r="CQ55" s="24" t="e">
        <f t="shared" si="71"/>
        <v>#N/A</v>
      </c>
      <c r="CR55" s="305"/>
      <c r="CS55" s="305"/>
      <c r="CT55" s="305"/>
      <c r="CU55" s="305"/>
      <c r="CV55" s="24">
        <v>1</v>
      </c>
      <c r="CW55" s="296"/>
      <c r="CX55" s="296"/>
      <c r="CY55" s="296"/>
      <c r="CZ55" s="296"/>
      <c r="DA55" s="296"/>
      <c r="DB55" s="296"/>
      <c r="DC55" s="296"/>
      <c r="DD55" s="296"/>
      <c r="DE55" s="296"/>
      <c r="DF55" s="296"/>
      <c r="DG55" s="296"/>
      <c r="DH55" s="296"/>
      <c r="DI55" s="296"/>
      <c r="DJ55" s="296"/>
      <c r="DK55" s="296"/>
      <c r="DL55" s="296"/>
      <c r="DM55" s="296"/>
    </row>
    <row r="56" spans="1:117" ht="11">
      <c r="A56" s="322" t="s">
        <v>1028</v>
      </c>
      <c r="B56" s="24" t="e">
        <f t="shared" si="64"/>
        <v>#N/A</v>
      </c>
      <c r="C56" s="24" t="e">
        <f t="shared" si="64"/>
        <v>#N/A</v>
      </c>
      <c r="D56" s="24" t="e">
        <f t="shared" si="64"/>
        <v>#N/A</v>
      </c>
      <c r="E56" s="24" t="e">
        <f t="shared" si="64"/>
        <v>#N/A</v>
      </c>
      <c r="F56" s="24" t="str">
        <f t="shared" si="64"/>
        <v>未記入</v>
      </c>
      <c r="G56" s="24" t="e">
        <f t="shared" si="64"/>
        <v>#N/A</v>
      </c>
      <c r="H56" s="24" t="e">
        <f t="shared" si="64"/>
        <v>#N/A</v>
      </c>
      <c r="I56" s="24" t="e">
        <f t="shared" si="64"/>
        <v>#N/A</v>
      </c>
      <c r="J56" s="24" t="e">
        <f t="shared" si="64"/>
        <v>#N/A</v>
      </c>
      <c r="K56" s="24" t="e">
        <f t="shared" si="64"/>
        <v>#N/A</v>
      </c>
      <c r="L56" s="24" t="str">
        <f t="shared" si="64"/>
        <v>未記入</v>
      </c>
      <c r="M56" s="24" t="e">
        <f t="shared" si="64"/>
        <v>#N/A</v>
      </c>
      <c r="N56" s="24" t="s">
        <v>380</v>
      </c>
      <c r="O56" s="24" t="s">
        <v>380</v>
      </c>
      <c r="P56" s="24" t="s">
        <v>380</v>
      </c>
      <c r="Q56" s="24" t="s">
        <v>380</v>
      </c>
      <c r="R56" s="24" t="s">
        <v>380</v>
      </c>
      <c r="S56" s="24" t="s">
        <v>380</v>
      </c>
      <c r="T56" s="24" t="e">
        <f t="shared" si="65"/>
        <v>#N/A</v>
      </c>
      <c r="U56" s="24" t="e">
        <f t="shared" si="65"/>
        <v>#N/A</v>
      </c>
      <c r="V56" s="24" t="e">
        <f t="shared" si="65"/>
        <v>#N/A</v>
      </c>
      <c r="W56" s="24" t="e">
        <f t="shared" si="65"/>
        <v>#N/A</v>
      </c>
      <c r="X56" s="24" t="str">
        <f t="shared" si="65"/>
        <v>未記入</v>
      </c>
      <c r="Y56" s="24" t="e">
        <f t="shared" si="65"/>
        <v>#N/A</v>
      </c>
      <c r="Z56" s="24" t="e">
        <f t="shared" si="65"/>
        <v>#N/A</v>
      </c>
      <c r="AA56" s="24" t="e">
        <f t="shared" si="65"/>
        <v>#N/A</v>
      </c>
      <c r="AB56" s="24" t="e">
        <f t="shared" si="65"/>
        <v>#N/A</v>
      </c>
      <c r="AC56" s="24" t="str">
        <f>IF(ISBLANK(代ホ_入力フォームDSPA!D92),"",VLOOKUP(代ホ_入力フォームDSPA!D92,中間データDSPA!B2:C36,2,FALSE))</f>
        <v/>
      </c>
      <c r="AD56" s="305"/>
      <c r="AE56" s="24" t="s">
        <v>998</v>
      </c>
      <c r="AF56" s="24" t="str">
        <f>IF(代ホ_入力フォームDSPA!AG107="初年度","-01",IF(代ホ_入力フォームDSPA!AL111="","",代ホ_入力フォームDSPA!AL111))</f>
        <v/>
      </c>
      <c r="AG56" s="24" t="str">
        <f>AG15</f>
        <v/>
      </c>
      <c r="AH56" s="24" t="str">
        <f>AH15</f>
        <v/>
      </c>
      <c r="AI56" s="24" t="str">
        <f>AI15</f>
        <v/>
      </c>
      <c r="AJ56" s="24">
        <f>IF(代ホ_入力フォームDSPA!AE92="なし","",代ホ_入力フォームDSPA!AE92)</f>
        <v>0</v>
      </c>
      <c r="AK56" s="24">
        <f>IF(代ホ_入力フォームDSPA!BM92="なし","",代ホ_入力フォームDSPA!BM92)</f>
        <v>0</v>
      </c>
      <c r="AL56" s="24">
        <f>IF(代ホ_入力フォームDSPA!CD92="なし","",代ホ_入力フォームDSPA!CD92)</f>
        <v>0</v>
      </c>
      <c r="AM56" s="24">
        <f>IF(代ホ_入力フォームDSPA!CU92="なし","",代ホ_入力フォームDSPA!CU92)</f>
        <v>0</v>
      </c>
      <c r="AN56" s="24" t="e">
        <f t="shared" si="66"/>
        <v>#N/A</v>
      </c>
      <c r="AO56" s="24" t="e">
        <f t="shared" si="66"/>
        <v>#N/A</v>
      </c>
      <c r="AP56" s="24" t="e">
        <f t="shared" si="66"/>
        <v>#N/A</v>
      </c>
      <c r="AQ56" s="24" t="e">
        <f t="shared" si="66"/>
        <v>#N/A</v>
      </c>
      <c r="AR56" s="24" t="e">
        <f t="shared" si="66"/>
        <v>#N/A</v>
      </c>
      <c r="AS56" s="24" t="e">
        <f t="shared" si="66"/>
        <v>#N/A</v>
      </c>
      <c r="AT56" s="24" t="e">
        <f t="shared" si="66"/>
        <v>#N/A</v>
      </c>
      <c r="AU56" s="24" t="str">
        <f>中間データDSPA!N13</f>
        <v>0</v>
      </c>
      <c r="AV56" s="24" t="str">
        <f t="shared" si="72"/>
        <v/>
      </c>
      <c r="AW56" s="24" t="str">
        <f>IF(ISBLANK(代ホ_入力フォームDSPA!D111),"",代ホ_入力フォームDSPA!$L$111&amp;" 保守サービス ")&amp;IF(代ホ_入力フォームDSPA!$W$111="コールドスタンバイ","(コールドスタンバイ)","")</f>
        <v xml:space="preserve"> 保守サービス </v>
      </c>
      <c r="AX56" s="24">
        <f>IF(中間データDSPA!P13=2,代ホ_入力フォームDSPA!M33,代ホ_入力フォームDSPA!BI130)</f>
        <v>0</v>
      </c>
      <c r="AY56" s="24">
        <f>IF(中間データDSPA!$P13=2,代ホ_入力フォームDSPA!$AD$33,代ホ_入力フォームDSPA!$BN$130)</f>
        <v>0</v>
      </c>
      <c r="AZ56" s="24">
        <f>IF(中間データDSPA!P13=2,代ホ_入力フォームDSPA!$AU$33,代ホ_入力フォームDSPA!$BS$130)</f>
        <v>0</v>
      </c>
      <c r="BA56" s="24" t="str">
        <f>IF(中間データDSPA!P13=2,代ホ_入力フォームDSPA!$M$35&amp;"　"&amp;代ホ_入力フォームDSPA!$AM$35,代ホ_入力フォームDSPA!$CA$130&amp;"　"&amp;代ホ_入力フォームDSPA!$CM$130)</f>
        <v>　</v>
      </c>
      <c r="BB56" s="24">
        <f>IF(中間データDSPA!$P13=2,代ホ_入力フォームDSPA!G40,代ホ_入力フォームDSPA!$DB$130)</f>
        <v>0</v>
      </c>
      <c r="BC56" s="24" t="e">
        <f t="shared" si="67"/>
        <v>#N/A</v>
      </c>
      <c r="BD56" s="24" t="s">
        <v>888</v>
      </c>
      <c r="BE56" s="24" t="e">
        <f t="shared" si="68"/>
        <v>#N/A</v>
      </c>
      <c r="BF56" s="24" t="e">
        <f t="shared" si="68"/>
        <v>#N/A</v>
      </c>
      <c r="BH56" s="24" t="s">
        <v>132</v>
      </c>
      <c r="BI56" s="24" t="e">
        <f>IF(代ホ_入力フォームDSPA!Z130=0,AB15,代ホ_入力フォームDSPA!Z130)</f>
        <v>#N/A</v>
      </c>
      <c r="BJ56" s="402"/>
      <c r="BK56" s="402"/>
      <c r="BL56" s="24" t="e">
        <f t="shared" si="69"/>
        <v>#N/A</v>
      </c>
      <c r="BM56" s="24" t="e">
        <f t="shared" si="69"/>
        <v>#N/A</v>
      </c>
      <c r="BN56" s="24" t="str">
        <f>IF(代ホ_入力フォームDSPA!CH111="あり","HDD引渡しオプション","")</f>
        <v/>
      </c>
      <c r="BO56" s="24" t="str">
        <f>BO54</f>
        <v/>
      </c>
      <c r="BP56" s="402"/>
      <c r="BQ56" s="402"/>
      <c r="BR56" s="402"/>
      <c r="BS56" s="402"/>
      <c r="BT56" s="402"/>
      <c r="BU56" s="402"/>
      <c r="BV56" s="402"/>
      <c r="BW56" s="402"/>
      <c r="BX56" s="402"/>
      <c r="BY56" s="402"/>
      <c r="BZ56" s="402"/>
      <c r="CA56" s="402"/>
      <c r="CB56" s="402"/>
      <c r="CC56" s="402"/>
      <c r="CD56" s="320" t="e">
        <f t="shared" si="70"/>
        <v>#N/A</v>
      </c>
      <c r="CE56" s="320" t="str">
        <f t="shared" si="73"/>
        <v/>
      </c>
      <c r="CF56" s="24" t="s">
        <v>999</v>
      </c>
      <c r="CG56" s="24" t="e">
        <f t="shared" si="71"/>
        <v>#N/A</v>
      </c>
      <c r="CH56" s="24" t="e">
        <f t="shared" si="71"/>
        <v>#N/A</v>
      </c>
      <c r="CI56" s="24" t="e">
        <f t="shared" si="71"/>
        <v>#N/A</v>
      </c>
      <c r="CJ56" s="24" t="e">
        <f t="shared" si="71"/>
        <v>#N/A</v>
      </c>
      <c r="CK56" s="24" t="e">
        <f t="shared" si="71"/>
        <v>#N/A</v>
      </c>
      <c r="CL56" s="24" t="s">
        <v>999</v>
      </c>
      <c r="CM56" s="24" t="e">
        <f t="shared" si="71"/>
        <v>#N/A</v>
      </c>
      <c r="CN56" s="24" t="e">
        <f t="shared" si="71"/>
        <v>#N/A</v>
      </c>
      <c r="CO56" s="24" t="e">
        <f t="shared" si="71"/>
        <v>#N/A</v>
      </c>
      <c r="CP56" s="24" t="e">
        <f t="shared" si="71"/>
        <v>#N/A</v>
      </c>
      <c r="CQ56" s="24" t="e">
        <f t="shared" si="71"/>
        <v>#N/A</v>
      </c>
      <c r="CR56" s="305"/>
      <c r="CS56" s="305"/>
      <c r="CT56" s="305"/>
      <c r="CU56" s="305"/>
      <c r="CV56" s="24">
        <v>1</v>
      </c>
      <c r="CW56" s="296"/>
      <c r="CX56" s="296"/>
      <c r="CY56" s="296"/>
      <c r="CZ56" s="296"/>
      <c r="DA56" s="296"/>
      <c r="DB56" s="296"/>
      <c r="DC56" s="296"/>
      <c r="DD56" s="296"/>
      <c r="DE56" s="296"/>
      <c r="DF56" s="296"/>
      <c r="DG56" s="296"/>
      <c r="DH56" s="296"/>
      <c r="DI56" s="296"/>
      <c r="DJ56" s="296"/>
      <c r="DK56" s="296"/>
      <c r="DL56" s="296"/>
      <c r="DM56" s="296"/>
    </row>
    <row r="57" spans="1:117" ht="11">
      <c r="A57" s="322" t="s">
        <v>1029</v>
      </c>
      <c r="B57" s="24" t="e">
        <f t="shared" si="64"/>
        <v>#N/A</v>
      </c>
      <c r="C57" s="24" t="e">
        <f t="shared" si="64"/>
        <v>#N/A</v>
      </c>
      <c r="D57" s="24" t="e">
        <f t="shared" si="64"/>
        <v>#N/A</v>
      </c>
      <c r="E57" s="24" t="e">
        <f t="shared" si="64"/>
        <v>#N/A</v>
      </c>
      <c r="F57" s="24" t="str">
        <f t="shared" si="64"/>
        <v>未記入</v>
      </c>
      <c r="G57" s="24" t="e">
        <f t="shared" si="64"/>
        <v>#N/A</v>
      </c>
      <c r="H57" s="24" t="e">
        <f t="shared" si="64"/>
        <v>#N/A</v>
      </c>
      <c r="I57" s="24" t="e">
        <f t="shared" si="64"/>
        <v>#N/A</v>
      </c>
      <c r="J57" s="24" t="e">
        <f t="shared" si="64"/>
        <v>#N/A</v>
      </c>
      <c r="K57" s="24" t="e">
        <f t="shared" si="64"/>
        <v>#N/A</v>
      </c>
      <c r="L57" s="24" t="str">
        <f t="shared" si="64"/>
        <v>未記入</v>
      </c>
      <c r="M57" s="24" t="e">
        <f t="shared" si="64"/>
        <v>#N/A</v>
      </c>
      <c r="N57" s="24" t="s">
        <v>380</v>
      </c>
      <c r="O57" s="24" t="s">
        <v>380</v>
      </c>
      <c r="P57" s="24" t="s">
        <v>380</v>
      </c>
      <c r="Q57" s="24" t="s">
        <v>380</v>
      </c>
      <c r="R57" s="24" t="s">
        <v>380</v>
      </c>
      <c r="S57" s="24" t="s">
        <v>380</v>
      </c>
      <c r="T57" s="24" t="e">
        <f t="shared" si="65"/>
        <v>#N/A</v>
      </c>
      <c r="U57" s="24" t="e">
        <f t="shared" si="65"/>
        <v>#N/A</v>
      </c>
      <c r="V57" s="24" t="e">
        <f t="shared" si="65"/>
        <v>#N/A</v>
      </c>
      <c r="W57" s="24" t="e">
        <f t="shared" si="65"/>
        <v>#N/A</v>
      </c>
      <c r="X57" s="24" t="str">
        <f t="shared" si="65"/>
        <v>未記入</v>
      </c>
      <c r="Y57" s="24" t="e">
        <f t="shared" si="65"/>
        <v>#N/A</v>
      </c>
      <c r="Z57" s="24" t="e">
        <f t="shared" si="65"/>
        <v>#N/A</v>
      </c>
      <c r="AA57" s="24" t="e">
        <f t="shared" si="65"/>
        <v>#N/A</v>
      </c>
      <c r="AB57" s="24" t="e">
        <f t="shared" si="65"/>
        <v>#N/A</v>
      </c>
      <c r="AC57" s="24" t="str">
        <f>IF(ISBLANK(代ホ_入力フォームDSPA!D94),"",VLOOKUP(代ホ_入力フォームDSPA!D94,中間データDSPA!B2:C36,2,FALSE))</f>
        <v/>
      </c>
      <c r="AD57" s="305"/>
      <c r="AE57" s="24" t="s">
        <v>998</v>
      </c>
      <c r="AF57" s="24" t="str">
        <f>IF(代ホ_入力フォームDSPA!AG107="初年度","-01",IF(代ホ_入力フォームDSPA!AL113="","",代ホ_入力フォームDSPA!AL113))</f>
        <v/>
      </c>
      <c r="AG57" s="24" t="str">
        <f>AG15</f>
        <v/>
      </c>
      <c r="AH57" s="24" t="str">
        <f>AH15</f>
        <v/>
      </c>
      <c r="AI57" s="24" t="str">
        <f>AI15</f>
        <v/>
      </c>
      <c r="AJ57" s="24">
        <f>IF(代ホ_入力フォームDSPA!AE94="なし","",代ホ_入力フォームDSPA!AE94)</f>
        <v>0</v>
      </c>
      <c r="AK57" s="24">
        <f>IF(代ホ_入力フォームDSPA!BM94="なし","",代ホ_入力フォームDSPA!BM94)</f>
        <v>0</v>
      </c>
      <c r="AL57" s="24">
        <f>IF(代ホ_入力フォームDSPA!CD94="なし","",代ホ_入力フォームDSPA!CD94)</f>
        <v>0</v>
      </c>
      <c r="AM57" s="24">
        <f>IF(代ホ_入力フォームDSPA!CU94="なし","",代ホ_入力フォームDSPA!CU94)</f>
        <v>0</v>
      </c>
      <c r="AN57" s="24" t="e">
        <f t="shared" si="66"/>
        <v>#N/A</v>
      </c>
      <c r="AO57" s="24" t="e">
        <f t="shared" si="66"/>
        <v>#N/A</v>
      </c>
      <c r="AP57" s="24" t="e">
        <f t="shared" si="66"/>
        <v>#N/A</v>
      </c>
      <c r="AQ57" s="24" t="e">
        <f t="shared" si="66"/>
        <v>#N/A</v>
      </c>
      <c r="AR57" s="24" t="e">
        <f t="shared" si="66"/>
        <v>#N/A</v>
      </c>
      <c r="AS57" s="24" t="e">
        <f t="shared" si="66"/>
        <v>#N/A</v>
      </c>
      <c r="AT57" s="24" t="e">
        <f t="shared" si="66"/>
        <v>#N/A</v>
      </c>
      <c r="AU57" s="24" t="str">
        <f>中間データDSPA!N14</f>
        <v>0</v>
      </c>
      <c r="AV57" s="24" t="str">
        <f t="shared" si="72"/>
        <v/>
      </c>
      <c r="AW57" s="24" t="str">
        <f>IF(ISBLANK(代ホ_入力フォームDSPA!D113),"",代ホ_入力フォームDSPA!$L$113&amp;" 保守サービス ")&amp;IF(代ホ_入力フォームDSPA!$W$113="コールドスタンバイ","(コールドスタンバイ)","")</f>
        <v xml:space="preserve"> 保守サービス </v>
      </c>
      <c r="AX57" s="24">
        <f>IF(中間データDSPA!P14=2,代ホ_入力フォームDSPA!M33,代ホ_入力フォームDSPA!BI132)</f>
        <v>0</v>
      </c>
      <c r="AY57" s="24">
        <f>IF(中間データDSPA!$P14=2,代ホ_入力フォームDSPA!$AD$33,代ホ_入力フォームDSPA!$BN$132)</f>
        <v>0</v>
      </c>
      <c r="AZ57" s="24">
        <f>IF(中間データDSPA!P14=2,代ホ_入力フォームDSPA!$AU$33,代ホ_入力フォームDSPA!$BS$132)</f>
        <v>0</v>
      </c>
      <c r="BA57" s="24" t="str">
        <f>IF(中間データDSPA!P14=2,代ホ_入力フォームDSPA!$M$35&amp;"　"&amp;代ホ_入力フォームDSPA!$AM$35,代ホ_入力フォームDSPA!$CA$132&amp;"　"&amp;代ホ_入力フォームDSPA!$CM$132)</f>
        <v>　</v>
      </c>
      <c r="BB57" s="24">
        <f>IF(中間データDSPA!$P14=2,代ホ_入力フォームDSPA!G40,代ホ_入力フォームDSPA!$DB$132)</f>
        <v>0</v>
      </c>
      <c r="BC57" s="24" t="e">
        <f t="shared" si="67"/>
        <v>#N/A</v>
      </c>
      <c r="BD57" s="24" t="s">
        <v>888</v>
      </c>
      <c r="BE57" s="24" t="e">
        <f t="shared" si="68"/>
        <v>#N/A</v>
      </c>
      <c r="BF57" s="24" t="e">
        <f t="shared" si="68"/>
        <v>#N/A</v>
      </c>
      <c r="BH57" s="24" t="s">
        <v>132</v>
      </c>
      <c r="BI57" s="24" t="e">
        <f>IF(代ホ_入力フォームDSPA!Z132=0,AB15,代ホ_入力フォームDSPA!Z132)</f>
        <v>#N/A</v>
      </c>
      <c r="BJ57" s="402"/>
      <c r="BK57" s="402"/>
      <c r="BL57" s="24" t="e">
        <f t="shared" si="69"/>
        <v>#N/A</v>
      </c>
      <c r="BM57" s="24" t="e">
        <f t="shared" si="69"/>
        <v>#N/A</v>
      </c>
      <c r="BN57" s="24" t="str">
        <f>IF(代ホ_入力フォームDSPA!CH113="あり","HDD引渡しオプション","")</f>
        <v/>
      </c>
      <c r="BO57" s="24" t="str">
        <f>BO54</f>
        <v/>
      </c>
      <c r="BP57" s="402"/>
      <c r="BQ57" s="402"/>
      <c r="BR57" s="402"/>
      <c r="BS57" s="402"/>
      <c r="BT57" s="402"/>
      <c r="BU57" s="402"/>
      <c r="BV57" s="402"/>
      <c r="BW57" s="402"/>
      <c r="BX57" s="402"/>
      <c r="BY57" s="402"/>
      <c r="BZ57" s="402"/>
      <c r="CA57" s="402"/>
      <c r="CB57" s="402"/>
      <c r="CC57" s="402"/>
      <c r="CD57" s="320" t="e">
        <f t="shared" si="70"/>
        <v>#N/A</v>
      </c>
      <c r="CE57" s="320" t="str">
        <f t="shared" si="73"/>
        <v/>
      </c>
      <c r="CF57" s="24" t="s">
        <v>999</v>
      </c>
      <c r="CG57" s="24" t="e">
        <f t="shared" si="71"/>
        <v>#N/A</v>
      </c>
      <c r="CH57" s="24" t="e">
        <f t="shared" si="71"/>
        <v>#N/A</v>
      </c>
      <c r="CI57" s="24" t="e">
        <f t="shared" si="71"/>
        <v>#N/A</v>
      </c>
      <c r="CJ57" s="24" t="e">
        <f t="shared" si="71"/>
        <v>#N/A</v>
      </c>
      <c r="CK57" s="24" t="e">
        <f t="shared" si="71"/>
        <v>#N/A</v>
      </c>
      <c r="CL57" s="24" t="s">
        <v>999</v>
      </c>
      <c r="CM57" s="24" t="e">
        <f t="shared" si="71"/>
        <v>#N/A</v>
      </c>
      <c r="CN57" s="24" t="e">
        <f t="shared" si="71"/>
        <v>#N/A</v>
      </c>
      <c r="CO57" s="24" t="e">
        <f t="shared" si="71"/>
        <v>#N/A</v>
      </c>
      <c r="CP57" s="24" t="e">
        <f t="shared" si="71"/>
        <v>#N/A</v>
      </c>
      <c r="CQ57" s="24" t="e">
        <f t="shared" si="71"/>
        <v>#N/A</v>
      </c>
      <c r="CR57" s="305"/>
      <c r="CS57" s="305"/>
      <c r="CT57" s="305"/>
      <c r="CU57" s="305"/>
      <c r="CV57" s="24">
        <v>1</v>
      </c>
      <c r="CW57" s="296"/>
      <c r="CX57" s="296"/>
      <c r="CY57" s="296"/>
      <c r="CZ57" s="296"/>
      <c r="DA57" s="296"/>
      <c r="DB57" s="296"/>
      <c r="DC57" s="296"/>
      <c r="DD57" s="296"/>
      <c r="DE57" s="296"/>
      <c r="DF57" s="296"/>
      <c r="DG57" s="296"/>
      <c r="DH57" s="296"/>
      <c r="DI57" s="296"/>
      <c r="DJ57" s="296"/>
      <c r="DK57" s="296"/>
      <c r="DL57" s="296"/>
      <c r="DM57" s="296"/>
    </row>
    <row r="58" spans="1:117" ht="11">
      <c r="A58" s="322" t="s">
        <v>1030</v>
      </c>
      <c r="B58" s="24" t="e">
        <f>B$3</f>
        <v>#N/A</v>
      </c>
      <c r="C58" s="24" t="e">
        <f t="shared" si="64"/>
        <v>#N/A</v>
      </c>
      <c r="D58" s="24" t="e">
        <f t="shared" si="64"/>
        <v>#N/A</v>
      </c>
      <c r="E58" s="24" t="e">
        <f t="shared" si="64"/>
        <v>#N/A</v>
      </c>
      <c r="F58" s="24" t="str">
        <f t="shared" si="64"/>
        <v>未記入</v>
      </c>
      <c r="G58" s="24" t="e">
        <f t="shared" si="64"/>
        <v>#N/A</v>
      </c>
      <c r="H58" s="24" t="e">
        <f t="shared" si="64"/>
        <v>#N/A</v>
      </c>
      <c r="I58" s="24" t="e">
        <f t="shared" si="64"/>
        <v>#N/A</v>
      </c>
      <c r="J58" s="24" t="e">
        <f t="shared" si="64"/>
        <v>#N/A</v>
      </c>
      <c r="K58" s="24" t="e">
        <f t="shared" si="64"/>
        <v>#N/A</v>
      </c>
      <c r="L58" s="24" t="str">
        <f t="shared" si="64"/>
        <v>未記入</v>
      </c>
      <c r="M58" s="24" t="e">
        <f t="shared" si="64"/>
        <v>#N/A</v>
      </c>
      <c r="N58" s="24" t="s">
        <v>380</v>
      </c>
      <c r="O58" s="24" t="s">
        <v>380</v>
      </c>
      <c r="P58" s="24" t="s">
        <v>380</v>
      </c>
      <c r="Q58" s="24" t="s">
        <v>380</v>
      </c>
      <c r="R58" s="24" t="s">
        <v>380</v>
      </c>
      <c r="S58" s="24" t="s">
        <v>380</v>
      </c>
      <c r="T58" s="24" t="e">
        <f t="shared" si="65"/>
        <v>#N/A</v>
      </c>
      <c r="U58" s="24" t="e">
        <f t="shared" si="65"/>
        <v>#N/A</v>
      </c>
      <c r="V58" s="24" t="e">
        <f t="shared" si="65"/>
        <v>#N/A</v>
      </c>
      <c r="W58" s="24" t="e">
        <f t="shared" si="65"/>
        <v>#N/A</v>
      </c>
      <c r="X58" s="24" t="str">
        <f t="shared" si="65"/>
        <v>未記入</v>
      </c>
      <c r="Y58" s="24" t="e">
        <f t="shared" si="65"/>
        <v>#N/A</v>
      </c>
      <c r="Z58" s="24" t="e">
        <f t="shared" si="65"/>
        <v>#N/A</v>
      </c>
      <c r="AA58" s="24" t="e">
        <f t="shared" si="65"/>
        <v>#N/A</v>
      </c>
      <c r="AB58" s="24" t="e">
        <f t="shared" si="65"/>
        <v>#N/A</v>
      </c>
      <c r="AC58" s="24" t="str">
        <f>IF(ISBLANK(代ホ_入力フォームDSPA!D96),"",VLOOKUP(代ホ_入力フォームDSPA!D96,中間データDSPA!B2:C36,2,FALSE))</f>
        <v/>
      </c>
      <c r="AD58" s="305"/>
      <c r="AE58" s="24" t="s">
        <v>998</v>
      </c>
      <c r="AF58" s="24" t="str">
        <f>IF(代ホ_入力フォームDSPA!AG107="初年度","-01",IF(代ホ_入力フォームDSPA!AL115="","",代ホ_入力フォームDSPA!AL115))</f>
        <v/>
      </c>
      <c r="AG58" s="24" t="str">
        <f>AG15</f>
        <v/>
      </c>
      <c r="AH58" s="24" t="str">
        <f>AH15</f>
        <v/>
      </c>
      <c r="AI58" s="24" t="str">
        <f>AI15</f>
        <v/>
      </c>
      <c r="AJ58" s="24">
        <f>IF(代ホ_入力フォームDSPA!AE96="なし","",代ホ_入力フォームDSPA!AE96)</f>
        <v>0</v>
      </c>
      <c r="AK58" s="24">
        <f>IF(代ホ_入力フォームDSPA!BM96="なし","",代ホ_入力フォームDSPA!BM96)</f>
        <v>0</v>
      </c>
      <c r="AL58" s="24">
        <f>IF(代ホ_入力フォームDSPA!CD96="なし","",代ホ_入力フォームDSPA!CD96)</f>
        <v>0</v>
      </c>
      <c r="AM58" s="24">
        <f>IF(代ホ_入力フォームDSPA!CU96="なし","",代ホ_入力フォームDSPA!CU96)</f>
        <v>0</v>
      </c>
      <c r="AN58" s="24" t="e">
        <f t="shared" si="66"/>
        <v>#N/A</v>
      </c>
      <c r="AO58" s="24" t="e">
        <f t="shared" si="66"/>
        <v>#N/A</v>
      </c>
      <c r="AP58" s="24" t="e">
        <f t="shared" si="66"/>
        <v>#N/A</v>
      </c>
      <c r="AQ58" s="24" t="e">
        <f t="shared" si="66"/>
        <v>#N/A</v>
      </c>
      <c r="AR58" s="24" t="e">
        <f t="shared" si="66"/>
        <v>#N/A</v>
      </c>
      <c r="AS58" s="24" t="e">
        <f t="shared" si="66"/>
        <v>#N/A</v>
      </c>
      <c r="AT58" s="24" t="e">
        <f t="shared" si="66"/>
        <v>#N/A</v>
      </c>
      <c r="AU58" s="24" t="str">
        <f>中間データDSPA!N15</f>
        <v>0</v>
      </c>
      <c r="AV58" s="24" t="str">
        <f t="shared" si="72"/>
        <v/>
      </c>
      <c r="AW58" s="24" t="str">
        <f>IF(ISBLANK(代ホ_入力フォームDSPA!D115),"",代ホ_入力フォームDSPA!$L$115&amp;" 保守サービス ")&amp;IF(代ホ_入力フォームDSPA!$W$115="コールドスタンバイ","(コールドスタンバイ)","")</f>
        <v xml:space="preserve"> 保守サービス </v>
      </c>
      <c r="AX58" s="24">
        <f>IF(中間データDSPA!P15=2,代ホ_入力フォームDSPA!M33,代ホ_入力フォームDSPA!BI134)</f>
        <v>0</v>
      </c>
      <c r="AY58" s="24">
        <f>IF(中間データDSPA!$P15=2,代ホ_入力フォームDSPA!$AD$33,代ホ_入力フォームDSPA!$BN$134)</f>
        <v>0</v>
      </c>
      <c r="AZ58" s="24">
        <f>IF(中間データDSPA!P15=2,代ホ_入力フォームDSPA!$AU$33,代ホ_入力フォームDSPA!$BS$134)</f>
        <v>0</v>
      </c>
      <c r="BA58" s="24" t="str">
        <f>IF(中間データDSPA!P15=2,代ホ_入力フォームDSPA!$M$35&amp;"　"&amp;代ホ_入力フォームDSPA!$AM$35,代ホ_入力フォームDSPA!$CA$134&amp;"　"&amp;代ホ_入力フォームDSPA!$CM$134)</f>
        <v>　</v>
      </c>
      <c r="BB58" s="24">
        <f>IF(中間データDSPA!$P15=2,代ホ_入力フォームDSPA!G40,代ホ_入力フォームDSPA!$DB$134)</f>
        <v>0</v>
      </c>
      <c r="BC58" s="24" t="e">
        <f t="shared" si="67"/>
        <v>#N/A</v>
      </c>
      <c r="BD58" s="24" t="s">
        <v>888</v>
      </c>
      <c r="BE58" s="24" t="e">
        <f t="shared" si="68"/>
        <v>#N/A</v>
      </c>
      <c r="BF58" s="24" t="e">
        <f t="shared" si="68"/>
        <v>#N/A</v>
      </c>
      <c r="BH58" s="24" t="s">
        <v>132</v>
      </c>
      <c r="BI58" s="24" t="e">
        <f>IF(代ホ_入力フォームDSPA!Z134=0,AB15,代ホ_入力フォームDSPA!Z134)</f>
        <v>#N/A</v>
      </c>
      <c r="BJ58" s="402"/>
      <c r="BK58" s="402"/>
      <c r="BL58" s="24" t="e">
        <f t="shared" si="69"/>
        <v>#N/A</v>
      </c>
      <c r="BM58" s="24" t="e">
        <f t="shared" si="69"/>
        <v>#N/A</v>
      </c>
      <c r="BN58" s="24" t="str">
        <f>IF(代ホ_入力フォームDSPA!CH115="あり","HDD引渡しオプション","")</f>
        <v/>
      </c>
      <c r="BO58" s="24" t="str">
        <f>BO54</f>
        <v/>
      </c>
      <c r="BP58" s="402"/>
      <c r="BQ58" s="402"/>
      <c r="BR58" s="402"/>
      <c r="BS58" s="402"/>
      <c r="BT58" s="402"/>
      <c r="BU58" s="402"/>
      <c r="BV58" s="402"/>
      <c r="BW58" s="402"/>
      <c r="BX58" s="402"/>
      <c r="BY58" s="402"/>
      <c r="BZ58" s="402"/>
      <c r="CA58" s="402"/>
      <c r="CB58" s="402"/>
      <c r="CC58" s="402"/>
      <c r="CD58" s="320" t="e">
        <f t="shared" si="70"/>
        <v>#N/A</v>
      </c>
      <c r="CE58" s="320" t="str">
        <f t="shared" si="73"/>
        <v/>
      </c>
      <c r="CF58" s="24" t="s">
        <v>999</v>
      </c>
      <c r="CG58" s="24" t="e">
        <f t="shared" si="71"/>
        <v>#N/A</v>
      </c>
      <c r="CH58" s="24" t="e">
        <f t="shared" si="71"/>
        <v>#N/A</v>
      </c>
      <c r="CI58" s="24" t="e">
        <f t="shared" si="71"/>
        <v>#N/A</v>
      </c>
      <c r="CJ58" s="24" t="e">
        <f t="shared" si="71"/>
        <v>#N/A</v>
      </c>
      <c r="CK58" s="24" t="e">
        <f t="shared" si="71"/>
        <v>#N/A</v>
      </c>
      <c r="CL58" s="24" t="s">
        <v>999</v>
      </c>
      <c r="CM58" s="24" t="e">
        <f t="shared" si="71"/>
        <v>#N/A</v>
      </c>
      <c r="CN58" s="24" t="e">
        <f t="shared" si="71"/>
        <v>#N/A</v>
      </c>
      <c r="CO58" s="24" t="e">
        <f t="shared" si="71"/>
        <v>#N/A</v>
      </c>
      <c r="CP58" s="24" t="e">
        <f t="shared" si="71"/>
        <v>#N/A</v>
      </c>
      <c r="CQ58" s="24" t="e">
        <f t="shared" si="71"/>
        <v>#N/A</v>
      </c>
      <c r="CR58" s="305"/>
      <c r="CS58" s="305"/>
      <c r="CT58" s="305"/>
      <c r="CU58" s="305"/>
      <c r="CV58" s="24">
        <v>1</v>
      </c>
      <c r="CW58" s="296"/>
      <c r="CX58" s="296"/>
      <c r="CY58" s="296"/>
      <c r="CZ58" s="296"/>
      <c r="DA58" s="296"/>
      <c r="DB58" s="296"/>
      <c r="DC58" s="296"/>
      <c r="DD58" s="296"/>
      <c r="DE58" s="296"/>
      <c r="DF58" s="296"/>
      <c r="DG58" s="296"/>
      <c r="DH58" s="296"/>
      <c r="DI58" s="296"/>
      <c r="DJ58" s="296"/>
      <c r="DK58" s="296"/>
      <c r="DL58" s="296"/>
      <c r="DM58" s="296"/>
    </row>
    <row r="60" spans="1:117" ht="11">
      <c r="A60" s="317" t="s">
        <v>1022</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8"/>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17"/>
      <c r="DB60" s="317"/>
      <c r="DC60" s="317"/>
      <c r="DD60" s="317"/>
      <c r="DE60" s="317"/>
      <c r="DF60" s="317"/>
      <c r="DG60" s="317"/>
      <c r="DH60" s="317"/>
      <c r="DI60" s="317"/>
      <c r="DJ60" s="317"/>
      <c r="DK60" s="317"/>
      <c r="DL60" s="317"/>
      <c r="DM60" s="317"/>
    </row>
    <row r="61" spans="1:117" ht="11">
      <c r="A61" s="319"/>
      <c r="B61" s="387"/>
      <c r="C61" s="387"/>
      <c r="D61" s="387"/>
      <c r="E61" s="387"/>
      <c r="F61" s="387"/>
      <c r="G61" s="387"/>
      <c r="H61" s="388"/>
      <c r="I61" s="388"/>
      <c r="J61" s="388"/>
      <c r="K61" s="388"/>
      <c r="L61" s="388"/>
      <c r="M61" s="388"/>
      <c r="N61" s="389"/>
      <c r="O61" s="389"/>
      <c r="P61" s="389"/>
      <c r="Q61" s="389"/>
      <c r="R61" s="389"/>
      <c r="S61" s="389"/>
      <c r="T61" s="301"/>
      <c r="U61" s="301"/>
      <c r="V61" s="301"/>
      <c r="W61" s="301"/>
      <c r="X61" s="301"/>
      <c r="Y61" s="301"/>
      <c r="Z61" s="301"/>
      <c r="AA61" s="390"/>
      <c r="AB61" s="390"/>
      <c r="AC61" s="24" t="s">
        <v>1001</v>
      </c>
      <c r="AD61" s="24" t="s">
        <v>957</v>
      </c>
      <c r="AF61" s="24" t="s">
        <v>1002</v>
      </c>
      <c r="AN61" s="302"/>
      <c r="AO61" s="302"/>
      <c r="AP61" s="302"/>
      <c r="AQ61" s="302"/>
      <c r="AR61" s="302"/>
      <c r="AS61" s="302"/>
      <c r="AT61" s="302"/>
      <c r="AW61" s="301"/>
      <c r="BW61" s="24"/>
    </row>
    <row r="62" spans="1:117" ht="11">
      <c r="A62" s="24" t="s">
        <v>1000</v>
      </c>
      <c r="B62" s="298" t="s">
        <v>963</v>
      </c>
      <c r="C62" s="298"/>
      <c r="D62" s="298"/>
      <c r="E62" s="298"/>
      <c r="F62" s="298"/>
      <c r="G62" s="298"/>
      <c r="H62" s="299" t="s">
        <v>964</v>
      </c>
      <c r="I62" s="299"/>
      <c r="J62" s="299"/>
      <c r="K62" s="299"/>
      <c r="L62" s="299"/>
      <c r="M62" s="299"/>
      <c r="N62" s="300" t="s">
        <v>965</v>
      </c>
      <c r="O62" s="300"/>
      <c r="P62" s="300"/>
      <c r="Q62" s="300"/>
      <c r="R62" s="300"/>
      <c r="S62" s="300"/>
      <c r="T62" s="301" t="s">
        <v>966</v>
      </c>
      <c r="U62" s="301"/>
      <c r="V62" s="301"/>
      <c r="W62" s="301"/>
      <c r="X62" s="301"/>
      <c r="Y62" s="301"/>
      <c r="Z62" s="301"/>
      <c r="AA62" s="302" t="s">
        <v>967</v>
      </c>
      <c r="AB62" s="302"/>
      <c r="AG62" s="296"/>
      <c r="BW62" s="297"/>
      <c r="BX62" s="297"/>
      <c r="BY62" s="297"/>
      <c r="CA62" s="303"/>
      <c r="CB62" s="304"/>
      <c r="CD62" s="300"/>
      <c r="CE62" s="300"/>
    </row>
    <row r="63" spans="1:117" ht="11">
      <c r="A63" s="415" t="s">
        <v>10</v>
      </c>
      <c r="B63" s="323" t="s">
        <v>969</v>
      </c>
      <c r="C63" s="323" t="s">
        <v>970</v>
      </c>
      <c r="D63" s="323" t="s">
        <v>971</v>
      </c>
      <c r="E63" s="323" t="s">
        <v>972</v>
      </c>
      <c r="F63" s="323" t="s">
        <v>973</v>
      </c>
      <c r="G63" s="323" t="s">
        <v>974</v>
      </c>
      <c r="H63" s="324" t="s">
        <v>969</v>
      </c>
      <c r="I63" s="324" t="s">
        <v>970</v>
      </c>
      <c r="J63" s="324" t="s">
        <v>971</v>
      </c>
      <c r="K63" s="324" t="s">
        <v>972</v>
      </c>
      <c r="L63" s="324" t="s">
        <v>973</v>
      </c>
      <c r="M63" s="324" t="s">
        <v>974</v>
      </c>
      <c r="N63" s="325" t="s">
        <v>969</v>
      </c>
      <c r="O63" s="325" t="s">
        <v>970</v>
      </c>
      <c r="P63" s="325" t="s">
        <v>971</v>
      </c>
      <c r="Q63" s="325" t="s">
        <v>972</v>
      </c>
      <c r="R63" s="325" t="s">
        <v>973</v>
      </c>
      <c r="S63" s="325" t="s">
        <v>974</v>
      </c>
      <c r="T63" s="326" t="s">
        <v>969</v>
      </c>
      <c r="U63" s="326" t="s">
        <v>970</v>
      </c>
      <c r="V63" s="326" t="s">
        <v>971</v>
      </c>
      <c r="W63" s="326" t="s">
        <v>972</v>
      </c>
      <c r="X63" s="326" t="s">
        <v>973</v>
      </c>
      <c r="Y63" s="326" t="s">
        <v>975</v>
      </c>
      <c r="Z63" s="326" t="s">
        <v>974</v>
      </c>
      <c r="AA63" s="302" t="s">
        <v>11</v>
      </c>
      <c r="AB63" s="302" t="s">
        <v>12</v>
      </c>
      <c r="AC63" s="24" t="s">
        <v>13</v>
      </c>
      <c r="AD63" s="24" t="s">
        <v>14</v>
      </c>
      <c r="AE63" s="330" t="s">
        <v>15</v>
      </c>
      <c r="AF63" s="330" t="s">
        <v>16</v>
      </c>
      <c r="AG63" s="280" t="s">
        <v>17</v>
      </c>
      <c r="AH63" s="331" t="s">
        <v>18</v>
      </c>
      <c r="AI63" s="332" t="s">
        <v>19</v>
      </c>
      <c r="AJ63" s="327" t="s">
        <v>20</v>
      </c>
      <c r="AK63" s="327" t="s">
        <v>21</v>
      </c>
      <c r="AL63" s="327" t="s">
        <v>22</v>
      </c>
      <c r="AM63" s="327" t="s">
        <v>23</v>
      </c>
      <c r="AN63" s="302" t="s">
        <v>24</v>
      </c>
      <c r="AO63" s="302" t="s">
        <v>25</v>
      </c>
      <c r="AP63" s="302" t="s">
        <v>26</v>
      </c>
      <c r="AQ63" s="302" t="s">
        <v>27</v>
      </c>
      <c r="AR63" s="302" t="s">
        <v>28</v>
      </c>
      <c r="AS63" s="302" t="s">
        <v>133</v>
      </c>
      <c r="AT63" s="302" t="s">
        <v>31</v>
      </c>
      <c r="AU63" s="296" t="s">
        <v>29</v>
      </c>
      <c r="AV63" s="296" t="s">
        <v>30</v>
      </c>
      <c r="AW63" s="296" t="s">
        <v>107</v>
      </c>
      <c r="AX63" s="296" t="s">
        <v>108</v>
      </c>
      <c r="AY63" s="296" t="s">
        <v>11</v>
      </c>
      <c r="AZ63" s="296" t="s">
        <v>109</v>
      </c>
      <c r="BA63" s="296" t="s">
        <v>110</v>
      </c>
      <c r="BB63" s="296" t="s">
        <v>111</v>
      </c>
      <c r="BC63" s="333" t="s">
        <v>112</v>
      </c>
      <c r="BD63" s="296" t="s">
        <v>115</v>
      </c>
      <c r="BE63" s="296" t="s">
        <v>116</v>
      </c>
      <c r="BF63" s="296" t="s">
        <v>113</v>
      </c>
      <c r="BG63" s="24" t="s">
        <v>117</v>
      </c>
      <c r="BH63" s="296" t="s">
        <v>118</v>
      </c>
      <c r="BI63" s="296" t="s">
        <v>114</v>
      </c>
      <c r="BJ63" s="296" t="s">
        <v>119</v>
      </c>
      <c r="BK63" s="296" t="s">
        <v>128</v>
      </c>
      <c r="BL63" s="328" t="s">
        <v>503</v>
      </c>
      <c r="BM63" s="328" t="s">
        <v>504</v>
      </c>
      <c r="BN63" s="327" t="s">
        <v>127</v>
      </c>
      <c r="BO63" s="24" t="s">
        <v>980</v>
      </c>
      <c r="BP63" s="24" t="s">
        <v>981</v>
      </c>
      <c r="BQ63" s="327" t="s">
        <v>131</v>
      </c>
      <c r="BR63" s="327" t="s">
        <v>126</v>
      </c>
      <c r="BS63" s="24" t="s">
        <v>982</v>
      </c>
      <c r="BT63" s="24" t="s">
        <v>1003</v>
      </c>
      <c r="BU63" s="24" t="s">
        <v>1004</v>
      </c>
      <c r="BV63" s="24" t="s">
        <v>1005</v>
      </c>
      <c r="BW63" s="310" t="s">
        <v>678</v>
      </c>
      <c r="BX63" s="407" t="s">
        <v>1009</v>
      </c>
      <c r="BY63" s="407" t="s">
        <v>1010</v>
      </c>
      <c r="BZ63" s="310" t="s">
        <v>983</v>
      </c>
      <c r="CA63" s="310" t="s">
        <v>681</v>
      </c>
      <c r="CB63" s="407" t="s">
        <v>1011</v>
      </c>
      <c r="CC63" s="24" t="s">
        <v>683</v>
      </c>
      <c r="CD63" s="300" t="s">
        <v>673</v>
      </c>
      <c r="CE63" s="300" t="s">
        <v>674</v>
      </c>
      <c r="CF63" s="24" t="s">
        <v>984</v>
      </c>
      <c r="CG63" s="24" t="s">
        <v>985</v>
      </c>
      <c r="CH63" s="24" t="s">
        <v>986</v>
      </c>
      <c r="CI63" s="24" t="s">
        <v>987</v>
      </c>
      <c r="CJ63" s="24" t="s">
        <v>988</v>
      </c>
      <c r="CK63" s="24" t="s">
        <v>989</v>
      </c>
      <c r="CL63" s="24" t="s">
        <v>990</v>
      </c>
      <c r="CM63" s="24" t="s">
        <v>991</v>
      </c>
      <c r="CN63" s="24" t="s">
        <v>992</v>
      </c>
      <c r="CO63" s="24" t="s">
        <v>993</v>
      </c>
      <c r="CP63" s="24" t="s">
        <v>994</v>
      </c>
      <c r="CQ63" s="24" t="s">
        <v>995</v>
      </c>
      <c r="CR63" s="24" t="s">
        <v>996</v>
      </c>
      <c r="CS63" s="24" t="s">
        <v>1006</v>
      </c>
      <c r="CT63" s="24" t="s">
        <v>1007</v>
      </c>
      <c r="CU63" s="24" t="s">
        <v>934</v>
      </c>
      <c r="CV63" s="24" t="s">
        <v>954</v>
      </c>
      <c r="CW63" s="24" t="s">
        <v>1152</v>
      </c>
      <c r="CX63" s="24" t="s">
        <v>1153</v>
      </c>
      <c r="CY63" s="24" t="s">
        <v>1154</v>
      </c>
      <c r="CZ63" s="24" t="s">
        <v>1155</v>
      </c>
      <c r="DA63" s="24" t="s">
        <v>1156</v>
      </c>
      <c r="DB63" s="24" t="s">
        <v>1157</v>
      </c>
      <c r="DC63" s="24" t="s">
        <v>1158</v>
      </c>
      <c r="DD63" s="24" t="s">
        <v>1159</v>
      </c>
      <c r="DE63" s="24" t="s">
        <v>1196</v>
      </c>
      <c r="DF63" s="24" t="s">
        <v>1210</v>
      </c>
      <c r="DG63" s="24" t="s">
        <v>1309</v>
      </c>
      <c r="DH63" s="24" t="s">
        <v>1367</v>
      </c>
      <c r="DI63" s="24" t="s">
        <v>1593</v>
      </c>
      <c r="DJ63" s="24" t="s">
        <v>1544</v>
      </c>
      <c r="DK63" s="24" t="s">
        <v>1580</v>
      </c>
      <c r="DL63" s="24" t="s">
        <v>1598</v>
      </c>
      <c r="DM63" s="24" t="s">
        <v>1599</v>
      </c>
    </row>
    <row r="64" spans="1:117">
      <c r="A64" s="329" t="s">
        <v>1031</v>
      </c>
      <c r="B64" s="24" t="e">
        <f t="shared" ref="B64:M64" si="74">B$3</f>
        <v>#N/A</v>
      </c>
      <c r="C64" s="24" t="e">
        <f t="shared" si="74"/>
        <v>#N/A</v>
      </c>
      <c r="D64" s="24" t="e">
        <f t="shared" si="74"/>
        <v>#N/A</v>
      </c>
      <c r="E64" s="24" t="e">
        <f t="shared" si="74"/>
        <v>#N/A</v>
      </c>
      <c r="F64" s="24" t="str">
        <f t="shared" si="74"/>
        <v>未記入</v>
      </c>
      <c r="G64" s="24" t="e">
        <f t="shared" si="74"/>
        <v>#N/A</v>
      </c>
      <c r="H64" s="24" t="e">
        <f t="shared" si="74"/>
        <v>#N/A</v>
      </c>
      <c r="I64" s="24" t="e">
        <f t="shared" si="74"/>
        <v>#N/A</v>
      </c>
      <c r="J64" s="24" t="e">
        <f t="shared" si="74"/>
        <v>#N/A</v>
      </c>
      <c r="K64" s="24" t="e">
        <f t="shared" si="74"/>
        <v>#N/A</v>
      </c>
      <c r="L64" s="24" t="str">
        <f t="shared" si="74"/>
        <v>未記入</v>
      </c>
      <c r="M64" s="24" t="e">
        <f t="shared" si="74"/>
        <v>#N/A</v>
      </c>
      <c r="N64" s="24" t="s">
        <v>380</v>
      </c>
      <c r="O64" s="24" t="s">
        <v>380</v>
      </c>
      <c r="P64" s="24" t="s">
        <v>380</v>
      </c>
      <c r="Q64" s="24" t="s">
        <v>380</v>
      </c>
      <c r="R64" s="24" t="s">
        <v>380</v>
      </c>
      <c r="S64" s="24" t="s">
        <v>380</v>
      </c>
      <c r="T64" s="24" t="e">
        <f t="shared" ref="T64:AB64" si="75">T$3</f>
        <v>#N/A</v>
      </c>
      <c r="U64" s="24" t="e">
        <f t="shared" si="75"/>
        <v>#N/A</v>
      </c>
      <c r="V64" s="24" t="e">
        <f t="shared" si="75"/>
        <v>#N/A</v>
      </c>
      <c r="W64" s="24" t="e">
        <f t="shared" si="75"/>
        <v>#N/A</v>
      </c>
      <c r="X64" s="24" t="str">
        <f t="shared" si="75"/>
        <v>未記入</v>
      </c>
      <c r="Y64" s="24" t="e">
        <f t="shared" si="75"/>
        <v>#N/A</v>
      </c>
      <c r="Z64" s="24" t="e">
        <f t="shared" si="75"/>
        <v>#N/A</v>
      </c>
      <c r="AA64" s="24" t="e">
        <f t="shared" si="75"/>
        <v>#N/A</v>
      </c>
      <c r="AB64" s="24" t="e">
        <f t="shared" si="75"/>
        <v>#N/A</v>
      </c>
      <c r="AC64" s="24" t="str">
        <f>IF(代ホ_入力フォームDSPA!AB145="○ (GIGAスクール)","D-SPA Option License GIGAスクール版",IF(代ホ_入力フォームDSPA!AB145="○ (アカデミック)","D-SPA Option License アカデミック","D-SPA Option License"))</f>
        <v>D-SPA Option License</v>
      </c>
      <c r="AD64" s="305"/>
      <c r="AE64" s="24">
        <f>代ホ_入力フォームDSPA!BV145</f>
        <v>0</v>
      </c>
      <c r="AF64" s="24" t="str">
        <f>IF(OR(COUNTIF(代ホ_入力フォームDSPA!AR145:BE158,"*更新*"),COUNTIF(代ホ_入力フォームDSPA!AR145:BE158,"*追加*")),入力フォームDSPA!BF135,"-01")</f>
        <v>-01</v>
      </c>
      <c r="AG64" s="24" t="str">
        <f>IFERROR(中間データDSPA!H19,"")</f>
        <v/>
      </c>
      <c r="AH64" s="24" t="str">
        <f>IF(中間データDSPA!G19="2000/0/1","",中間データDSPA!G19)</f>
        <v/>
      </c>
      <c r="AI64" s="327" t="str">
        <f>IFERROR(中間データDSPA!I19,"")</f>
        <v/>
      </c>
      <c r="AJ64" s="327" t="str">
        <f>中間データDSPA!T13</f>
        <v/>
      </c>
      <c r="AK64" s="327" t="b">
        <f>中間データDSPA!$T$14</f>
        <v>0</v>
      </c>
      <c r="AL64" s="327" t="b">
        <f>中間データDSPA!$T$16</f>
        <v>0</v>
      </c>
      <c r="AM64" s="24" t="str">
        <f>IF(代ホ_入力フォームDSPA!$AB$151="○ (FE)","APT Protection for D-SPA (FE)",IF(代ホ_入力フォームDSPA!$AB$151="○ (DDI)","APT Protection for D-SPA (DDI)",""))</f>
        <v/>
      </c>
      <c r="AN64" s="24" t="e">
        <f t="shared" ref="AN64:AT64" si="76">AN$3</f>
        <v>#N/A</v>
      </c>
      <c r="AO64" s="24" t="e">
        <f t="shared" si="76"/>
        <v>#N/A</v>
      </c>
      <c r="AP64" s="24" t="e">
        <f t="shared" si="76"/>
        <v>#N/A</v>
      </c>
      <c r="AQ64" s="24" t="e">
        <f t="shared" si="76"/>
        <v>#N/A</v>
      </c>
      <c r="AR64" s="24" t="e">
        <f t="shared" si="76"/>
        <v>#N/A</v>
      </c>
      <c r="AS64" s="24" t="e">
        <f t="shared" si="76"/>
        <v>#N/A</v>
      </c>
      <c r="AT64" s="24" t="e">
        <f t="shared" si="76"/>
        <v>#N/A</v>
      </c>
      <c r="AU64" s="24">
        <f>代ホ_入力フォームDSPA!AR145</f>
        <v>0</v>
      </c>
      <c r="AV64" s="24" t="str">
        <f>IFERROR(AG64*12,"")</f>
        <v/>
      </c>
      <c r="AW64" s="305"/>
      <c r="AX64" s="305"/>
      <c r="AY64" s="305"/>
      <c r="AZ64" s="305"/>
      <c r="BA64" s="305"/>
      <c r="BB64" s="305"/>
      <c r="BC64" s="24" t="e">
        <f t="shared" ref="BC64" si="77">BC$3</f>
        <v>#N/A</v>
      </c>
      <c r="BD64" s="24" t="s">
        <v>888</v>
      </c>
      <c r="BE64" s="24" t="e">
        <f t="shared" ref="BE64:BF64" si="78">BE$45</f>
        <v>#N/A</v>
      </c>
      <c r="BF64" s="24" t="e">
        <f t="shared" si="78"/>
        <v>#N/A</v>
      </c>
      <c r="BG64" s="24">
        <f>代ホ_入力フォームDSPA!AI147</f>
        <v>0</v>
      </c>
      <c r="BH64" s="24" t="s">
        <v>132</v>
      </c>
      <c r="BI64" s="305"/>
      <c r="BJ64" s="305"/>
      <c r="BK64" s="305"/>
      <c r="BL64" s="24" t="e">
        <f t="shared" ref="BL64:BM64" si="79">BL$3</f>
        <v>#N/A</v>
      </c>
      <c r="BM64" s="24" t="e">
        <f t="shared" si="79"/>
        <v>#N/A</v>
      </c>
      <c r="BN64" s="327" t="b">
        <f>中間データDSPA!$T$18</f>
        <v>0</v>
      </c>
      <c r="BO64" s="24" t="str">
        <f>BO54</f>
        <v/>
      </c>
      <c r="BP64" s="305"/>
      <c r="BQ64" s="24" t="b">
        <f>IF(代ホ_入力フォームDSPA!$AB$157="○ あり",中間データDSPA!$T$19&amp;"："&amp;代ホ_入力フォームDSPA!BV157&amp;"L",中間データDSPA!$T$19)</f>
        <v>0</v>
      </c>
      <c r="BR64" s="568" t="str">
        <f>IF(代ホ_入力フォームDSPA!AB155="○ あり","Anti-Virus &amp; Sandbox","")</f>
        <v/>
      </c>
      <c r="BS64" s="305"/>
      <c r="BT64" s="305"/>
      <c r="BU64" s="305"/>
      <c r="BV64" s="305"/>
      <c r="BW64" s="413"/>
      <c r="BX64" s="305"/>
      <c r="BY64" s="305"/>
      <c r="BZ64" s="305"/>
      <c r="CA64" s="305"/>
      <c r="CB64" s="305"/>
      <c r="CC64" s="305"/>
      <c r="CD64" s="24" t="e">
        <f>CD$3</f>
        <v>#N/A</v>
      </c>
      <c r="CE64" s="24" t="str">
        <f t="shared" ref="CE64" si="80">CE$54</f>
        <v/>
      </c>
      <c r="CF64" s="24" t="s">
        <v>999</v>
      </c>
      <c r="CG64" s="24" t="e">
        <f t="shared" ref="CG64:CQ64" si="81">CG$3</f>
        <v>#N/A</v>
      </c>
      <c r="CH64" s="24" t="e">
        <f t="shared" si="81"/>
        <v>#N/A</v>
      </c>
      <c r="CI64" s="24" t="e">
        <f t="shared" si="81"/>
        <v>#N/A</v>
      </c>
      <c r="CJ64" s="24" t="e">
        <f t="shared" si="81"/>
        <v>#N/A</v>
      </c>
      <c r="CK64" s="24" t="e">
        <f t="shared" si="81"/>
        <v>#N/A</v>
      </c>
      <c r="CL64" s="24" t="s">
        <v>999</v>
      </c>
      <c r="CM64" s="24" t="e">
        <f t="shared" si="81"/>
        <v>#N/A</v>
      </c>
      <c r="CN64" s="24" t="e">
        <f t="shared" si="81"/>
        <v>#N/A</v>
      </c>
      <c r="CO64" s="24" t="e">
        <f t="shared" si="81"/>
        <v>#N/A</v>
      </c>
      <c r="CP64" s="24" t="e">
        <f t="shared" si="81"/>
        <v>#N/A</v>
      </c>
      <c r="CQ64" s="24" t="e">
        <f t="shared" si="81"/>
        <v>#N/A</v>
      </c>
      <c r="CR64" s="24" t="str">
        <f>IF(代ホ_入力フォームDSPA!$AB$159="○ あり","子ども見守り","")</f>
        <v/>
      </c>
      <c r="CS64" s="24" t="str">
        <f>IF(入力フォームDSPA!$AR$151="○ あり","TRUE","FALSE")</f>
        <v>FALSE</v>
      </c>
      <c r="CT64" s="24" t="str">
        <f>IF(代ホ_入力フォームDSPA!AB157="○ あり",代ホ_入力フォームDSPA!BV157,"")</f>
        <v/>
      </c>
      <c r="CU64" s="24" t="e">
        <f t="shared" ref="CU64" si="82">CU$45</f>
        <v>#N/A</v>
      </c>
      <c r="CV64" s="24">
        <v>1</v>
      </c>
      <c r="CW64" s="296"/>
      <c r="CX64" s="296"/>
      <c r="CY64" s="296"/>
      <c r="CZ64" s="296"/>
      <c r="DA64" s="296"/>
      <c r="DB64" s="296"/>
      <c r="DC64" s="296"/>
      <c r="DD64" s="296"/>
      <c r="DE64" s="296"/>
      <c r="DF64" s="296"/>
      <c r="DG64" s="296"/>
      <c r="DH64" s="296"/>
      <c r="DI64" s="296"/>
      <c r="DJ64" s="296"/>
      <c r="DK64" s="296"/>
      <c r="DL64" s="296"/>
      <c r="DM64" s="296"/>
    </row>
  </sheetData>
  <phoneticPr fontId="68"/>
  <hyperlinks>
    <hyperlink ref="A14" r:id="rId1" xr:uid="{00000000-0004-0000-0E00-000000000000}"/>
  </hyperlinks>
  <printOptions horizontalCentered="1"/>
  <pageMargins left="0.11811023622047245" right="0.11811023622047245" top="0.39370078740157483" bottom="0.19685039370078741" header="0.11811023622047245" footer="0.11811023622047245"/>
  <pageSetup paperSize="9" scale="98" orientation="landscape" horizontalDpi="300" verticalDpi="300" r:id="rId2"/>
  <headerFooter>
    <oddFooter>&amp;LDigital Arts Inc.&amp;C&amp;P ページ&amp;R&amp;D</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tint="0.499984740745262"/>
  </sheetPr>
  <dimension ref="A1:Z98"/>
  <sheetViews>
    <sheetView topLeftCell="M1" workbookViewId="0">
      <selection activeCell="E2" sqref="E2"/>
    </sheetView>
  </sheetViews>
  <sheetFormatPr defaultColWidth="1.26953125" defaultRowHeight="11.25" customHeight="1"/>
  <cols>
    <col min="1" max="1" width="3.7265625" customWidth="1"/>
    <col min="2" max="2" width="3.7265625" style="446" customWidth="1"/>
    <col min="3" max="4" width="3.7265625" customWidth="1"/>
    <col min="5" max="6" width="15" style="446" customWidth="1"/>
    <col min="7" max="7" width="26.36328125" style="446" bestFit="1" customWidth="1"/>
    <col min="8" max="10" width="26.36328125" style="446" customWidth="1"/>
    <col min="11" max="11" width="15" style="446" customWidth="1"/>
    <col min="12" max="12" width="18" style="446" customWidth="1"/>
    <col min="13" max="13" width="41.26953125" style="446" customWidth="1"/>
    <col min="14" max="14" width="15" style="446" customWidth="1"/>
    <col min="15" max="17" width="3.7265625" customWidth="1"/>
    <col min="18" max="18" width="16.26953125" customWidth="1"/>
    <col min="19" max="19" width="2.453125" bestFit="1" customWidth="1"/>
    <col min="20" max="20" width="20.08984375" customWidth="1"/>
    <col min="21" max="21" width="12.453125" customWidth="1"/>
    <col min="23" max="23" width="12.453125" style="446" customWidth="1"/>
    <col min="24" max="24" width="2.6328125" customWidth="1"/>
    <col min="25" max="25" width="20.6328125" customWidth="1"/>
    <col min="26" max="26" width="12.453125" customWidth="1"/>
    <col min="27" max="27" width="2.6328125" customWidth="1"/>
    <col min="32" max="33" width="1.26953125" customWidth="1"/>
  </cols>
  <sheetData>
    <row r="1" spans="1:26" ht="11.25" customHeight="1">
      <c r="A1" s="451" t="s">
        <v>1099</v>
      </c>
      <c r="B1" s="452"/>
      <c r="C1" s="312"/>
      <c r="D1" s="312"/>
      <c r="E1" s="455"/>
      <c r="F1" s="455"/>
      <c r="G1" s="455"/>
      <c r="H1" s="455"/>
      <c r="I1" s="455"/>
      <c r="J1" s="455"/>
      <c r="K1" s="455"/>
      <c r="L1" s="455"/>
      <c r="M1" s="456"/>
      <c r="N1" s="456"/>
      <c r="O1" s="268"/>
      <c r="P1" s="268"/>
      <c r="Q1" s="268"/>
      <c r="R1" s="268"/>
    </row>
    <row r="2" spans="1:26" ht="11.25" customHeight="1">
      <c r="A2" s="492" t="s">
        <v>1087</v>
      </c>
      <c r="B2" s="493"/>
      <c r="C2" s="494"/>
      <c r="D2" s="495"/>
      <c r="E2" s="457" t="str">
        <f>IF(入力フォームiF・mF・FC・iFBC・MA!G25&lt;&gt;"","通常オンプレ",IF(入力フォームDA_Cloud!G25&lt;&gt;"","Cloud",IF(入力フォーム_Desk!G25&lt;&gt;"","desk",IF('入力フォーム_a-FILTER'!G25&lt;&gt;"","a-FILTER",IF('入力フォーム_f-FILTER'!G25&lt;&gt;"","f-FILTER",IF('入力フォーム_Z-FILTER'!G25&lt;&gt;"","Z-FILTER",IF(入力フォームDSPA!G25&lt;&gt;"","通常DSPA",IF(代ホ_入力フォームiF・mF・MA!G25&lt;&gt;"","代ホ_オンプレ",IF(代ホ_入力フォームDSPA!G25&lt;&gt;"","代ホ_DSPA","未記入")))))))))</f>
        <v>未記入</v>
      </c>
      <c r="F2" s="455"/>
      <c r="G2" s="455"/>
      <c r="H2" s="455"/>
      <c r="I2" s="455"/>
      <c r="J2" s="455"/>
      <c r="K2" s="455"/>
      <c r="L2" s="458"/>
      <c r="M2" s="456"/>
      <c r="N2" s="456"/>
      <c r="O2" s="268"/>
      <c r="P2" s="268"/>
      <c r="Q2" s="268"/>
      <c r="R2" s="268"/>
      <c r="T2" s="444" t="s">
        <v>667</v>
      </c>
      <c r="U2" s="445"/>
      <c r="Y2" s="444" t="s">
        <v>1360</v>
      </c>
      <c r="Z2" s="445"/>
    </row>
    <row r="3" spans="1:26" ht="11.25" customHeight="1">
      <c r="B3" s="452"/>
      <c r="C3" s="312"/>
      <c r="D3" s="312"/>
      <c r="E3" s="456"/>
      <c r="F3" s="455"/>
      <c r="G3" s="455"/>
      <c r="H3" s="455"/>
      <c r="I3" s="455"/>
      <c r="J3" s="455"/>
      <c r="K3" s="455"/>
      <c r="L3" s="458"/>
      <c r="M3" s="456"/>
      <c r="N3" s="456"/>
      <c r="O3" s="268"/>
      <c r="P3" s="268"/>
      <c r="Q3" s="268"/>
      <c r="R3" s="268"/>
      <c r="T3" s="447"/>
      <c r="U3" s="448"/>
      <c r="Y3" s="447"/>
      <c r="Z3" s="448"/>
    </row>
    <row r="4" spans="1:26" ht="11.25" customHeight="1">
      <c r="A4" s="484"/>
      <c r="B4" s="485"/>
      <c r="C4" s="486"/>
      <c r="D4" s="487">
        <v>1</v>
      </c>
      <c r="E4" s="488" t="s">
        <v>1089</v>
      </c>
      <c r="F4" s="489" t="s">
        <v>1091</v>
      </c>
      <c r="G4" s="489" t="s">
        <v>1278</v>
      </c>
      <c r="H4" s="489" t="s">
        <v>1591</v>
      </c>
      <c r="I4" s="489" t="s">
        <v>1357</v>
      </c>
      <c r="J4" s="489" t="s">
        <v>1542</v>
      </c>
      <c r="K4" s="489" t="s">
        <v>1092</v>
      </c>
      <c r="L4" s="490" t="s">
        <v>1093</v>
      </c>
      <c r="M4" s="488" t="s">
        <v>1094</v>
      </c>
      <c r="N4" s="491" t="s">
        <v>1090</v>
      </c>
      <c r="O4" s="268"/>
      <c r="P4" s="268"/>
      <c r="Q4" s="268"/>
      <c r="R4" s="268"/>
      <c r="T4" s="447"/>
      <c r="U4" s="448"/>
      <c r="Y4" s="447"/>
      <c r="Z4" s="448"/>
    </row>
    <row r="5" spans="1:26" ht="11.25" customHeight="1">
      <c r="A5" s="482" t="s">
        <v>1064</v>
      </c>
      <c r="B5" s="500"/>
      <c r="C5" s="501"/>
      <c r="D5" s="501">
        <v>2</v>
      </c>
      <c r="E5" s="457" t="str">
        <f>入力フォームiF・mF・FC・iFBC・MA!G20&amp;入力フォームiF・mF・FC・iFBC・MA!J20&amp;入力フォームiF・mF・FC・iFBC・MA!M20&amp;入力フォームiF・mF・FC・iFBC・MA!P20&amp;入力フォームiF・mF・FC・iFBC・MA!U20&amp;入力フォームiF・mF・FC・iFBC・MA!X20&amp;入力フォームiF・mF・FC・iFBC・MA!AC20</f>
        <v>20年月日</v>
      </c>
      <c r="F5" s="483" t="str">
        <f>入力フォームDA_Cloud!G20&amp;入力フォームDA_Cloud!J20&amp;入力フォームDA_Cloud!M20&amp;入力フォームDA_Cloud!P20&amp;入力フォームDA_Cloud!U20&amp;入力フォームDA_Cloud!X20&amp;入力フォームDA_Cloud!AC20</f>
        <v>20年月日</v>
      </c>
      <c r="G5" s="483" t="str">
        <f>入力フォーム_Desk!G20&amp;入力フォーム_Desk!J20&amp;入力フォーム_Desk!M20&amp;入力フォーム_Desk!P20&amp;入力フォーム_Desk!U20&amp;入力フォーム_Desk!X20&amp;入力フォーム_Desk!AC20</f>
        <v>20年月日</v>
      </c>
      <c r="H5" s="483" t="str">
        <f>'入力フォーム_a-FILTER'!G20&amp;'入力フォーム_a-FILTER'!J20&amp;'入力フォーム_a-FILTER'!M20&amp;'入力フォーム_a-FILTER'!P20&amp;'入力フォーム_a-FILTER'!U20&amp;'入力フォーム_a-FILTER'!X20&amp;'入力フォーム_a-FILTER'!AC20</f>
        <v>20年月日</v>
      </c>
      <c r="I5" s="483" t="str">
        <f>'入力フォーム_f-FILTER'!G20&amp;'入力フォーム_f-FILTER'!J20&amp;'入力フォーム_f-FILTER'!M20&amp;'入力フォーム_f-FILTER'!P20&amp;'入力フォーム_f-FILTER'!U20&amp;'入力フォーム_f-FILTER'!X20&amp;'入力フォーム_f-FILTER'!AC20</f>
        <v>20年月日</v>
      </c>
      <c r="J5" s="483" t="str">
        <f>'入力フォーム_Z-FILTER'!G20&amp;'入力フォーム_Z-FILTER'!J20&amp;'入力フォーム_Z-FILTER'!M20&amp;'入力フォーム_Z-FILTER'!P20&amp;'入力フォーム_Z-FILTER'!U20&amp;'入力フォーム_Z-FILTER'!X20&amp;'入力フォーム_Z-FILTER'!AC20</f>
        <v>20年月日</v>
      </c>
      <c r="K5" s="483" t="str">
        <f>入力フォームDSPA!G20&amp;入力フォームDSPA!J20&amp;入力フォームDSPA!M20&amp;入力フォームDSPA!P20&amp;入力フォームDSPA!U20&amp;入力フォームDSPA!X20&amp;入力フォームDSPA!AC20</f>
        <v>20年月日</v>
      </c>
      <c r="L5" s="483" t="str">
        <f>代ホ_入力フォームiF・mF・MA!G20&amp;代ホ_入力フォームiF・mF・MA!J20&amp;代ホ_入力フォームiF・mF・MA!M20&amp;代ホ_入力フォームiF・mF・MA!P20&amp;代ホ_入力フォームiF・mF・MA!U20&amp;代ホ_入力フォームiF・mF・MA!X20&amp;代ホ_入力フォームiF・mF・MA!AC20</f>
        <v>20年月日</v>
      </c>
      <c r="M5" s="483" t="str">
        <f>代ホ_入力フォームDSPA!G20&amp;代ホ_入力フォームDSPA!J20&amp;代ホ_入力フォームDSPA!M20&amp;代ホ_入力フォームDSPA!P20&amp;代ホ_入力フォームDSPA!U20&amp;代ホ_入力フォームDSPA!X20&amp;代ホ_入力フォームDSPA!AC20</f>
        <v>20年月日</v>
      </c>
      <c r="N5" s="502"/>
      <c r="O5" s="454"/>
      <c r="P5" s="268"/>
      <c r="Q5" s="454"/>
      <c r="R5" s="446" t="str">
        <f>T5&amp;S5</f>
        <v>1</v>
      </c>
      <c r="S5" s="446">
        <f>COUNTIF($T$5:T5,T5)</f>
        <v>1</v>
      </c>
      <c r="T5" s="447" t="str">
        <f>IF(入力フォームiF・mF・FC・iFBC・MA!$BI$54=0,"",入力フォームiF・mF・FC・iFBC・MA!$BI$54)</f>
        <v/>
      </c>
      <c r="U5" s="448" t="str">
        <f>IF(入力フォームiF・mF・FC・iFBC・MA!$CF$54=0,"",入力フォームiF・mF・FC・iFBC・MA!$CF$54)</f>
        <v/>
      </c>
      <c r="W5" s="446" t="str">
        <f>Y5&amp;X5</f>
        <v>1</v>
      </c>
      <c r="X5" s="446">
        <f>COUNTIF($Y$5:Y5,Y5)</f>
        <v>1</v>
      </c>
      <c r="Y5" s="447" t="str">
        <f>IF('入力フォーム_f-FILTER'!BI54=0,"",'入力フォーム_f-FILTER'!BI54)</f>
        <v/>
      </c>
      <c r="Z5" s="448" t="str">
        <f>IF('入力フォーム_f-FILTER'!CF54=0,"",'入力フォーム_f-FILTER'!CF54)</f>
        <v/>
      </c>
    </row>
    <row r="6" spans="1:26" ht="11.25" customHeight="1">
      <c r="A6" s="588" t="s">
        <v>1080</v>
      </c>
      <c r="C6" s="268"/>
      <c r="D6" s="466">
        <v>3</v>
      </c>
      <c r="E6" s="459">
        <f>入力フォームiF・mF・FC・iFBC・MA!G25</f>
        <v>0</v>
      </c>
      <c r="F6" s="459">
        <f>入力フォームDA_Cloud!G25</f>
        <v>0</v>
      </c>
      <c r="G6" s="459">
        <f>入力フォーム_Desk!G25</f>
        <v>0</v>
      </c>
      <c r="H6" s="459">
        <f>'入力フォーム_a-FILTER'!G25</f>
        <v>0</v>
      </c>
      <c r="I6" s="459">
        <f>'入力フォーム_f-FILTER'!G25</f>
        <v>0</v>
      </c>
      <c r="J6" s="459">
        <f>'入力フォーム_Z-FILTER'!G25</f>
        <v>0</v>
      </c>
      <c r="K6" s="459">
        <f>入力フォームDSPA!G25</f>
        <v>0</v>
      </c>
      <c r="L6" s="459">
        <f>代ホ_入力フォームiF・mF・MA!G25</f>
        <v>0</v>
      </c>
      <c r="M6" s="456">
        <f>代ホ_入力フォームDSPA!G25</f>
        <v>0</v>
      </c>
      <c r="N6" s="473" t="e" cm="1">
        <f t="array" ref="N6">INDEX($E$4:$M$65,D6,MATCH($E$2,$E$4:$M$4,0))</f>
        <v>#N/A</v>
      </c>
      <c r="O6" s="268"/>
      <c r="P6" s="268"/>
      <c r="Q6" s="268"/>
      <c r="R6" s="446" t="str">
        <f>T6&amp;S6</f>
        <v>2</v>
      </c>
      <c r="S6" s="446">
        <f>COUNTIF($T$5:T6,T6)</f>
        <v>2</v>
      </c>
      <c r="T6" s="447" t="str">
        <f>IF(入力フォームiF・mF・FC・iFBC・MA!$BI$56=0,"",入力フォームiF・mF・FC・iFBC・MA!$BI$56)</f>
        <v/>
      </c>
      <c r="U6" s="448" t="str">
        <f>IF(入力フォームiF・mF・FC・iFBC・MA!$CF$56=0,"",入力フォームiF・mF・FC・iFBC・MA!$CF$56)</f>
        <v/>
      </c>
      <c r="W6" s="446" t="str">
        <f t="shared" ref="W6:W17" si="0">Y6&amp;X6</f>
        <v>2</v>
      </c>
      <c r="X6" s="446">
        <f>COUNTIF($Y$5:Y6,Y6)</f>
        <v>2</v>
      </c>
      <c r="Y6" s="447" t="str">
        <f>IF('入力フォーム_f-FILTER'!BI56=0,"",'入力フォーム_f-FILTER'!BI56)</f>
        <v/>
      </c>
      <c r="Z6" s="448" t="str">
        <f>IF('入力フォーム_f-FILTER'!CF56=0,"",'入力フォーム_f-FILTER'!CF56)</f>
        <v/>
      </c>
    </row>
    <row r="7" spans="1:26" ht="11.25" customHeight="1">
      <c r="A7" s="588" t="s">
        <v>1081</v>
      </c>
      <c r="D7" s="268">
        <v>4</v>
      </c>
      <c r="E7" s="459">
        <f>入力フォームiF・mF・FC・iFBC・MA!AJ25</f>
        <v>0</v>
      </c>
      <c r="F7" s="459">
        <f>入力フォームDA_Cloud!AJ25</f>
        <v>0</v>
      </c>
      <c r="G7" s="459">
        <f>入力フォーム_Desk!AJ25</f>
        <v>0</v>
      </c>
      <c r="H7" s="459">
        <f>'入力フォーム_a-FILTER'!AJ25</f>
        <v>0</v>
      </c>
      <c r="I7" s="459">
        <f>'入力フォーム_f-FILTER'!AJ25</f>
        <v>0</v>
      </c>
      <c r="J7" s="459">
        <f>'入力フォーム_Z-FILTER'!AJ25</f>
        <v>0</v>
      </c>
      <c r="K7" s="459">
        <f>入力フォームDSPA!AJ25</f>
        <v>0</v>
      </c>
      <c r="L7" s="459">
        <f>代ホ_入力フォームiF・mF・MA!AJ25</f>
        <v>0</v>
      </c>
      <c r="M7" s="456">
        <f>代ホ_入力フォームDSPA!AJ25</f>
        <v>0</v>
      </c>
      <c r="N7" s="467" t="e" cm="1">
        <f t="array" ref="N7">INDEX($E$4:$M$65,D7,MATCH($E$2,$E$4:$M$4,0))</f>
        <v>#N/A</v>
      </c>
      <c r="R7" s="446" t="str">
        <f>T7&amp;S7</f>
        <v>3</v>
      </c>
      <c r="S7" s="446">
        <f>COUNTIF($T$5:T7,T7)</f>
        <v>3</v>
      </c>
      <c r="T7" s="447" t="str">
        <f>IF(入力フォームiF・mF・FC・iFBC・MA!$BI$58=0,"",入力フォームiF・mF・FC・iFBC・MA!$BI$58)</f>
        <v/>
      </c>
      <c r="U7" s="448" t="str">
        <f>IF(入力フォームiF・mF・FC・iFBC・MA!$CF$58=0,"",入力フォームiF・mF・FC・iFBC・MA!$CF$58)</f>
        <v/>
      </c>
      <c r="W7" s="446" t="str">
        <f t="shared" si="0"/>
        <v>3</v>
      </c>
      <c r="X7" s="446">
        <f>COUNTIF($Y$5:Y7,Y7)</f>
        <v>3</v>
      </c>
      <c r="Y7" s="447" t="str">
        <f>IF('入力フォーム_f-FILTER'!BI58=0,"",'入力フォーム_f-FILTER'!BI58)</f>
        <v/>
      </c>
      <c r="Z7" s="448" t="str">
        <f>IF('入力フォーム_f-FILTER'!CF58=0,"",'入力フォーム_f-FILTER'!CF58)</f>
        <v/>
      </c>
    </row>
    <row r="8" spans="1:26" ht="11.25" customHeight="1">
      <c r="A8" s="444" t="s">
        <v>1066</v>
      </c>
      <c r="B8" s="474"/>
      <c r="C8" s="478"/>
      <c r="D8" s="463">
        <v>5</v>
      </c>
      <c r="E8" s="465" t="str">
        <f>IF(入力フォームiF・mF・FC・iFBC・MA!G31="(該当なし)","",入力フォームiF・mF・FC・iFBC・MA!G31)&amp;入力フォームiF・mF・FC・iFBC・MA!Q31&amp;IF(入力フォームiF・mF・FC・iFBC・MA!AZ31="(該当なし)","",入力フォームiF・mF・FC・iFBC・MA!AZ31)</f>
        <v/>
      </c>
      <c r="F8" s="465" t="str">
        <f>IF(入力フォームDA_Cloud!G31="(該当なし)","",入力フォームDA_Cloud!G31)&amp;入力フォームDA_Cloud!Q31&amp;IF(入力フォームDA_Cloud!AZ31="(該当なし)","",入力フォームDA_Cloud!AZ31)</f>
        <v/>
      </c>
      <c r="G8" s="465" t="str">
        <f>IF(入力フォーム_Desk!G31="(該当なし)","",入力フォーム_Desk!G31)&amp;入力フォーム_Desk!Q31&amp;IF(入力フォーム_Desk!AZ31="(該当なし)","",入力フォーム_Desk!AZ31)</f>
        <v/>
      </c>
      <c r="H8" s="465" t="str">
        <f>IF('入力フォーム_a-FILTER'!G31="(該当なし)","",'入力フォーム_a-FILTER'!G31)&amp;'入力フォーム_a-FILTER'!Q31&amp;IF('入力フォーム_a-FILTER'!AZ31="(該当なし)","",'入力フォーム_a-FILTER'!AZ31)</f>
        <v/>
      </c>
      <c r="I8" s="465" t="str">
        <f>IF('入力フォーム_f-FILTER'!G31="(該当なし)","",'入力フォーム_f-FILTER'!G31)&amp;'入力フォーム_f-FILTER'!Q31&amp;IF('入力フォーム_f-FILTER'!AZ31="(該当なし)","",'入力フォーム_f-FILTER'!AZ31)</f>
        <v/>
      </c>
      <c r="J8" s="465" t="str">
        <f>IF('入力フォーム_Z-FILTER'!G31="(該当なし)","",'入力フォーム_Z-FILTER'!G31)&amp;'入力フォーム_Z-FILTER'!Q31&amp;IF('入力フォーム_Z-FILTER'!AZ31="(該当なし)","",'入力フォーム_Z-FILTER'!AZ31)</f>
        <v/>
      </c>
      <c r="K8" s="465" t="str">
        <f>IF(入力フォームDSPA!G31="(該当なし)","",入力フォームDSPA!G31)&amp;入力フォームDSPA!Q31&amp;IF(入力フォームDSPA!AZ31="(該当なし)","",入力フォームDSPA!AZ31)</f>
        <v/>
      </c>
      <c r="L8" s="465">
        <f>代ホ_入力フォームiF・mF・MA!G31</f>
        <v>0</v>
      </c>
      <c r="M8" s="464" t="str">
        <f>IF(ISBLANK(代ホ_入力フォームDSPA!Q31),"",IF(代ホ_入力フォームDSPA!G31="(該当なし)","",代ホ_入力フォームDSPA!G31)&amp;代ホ_入力フォームDSPA!Q31&amp;IF(代ホ_入力フォームDSPA!AZ31="(該当なし)","",代ホ_入力フォームDSPA!AZ31))</f>
        <v/>
      </c>
      <c r="N8" s="476" t="e" cm="1">
        <f t="array" ref="N8">INDEX($E$4:$M$65,D8,MATCH($E$2,$E$4:$M$4,0))</f>
        <v>#N/A</v>
      </c>
      <c r="O8" s="268"/>
      <c r="P8" s="268"/>
      <c r="Q8" s="268"/>
      <c r="R8" s="446" t="str">
        <f>T8&amp;S8</f>
        <v>4</v>
      </c>
      <c r="S8" s="446">
        <f>COUNTIF($T$5:T8,T8)</f>
        <v>4</v>
      </c>
      <c r="T8" s="447" t="str">
        <f>IF(入力フォームiF・mF・FC・iFBC・MA!$BI$60=0,"",入力フォームiF・mF・FC・iFBC・MA!$BI$60)</f>
        <v/>
      </c>
      <c r="U8" s="448" t="str">
        <f>IF(入力フォームiF・mF・FC・iFBC・MA!$CF$60=0,"",入力フォームiF・mF・FC・iFBC・MA!$CF$60)</f>
        <v/>
      </c>
      <c r="W8" s="446" t="str">
        <f t="shared" si="0"/>
        <v>4</v>
      </c>
      <c r="X8" s="446">
        <f>COUNTIF($Y$5:Y8,Y8)</f>
        <v>4</v>
      </c>
      <c r="Y8" s="447" t="str">
        <f>IF('入力フォーム_f-FILTER'!BI60=0,"",'入力フォーム_f-FILTER'!BI60)</f>
        <v/>
      </c>
      <c r="Z8" s="448" t="str">
        <f>IF('入力フォーム_f-FILTER'!CF60=0,"",'入力フォーム_f-FILTER'!CF60)</f>
        <v/>
      </c>
    </row>
    <row r="9" spans="1:26" ht="11.25" customHeight="1">
      <c r="A9" s="447"/>
      <c r="B9" s="446" t="s">
        <v>1067</v>
      </c>
      <c r="C9" s="268"/>
      <c r="D9" s="268">
        <v>6</v>
      </c>
      <c r="E9" s="459" t="str">
        <f>SUBSTITUTE(入力フォームiF・mF・FC・iFBC・MA!AR28,"　","")</f>
        <v/>
      </c>
      <c r="F9" s="459" t="str">
        <f>SUBSTITUTE(入力フォームDA_Cloud!AR28,"　","")</f>
        <v/>
      </c>
      <c r="G9" s="459" t="str">
        <f>SUBSTITUTE(入力フォーム_Desk!AR28,"　","")</f>
        <v/>
      </c>
      <c r="H9" s="459" t="str">
        <f>SUBSTITUTE('入力フォーム_a-FILTER'!AR28,"　","")</f>
        <v/>
      </c>
      <c r="I9" s="459" t="str">
        <f>SUBSTITUTE('入力フォーム_f-FILTER'!AR28,"　","")</f>
        <v/>
      </c>
      <c r="J9" s="459" t="str">
        <f>SUBSTITUTE('入力フォーム_Z-FILTER'!AR28,"　","")</f>
        <v/>
      </c>
      <c r="K9" s="459" t="str">
        <f>SUBSTITUTE(入力フォームDSPA!AR28,"　","")</f>
        <v/>
      </c>
      <c r="L9" s="459" t="s">
        <v>1095</v>
      </c>
      <c r="M9" s="458" t="s">
        <v>1095</v>
      </c>
      <c r="N9" s="467" t="e" cm="1">
        <f t="array" ref="N9">INDEX($E$4:$M$65,D9,MATCH($E$2,$E$4:$M$4,0))</f>
        <v>#N/A</v>
      </c>
      <c r="O9" s="268"/>
      <c r="P9" s="268"/>
      <c r="Q9" s="268"/>
      <c r="R9" s="446" t="str">
        <f>T9&amp;S9</f>
        <v>5</v>
      </c>
      <c r="S9" s="446">
        <f>COUNTIF($T$5:T9,T9)</f>
        <v>5</v>
      </c>
      <c r="T9" s="449" t="str">
        <f>IF(入力フォームiF・mF・FC・iFBC・MA!$BI$62=0,"",入力フォームiF・mF・FC・iFBC・MA!$BI$62)</f>
        <v/>
      </c>
      <c r="U9" s="450" t="str">
        <f>IF(入力フォームiF・mF・FC・iFBC・MA!$CF$62=0,"",入力フォームiF・mF・FC・iFBC・MA!$CF$62)</f>
        <v/>
      </c>
      <c r="W9" s="446" t="str">
        <f t="shared" si="0"/>
        <v>5</v>
      </c>
      <c r="X9" s="446">
        <f>COUNTIF($Y$5:Y9,Y9)</f>
        <v>5</v>
      </c>
      <c r="Y9" s="449" t="str">
        <f>IF('入力フォーム_f-FILTER'!BI62=0,"",'入力フォーム_f-FILTER'!BI62)</f>
        <v/>
      </c>
      <c r="Z9" s="450" t="str">
        <f>IF('入力フォーム_f-FILTER'!CF62=0,"",'入力フォーム_f-FILTER'!CF62)</f>
        <v/>
      </c>
    </row>
    <row r="10" spans="1:26" ht="11.15" customHeight="1">
      <c r="A10" s="447"/>
      <c r="B10" s="446" t="s">
        <v>1068</v>
      </c>
      <c r="C10" s="268"/>
      <c r="D10" s="466">
        <v>7</v>
      </c>
      <c r="E10" s="456">
        <f>入力フォームiF・mF・FC・iFBC・MA!M33</f>
        <v>0</v>
      </c>
      <c r="F10" s="456">
        <f>入力フォームDA_Cloud!M33</f>
        <v>0</v>
      </c>
      <c r="G10" s="456">
        <f>入力フォーム_Desk!M33</f>
        <v>0</v>
      </c>
      <c r="H10" s="456">
        <f>'入力フォーム_a-FILTER'!M33</f>
        <v>0</v>
      </c>
      <c r="I10" s="456">
        <f>'入力フォーム_f-FILTER'!M33</f>
        <v>0</v>
      </c>
      <c r="J10" s="461">
        <f>'入力フォーム_Z-FILTER'!M33</f>
        <v>0</v>
      </c>
      <c r="K10" s="456">
        <f>入力フォームDSPA!M33</f>
        <v>0</v>
      </c>
      <c r="L10" s="456">
        <f>代ホ_入力フォームiF・mF・MA!M33</f>
        <v>0</v>
      </c>
      <c r="M10" s="458">
        <f>代ホ_入力フォームDSPA!M33</f>
        <v>0</v>
      </c>
      <c r="N10" s="619" t="e" cm="1">
        <f t="array" ref="N10">INDEX($E$4:$M$65,D10,MATCH($E$2,$E$4:$M$4,0))</f>
        <v>#N/A</v>
      </c>
      <c r="O10" s="268"/>
      <c r="P10" s="268"/>
      <c r="Q10" s="268"/>
      <c r="W10" s="446" t="str">
        <f t="shared" si="0"/>
        <v/>
      </c>
    </row>
    <row r="11" spans="1:26" ht="11.25" customHeight="1">
      <c r="A11" s="447"/>
      <c r="B11" s="446" t="s">
        <v>1069</v>
      </c>
      <c r="C11" s="268"/>
      <c r="D11" s="268">
        <v>8</v>
      </c>
      <c r="E11" s="456">
        <f>入力フォームiF・mF・FC・iFBC・MA!AD33</f>
        <v>0</v>
      </c>
      <c r="F11" s="456">
        <f>入力フォームDA_Cloud!AD33</f>
        <v>0</v>
      </c>
      <c r="G11" s="613">
        <f>入力フォーム_Desk!AD33</f>
        <v>0</v>
      </c>
      <c r="H11">
        <f>'入力フォーム_a-FILTER'!AD33</f>
        <v>0</v>
      </c>
      <c r="I11" s="446">
        <f>'入力フォーム_f-FILTER'!AD33</f>
        <v>0</v>
      </c>
      <c r="J11" s="670">
        <f>'入力フォーム_Z-FILTER'!AD33</f>
        <v>0</v>
      </c>
      <c r="K11" s="456">
        <f>入力フォームDSPA!AD33</f>
        <v>0</v>
      </c>
      <c r="L11" s="456">
        <f>代ホ_入力フォームiF・mF・MA!AD33</f>
        <v>0</v>
      </c>
      <c r="M11" s="456">
        <f>代ホ_入力フォームDSPA!AD33</f>
        <v>0</v>
      </c>
      <c r="N11" s="619" t="e" cm="1">
        <f t="array" ref="N11">INDEX($E$4:$M$65,D11,MATCH($E$2,$E$4:$M$4,0))</f>
        <v>#N/A</v>
      </c>
      <c r="W11" s="446" t="str">
        <f t="shared" si="0"/>
        <v/>
      </c>
    </row>
    <row r="12" spans="1:26" ht="11.25" customHeight="1">
      <c r="A12" s="447"/>
      <c r="B12" s="446" t="s">
        <v>1070</v>
      </c>
      <c r="D12" s="466">
        <v>9</v>
      </c>
      <c r="E12" s="456">
        <f>入力フォームiF・mF・FC・iFBC・MA!AU33</f>
        <v>0</v>
      </c>
      <c r="F12" s="456">
        <f>入力フォームDA_Cloud!AU33</f>
        <v>0</v>
      </c>
      <c r="G12" s="613">
        <f>入力フォーム_Desk!AU33</f>
        <v>0</v>
      </c>
      <c r="H12">
        <f>'入力フォーム_a-FILTER'!AU33</f>
        <v>0</v>
      </c>
      <c r="I12" s="446">
        <f>'入力フォーム_f-FILTER'!AU33</f>
        <v>0</v>
      </c>
      <c r="J12" s="670">
        <f>'入力フォーム_Z-FILTER'!AU33</f>
        <v>0</v>
      </c>
      <c r="K12" s="456">
        <f>入力フォームDSPA!AU33</f>
        <v>0</v>
      </c>
      <c r="L12" s="456">
        <f>代ホ_入力フォームiF・mF・MA!AU33</f>
        <v>0</v>
      </c>
      <c r="M12" s="456">
        <f>代ホ_入力フォームDSPA!AU33</f>
        <v>0</v>
      </c>
      <c r="N12" s="619" t="e" cm="1">
        <f t="array" ref="N12">INDEX($E$4:$M$65,D12,MATCH($E$2,$E$4:$M$4,0))</f>
        <v>#N/A</v>
      </c>
      <c r="T12" s="444" t="s">
        <v>668</v>
      </c>
      <c r="U12" s="445"/>
      <c r="Y12" s="675" t="s">
        <v>1360</v>
      </c>
      <c r="Z12" s="676"/>
    </row>
    <row r="13" spans="1:26" ht="11.25" customHeight="1">
      <c r="A13" s="447"/>
      <c r="B13" s="446" t="s">
        <v>1071</v>
      </c>
      <c r="D13" s="268">
        <v>10</v>
      </c>
      <c r="E13" s="456">
        <f>入力フォームiF・mF・FC・iFBC・MA!M35</f>
        <v>0</v>
      </c>
      <c r="F13" s="456">
        <f>入力フォームDA_Cloud!M35</f>
        <v>0</v>
      </c>
      <c r="G13" s="613">
        <f>入力フォーム_Desk!M35</f>
        <v>0</v>
      </c>
      <c r="H13">
        <f>'入力フォーム_a-FILTER'!M35</f>
        <v>0</v>
      </c>
      <c r="I13" s="446">
        <f>'入力フォーム_f-FILTER'!M33</f>
        <v>0</v>
      </c>
      <c r="J13" s="670">
        <f>'入力フォーム_Z-FILTER'!M33</f>
        <v>0</v>
      </c>
      <c r="K13" s="456">
        <f>入力フォームDSPA!M35</f>
        <v>0</v>
      </c>
      <c r="L13" s="456">
        <f>代ホ_入力フォームiF・mF・MA!M35</f>
        <v>0</v>
      </c>
      <c r="M13" s="456">
        <f>代ホ_入力フォームDSPA!M35</f>
        <v>0</v>
      </c>
      <c r="N13" s="619" t="e" cm="1">
        <f t="array" ref="N13">INDEX($E$4:$M$65,D13,MATCH($E$2,$E$4:$M$4,0))</f>
        <v>#N/A</v>
      </c>
      <c r="R13" s="446" t="str">
        <f>T13&amp;S13</f>
        <v>1</v>
      </c>
      <c r="S13" s="446">
        <f>COUNTIF($T$13:T13,T13)</f>
        <v>1</v>
      </c>
      <c r="T13" s="447" t="str">
        <f>IF(入力フォームDA_Cloud!$BI$54=0,"",入力フォームDA_Cloud!$BI$54)</f>
        <v/>
      </c>
      <c r="U13" s="448" t="str">
        <f>IF(入力フォームDA_Cloud!$CF$54=0,"",入力フォームDA_Cloud!$CF$54)</f>
        <v/>
      </c>
      <c r="W13" s="446" t="str">
        <f t="shared" si="0"/>
        <v>1</v>
      </c>
      <c r="X13">
        <f>COUNTIF($Y$13:Y13,Y13)</f>
        <v>1</v>
      </c>
      <c r="Y13" s="677" t="str">
        <f>IF('入力フォーム_Z-FILTER'!BI62=0,"",'入力フォーム_Z-FILTER'!BI62)</f>
        <v/>
      </c>
      <c r="Z13" s="678" t="str">
        <f>IF('入力フォーム_Z-FILTER'!CF62=0,"",'入力フォーム_Z-FILTER'!CF62)</f>
        <v/>
      </c>
    </row>
    <row r="14" spans="1:26" ht="11.25" customHeight="1">
      <c r="A14" s="447"/>
      <c r="B14" s="446" t="s">
        <v>1072</v>
      </c>
      <c r="D14" s="466">
        <v>11</v>
      </c>
      <c r="E14" s="456" t="str">
        <f>IF(ISBLANK(入力フォームiF・mF・FC・iFBC・MA!AM35),"",入力フォームiF・mF・FC・iFBC・MA!AM35)</f>
        <v/>
      </c>
      <c r="F14" s="456" t="str">
        <f>IF(ISBLANK(入力フォームDA_Cloud!AM35),"",入力フォームDA_Cloud!AM35)</f>
        <v/>
      </c>
      <c r="G14" s="456" t="str">
        <f>IF(ISBLANK(入力フォーム_Desk!AM35),"",入力フォーム_Desk!AM35)</f>
        <v/>
      </c>
      <c r="H14" s="456" t="str">
        <f>IF(ISBLANK('入力フォーム_a-FILTER'!AM35),"",'入力フォーム_a-FILTER'!AM35)</f>
        <v/>
      </c>
      <c r="I14" s="456" t="str">
        <f>IF(ISBLANK('入力フォーム_f-FILTER'!AM35),"",'入力フォーム_f-FILTER'!AM35)</f>
        <v/>
      </c>
      <c r="J14" s="456" t="str">
        <f>IF(ISBLANK('入力フォーム_Z-FILTER'!AM35),"",'入力フォーム_Z-FILTER'!AM35)</f>
        <v/>
      </c>
      <c r="K14" s="456" t="str">
        <f>IF(ISBLANK(入力フォームDSPA!AM35),"",入力フォームDSPA!AM35)</f>
        <v/>
      </c>
      <c r="L14" s="456" t="str">
        <f>IF(ISBLANK(代ホ_入力フォームiF・mF・MA!AM35),"",代ホ_入力フォームiF・mF・MA!AM35)</f>
        <v/>
      </c>
      <c r="M14" s="456" t="str">
        <f>IF(ISBLANK(代ホ_入力フォームDSPA!AM35),"",代ホ_入力フォームDSPA!AM35)</f>
        <v/>
      </c>
      <c r="N14" s="619" t="e" cm="1">
        <f t="array" ref="N14">INDEX($E$4:$M$65,D14,MATCH($E$2,$E$4:$M$4,0))</f>
        <v>#N/A</v>
      </c>
      <c r="R14" s="446" t="str">
        <f>T14&amp;S14</f>
        <v>2</v>
      </c>
      <c r="S14" s="446">
        <f>COUNTIF($T$13:T14,T14)</f>
        <v>2</v>
      </c>
      <c r="T14" s="447" t="str">
        <f>IF(入力フォームDA_Cloud!$BI$56=0,"",入力フォームDA_Cloud!$BI$56)</f>
        <v/>
      </c>
      <c r="U14" s="448" t="str">
        <f>IF(入力フォームDA_Cloud!$CF$56=0,"",入力フォームDA_Cloud!$CF$56)</f>
        <v/>
      </c>
      <c r="W14" s="446" t="str">
        <f t="shared" si="0"/>
        <v>2</v>
      </c>
      <c r="X14">
        <f>COUNTIF($Y$13:Y14,Y14)</f>
        <v>2</v>
      </c>
      <c r="Y14" s="677" t="str">
        <f>IF('入力フォーム_Z-FILTER'!BI64=0,"",'入力フォーム_Z-FILTER'!BI64)</f>
        <v/>
      </c>
      <c r="Z14" s="678" t="str">
        <f>IF('入力フォーム_Z-FILTER'!CF64=0,"",'入力フォーム_Z-FILTER'!CF64)</f>
        <v/>
      </c>
    </row>
    <row r="15" spans="1:26" ht="11.25" customHeight="1">
      <c r="A15" s="447"/>
      <c r="B15" s="446" t="s">
        <v>1073</v>
      </c>
      <c r="D15" s="268">
        <v>12</v>
      </c>
      <c r="E15" s="456">
        <f>入力フォームiF・mF・FC・iFBC・MA!G37</f>
        <v>0</v>
      </c>
      <c r="F15" s="456">
        <f>入力フォームDA_Cloud!G37</f>
        <v>0</v>
      </c>
      <c r="G15" s="456">
        <f>入力フォーム_Desk!G37</f>
        <v>0</v>
      </c>
      <c r="H15" s="456">
        <f>'入力フォーム_a-FILTER'!G37</f>
        <v>0</v>
      </c>
      <c r="I15" s="456">
        <f>'入力フォーム_f-FILTER'!G37</f>
        <v>0</v>
      </c>
      <c r="J15" s="456">
        <f>'入力フォーム_Z-FILTER'!G37</f>
        <v>0</v>
      </c>
      <c r="K15" s="456">
        <f>入力フォームDSPA!G37</f>
        <v>0</v>
      </c>
      <c r="L15" s="456">
        <f>代ホ_入力フォームiF・mF・MA!G37</f>
        <v>0</v>
      </c>
      <c r="M15" s="456">
        <f>代ホ_入力フォームDSPA!G37</f>
        <v>0</v>
      </c>
      <c r="N15" s="467" t="e" cm="1">
        <f t="array" ref="N15">INDEX($E$4:$M$65,D15,MATCH($E$2,$E$4:$M$4,0))</f>
        <v>#N/A</v>
      </c>
      <c r="R15" s="446" t="str">
        <f>T15&amp;S15</f>
        <v>3</v>
      </c>
      <c r="S15" s="446">
        <f>COUNTIF($T$13:T15,T15)</f>
        <v>3</v>
      </c>
      <c r="T15" s="447" t="str">
        <f>IF(入力フォームDA_Cloud!$BI$58=0,"",入力フォームDA_Cloud!$BI$58)</f>
        <v/>
      </c>
      <c r="U15" s="448" t="str">
        <f>IF(入力フォームDA_Cloud!$CF$58=0,"",入力フォームDA_Cloud!$CF$58)</f>
        <v/>
      </c>
      <c r="W15" s="446" t="str">
        <f t="shared" si="0"/>
        <v>3</v>
      </c>
      <c r="X15">
        <f>COUNTIF($Y$13:Y15,Y15)</f>
        <v>3</v>
      </c>
      <c r="Y15" s="677" t="str">
        <f>IF('入力フォーム_Z-FILTER'!BI66=0,"",'入力フォーム_Z-FILTER'!BI66)</f>
        <v/>
      </c>
      <c r="Z15" s="678" t="str">
        <f>IF('入力フォーム_Z-FILTER'!CF66=0,"",'入力フォーム_Z-FILTER'!CF66)</f>
        <v/>
      </c>
    </row>
    <row r="16" spans="1:26" ht="11.25" customHeight="1">
      <c r="A16" s="447"/>
      <c r="B16" s="446" t="s">
        <v>1074</v>
      </c>
      <c r="D16" s="466">
        <v>13</v>
      </c>
      <c r="E16" s="456">
        <f>入力フォームiF・mF・FC・iFBC・MA!AG38</f>
        <v>0</v>
      </c>
      <c r="F16" s="456">
        <f>入力フォームDA_Cloud!AG38</f>
        <v>0</v>
      </c>
      <c r="G16" s="456">
        <f>入力フォーム_Desk!AG38</f>
        <v>0</v>
      </c>
      <c r="H16" s="456">
        <f>'入力フォーム_a-FILTER'!AG38</f>
        <v>0</v>
      </c>
      <c r="I16" s="456">
        <f>'入力フォーム_f-FILTER'!AG38</f>
        <v>0</v>
      </c>
      <c r="J16" s="456">
        <f>'入力フォーム_Z-FILTER'!AG38</f>
        <v>0</v>
      </c>
      <c r="K16" s="456">
        <f>入力フォームDSPA!AG38</f>
        <v>0</v>
      </c>
      <c r="L16" s="456">
        <f>代ホ_入力フォームiF・mF・MA!AG38</f>
        <v>0</v>
      </c>
      <c r="M16" s="456">
        <f>代ホ_入力フォームDSPA!AG38</f>
        <v>0</v>
      </c>
      <c r="N16" s="467" t="e" cm="1">
        <f t="array" ref="N16">INDEX($E$4:$M$65,D16,MATCH($E$2,$E$4:$M$4,0))</f>
        <v>#N/A</v>
      </c>
      <c r="R16" s="446" t="str">
        <f>T16&amp;S16</f>
        <v>4</v>
      </c>
      <c r="S16" s="446">
        <f>COUNTIF($T$13:T16,T16)</f>
        <v>4</v>
      </c>
      <c r="T16" s="447" t="str">
        <f>IF(入力フォームDA_Cloud!$BI$60=0,"",入力フォームDA_Cloud!$BI$60)</f>
        <v/>
      </c>
      <c r="U16" s="448" t="str">
        <f>IF(入力フォームDA_Cloud!$CF$60=0,"",入力フォームDA_Cloud!$CF$60)</f>
        <v/>
      </c>
      <c r="W16" s="446" t="str">
        <f t="shared" si="0"/>
        <v>4</v>
      </c>
      <c r="X16">
        <f>COUNTIF($Y$13:Y16,Y16)</f>
        <v>4</v>
      </c>
      <c r="Y16" s="677" t="str">
        <f>IF('入力フォーム_Z-FILTER'!BI68=0,"",'入力フォーム_Z-FILTER'!BI68)</f>
        <v/>
      </c>
      <c r="Z16" s="678" t="str">
        <f>IF('入力フォーム_Z-FILTER'!CF68=0,"",'入力フォーム_Z-FILTER'!CF68)</f>
        <v/>
      </c>
    </row>
    <row r="17" spans="1:26" ht="11.25" customHeight="1">
      <c r="A17" s="447"/>
      <c r="B17" s="446" t="s">
        <v>1065</v>
      </c>
      <c r="D17" s="268">
        <v>14</v>
      </c>
      <c r="E17" s="456">
        <f>入力フォームiF・mF・FC・iFBC・MA!AT38</f>
        <v>0</v>
      </c>
      <c r="F17" s="456">
        <f>入力フォームDA_Cloud!AT38</f>
        <v>0</v>
      </c>
      <c r="G17" s="456">
        <f>入力フォーム_Desk!AT38</f>
        <v>0</v>
      </c>
      <c r="H17" s="456">
        <f>'入力フォーム_a-FILTER'!AT38</f>
        <v>0</v>
      </c>
      <c r="I17" s="456">
        <f>'入力フォーム_f-FILTER'!AT38</f>
        <v>0</v>
      </c>
      <c r="J17" s="456">
        <f>'入力フォーム_Z-FILTER'!AT38</f>
        <v>0</v>
      </c>
      <c r="K17" s="456">
        <f>入力フォームDSPA!AT38</f>
        <v>0</v>
      </c>
      <c r="L17" s="456">
        <f>代ホ_入力フォームiF・mF・MA!AT38</f>
        <v>0</v>
      </c>
      <c r="M17" s="456">
        <f>代ホ_入力フォームDSPA!AT38</f>
        <v>0</v>
      </c>
      <c r="N17" s="467" t="e" cm="1">
        <f t="array" ref="N17">INDEX($E$4:$M$65,D17,MATCH($E$2,$E$4:$M$4,0))</f>
        <v>#N/A</v>
      </c>
      <c r="R17" s="446" t="str">
        <f>T17&amp;S17</f>
        <v>5</v>
      </c>
      <c r="S17" s="446">
        <f>COUNTIF($T$13:T17,T17)</f>
        <v>5</v>
      </c>
      <c r="T17" s="449" t="str">
        <f>IF(入力フォームDA_Cloud!$BI$62=0,"",入力フォームDA_Cloud!$BI$62)</f>
        <v/>
      </c>
      <c r="U17" s="450" t="str">
        <f>IF(入力フォームDA_Cloud!$CF$62=0,"",入力フォームDA_Cloud!$CF$62)</f>
        <v/>
      </c>
      <c r="W17" s="446" t="str">
        <f t="shared" si="0"/>
        <v>5</v>
      </c>
      <c r="X17">
        <f>COUNTIF($Y$13:Y17,Y17)</f>
        <v>5</v>
      </c>
      <c r="Y17" s="679" t="str">
        <f>IF('入力フォーム_Z-FILTER'!BI70=0,"",'入力フォーム_Z-FILTER'!BI70)</f>
        <v/>
      </c>
      <c r="Z17" s="680" t="str">
        <f>IF('入力フォーム_Z-FILTER'!CF70=0,"",'入力フォーム_Z-FILTER'!CF70)</f>
        <v/>
      </c>
    </row>
    <row r="18" spans="1:26" ht="11.25" customHeight="1">
      <c r="A18" s="447"/>
      <c r="B18" s="446" t="s">
        <v>1075</v>
      </c>
      <c r="D18" s="466">
        <v>15</v>
      </c>
      <c r="E18" s="456">
        <f>入力フォームiF・mF・FC・iFBC・MA!G40</f>
        <v>0</v>
      </c>
      <c r="F18" s="456">
        <f>入力フォームDA_Cloud!G40</f>
        <v>0</v>
      </c>
      <c r="G18" s="456">
        <f>入力フォーム_Desk!G40</f>
        <v>0</v>
      </c>
      <c r="H18" s="456">
        <f>'入力フォーム_a-FILTER'!G40</f>
        <v>0</v>
      </c>
      <c r="I18" s="456">
        <f>'入力フォーム_f-FILTER'!G40</f>
        <v>0</v>
      </c>
      <c r="J18" s="456">
        <f>'入力フォーム_Z-FILTER'!G40</f>
        <v>0</v>
      </c>
      <c r="K18" s="456">
        <f>入力フォームDSPA!G40</f>
        <v>0</v>
      </c>
      <c r="L18" s="456">
        <f>代ホ_入力フォームiF・mF・MA!G40</f>
        <v>0</v>
      </c>
      <c r="M18" s="456">
        <f>代ホ_入力フォームDSPA!G40</f>
        <v>0</v>
      </c>
      <c r="N18" s="467" t="e" cm="1">
        <f t="array" ref="N18">INDEX($E$4:$M$65,D18,MATCH($E$2,$E$4:$M$4,0))</f>
        <v>#N/A</v>
      </c>
      <c r="X18" s="446"/>
    </row>
    <row r="19" spans="1:26" ht="11.25" customHeight="1">
      <c r="A19" s="588"/>
      <c r="B19" s="446" t="s">
        <v>1076</v>
      </c>
      <c r="D19" s="268">
        <v>16</v>
      </c>
      <c r="E19" s="456">
        <f>入力フォームiF・mF・FC・iFBC・MA!AG40</f>
        <v>0</v>
      </c>
      <c r="F19" s="456">
        <f>入力フォームDA_Cloud!AG40</f>
        <v>0</v>
      </c>
      <c r="G19" s="456">
        <f>入力フォーム_Desk!AG40</f>
        <v>0</v>
      </c>
      <c r="H19" s="456">
        <f>'入力フォーム_a-FILTER'!AG40</f>
        <v>0</v>
      </c>
      <c r="I19" s="456">
        <f>'入力フォーム_f-FILTER'!AG40</f>
        <v>0</v>
      </c>
      <c r="J19" s="456">
        <f>'入力フォーム_Z-FILTER'!AG40</f>
        <v>0</v>
      </c>
      <c r="K19" s="456">
        <f>入力フォームDSPA!AG40</f>
        <v>0</v>
      </c>
      <c r="L19" s="456">
        <f>代ホ_入力フォームiF・mF・MA!AG40</f>
        <v>0</v>
      </c>
      <c r="M19" s="456">
        <f>代ホ_入力フォームDSPA!AG40</f>
        <v>0</v>
      </c>
      <c r="N19" s="467" t="e" cm="1">
        <f t="array" ref="N19">INDEX($E$4:$M$65,D19,MATCH($E$2,$E$4:$M$4,0))</f>
        <v>#N/A</v>
      </c>
      <c r="T19" s="584" t="s">
        <v>1301</v>
      </c>
      <c r="U19" s="585"/>
      <c r="X19" s="446"/>
    </row>
    <row r="20" spans="1:26" ht="11.25" customHeight="1">
      <c r="A20" s="449"/>
      <c r="B20" s="468" t="s">
        <v>1077</v>
      </c>
      <c r="C20" s="469"/>
      <c r="D20" s="481">
        <v>17</v>
      </c>
      <c r="E20" s="471" t="str">
        <f>入力フォームiF・mF・FC・iFBC・MA!AZ42</f>
        <v>はい</v>
      </c>
      <c r="F20" s="471" t="str">
        <f>入力フォームDA_Cloud!AZ42</f>
        <v>はい</v>
      </c>
      <c r="G20" s="471" t="str">
        <f>入力フォーム_Desk!AZ42</f>
        <v>はい</v>
      </c>
      <c r="H20" s="471" t="str">
        <f>'入力フォーム_a-FILTER'!AZ42</f>
        <v>はい</v>
      </c>
      <c r="I20" s="471" t="str">
        <f>'入力フォーム_f-FILTER'!AZ42</f>
        <v>はい</v>
      </c>
      <c r="J20" s="471">
        <f>'入力フォーム_Z-FILTER'!AZ42</f>
        <v>0</v>
      </c>
      <c r="K20" s="471" t="str">
        <f>入力フォームDSPA!AZ42</f>
        <v>はい</v>
      </c>
      <c r="L20" s="471" t="str">
        <f>代ホ_入力フォームiF・mF・MA!AZ42</f>
        <v>はい</v>
      </c>
      <c r="M20" s="471" t="str">
        <f>代ホ_入力フォームDSPA!AZ42</f>
        <v>はい</v>
      </c>
      <c r="N20" s="472" t="e" cm="1">
        <f t="array" ref="N20">INDEX($E$4:$M$65,D20,MATCH($E$2,$E$4:$M$4,0))</f>
        <v>#N/A</v>
      </c>
      <c r="R20" s="446" t="str">
        <f>T20&amp;S20</f>
        <v>1</v>
      </c>
      <c r="S20" s="446">
        <f>COUNTIF($T$20:T20,T20)</f>
        <v>1</v>
      </c>
      <c r="T20" s="447" t="str">
        <f>IF(入力フォーム_Desk!BI54=0,"",入力フォーム_Desk!BI54)</f>
        <v/>
      </c>
      <c r="U20" s="448" t="str">
        <f>IF(入力フォーム_Desk!CF54=0,"",入力フォーム_Desk!CF54)</f>
        <v/>
      </c>
    </row>
    <row r="21" spans="1:26" ht="11.25" customHeight="1">
      <c r="A21" s="447" t="s">
        <v>1078</v>
      </c>
      <c r="C21" s="268"/>
      <c r="D21" s="268">
        <v>18</v>
      </c>
      <c r="E21" s="456" t="str">
        <f>入力フォームiF・mF・FC・iFBC・MA!G50</f>
        <v>アイティクラウド株式会社</v>
      </c>
      <c r="F21" s="456" t="str">
        <f>入力フォームDA_Cloud!G50</f>
        <v>アイティクラウド株式会社</v>
      </c>
      <c r="G21" s="456" t="str">
        <f>入力フォーム_Desk!G50</f>
        <v>アイティクラウド株式会社</v>
      </c>
      <c r="H21" s="456" t="str">
        <f>'入力フォーム_a-FILTER'!G50</f>
        <v>アイティクラウド株式会社</v>
      </c>
      <c r="I21" s="456" t="str">
        <f>'入力フォーム_f-FILTER'!G50</f>
        <v>アイティクラウド株式会社</v>
      </c>
      <c r="J21" s="456" t="str">
        <f>'入力フォーム_Z-FILTER'!G58</f>
        <v>アイティクラウド株式会社</v>
      </c>
      <c r="K21" s="456" t="str">
        <f>入力フォームDSPA!G50</f>
        <v>アイティクラウド株式会社</v>
      </c>
      <c r="L21" s="456">
        <f>代ホ_入力フォームiF・mF・MA!G50</f>
        <v>0</v>
      </c>
      <c r="M21" s="456" t="str">
        <f>IF(ISBLANK(代ホ_入力フォームDSPA!Q50),"",IF(代ホ_入力フォームDSPA!G50="(該当なし)","",代ホ_入力フォームDSPA!G50)&amp;代ホ_入力フォームDSPA!Q50&amp;IF(代ホ_入力フォームDSPA!AZ50="(該当なし)","",代ホ_入力フォームDSPA!AZ50))</f>
        <v/>
      </c>
      <c r="N21" s="473" t="e" cm="1">
        <f t="array" ref="N21">INDEX($E$4:$M$65,D21,MATCH($E$2,$E$4:$M$4,0))&amp;U84</f>
        <v>#N/A</v>
      </c>
      <c r="R21" s="446" t="str">
        <f>T21&amp;S21</f>
        <v>2</v>
      </c>
      <c r="S21" s="446">
        <f>COUNTIF($T$20:T21,T21)</f>
        <v>2</v>
      </c>
      <c r="T21" s="447" t="str">
        <f>IF(入力フォーム_Desk!BI56=0,"",入力フォーム_Desk!BI56)</f>
        <v/>
      </c>
      <c r="U21" s="448" t="str">
        <f>IF(入力フォーム_Desk!CF56=0,"",入力フォーム_Desk!CF56)</f>
        <v/>
      </c>
    </row>
    <row r="22" spans="1:26" ht="11.25" customHeight="1">
      <c r="A22" s="447"/>
      <c r="B22" s="446" t="s">
        <v>1068</v>
      </c>
      <c r="C22" s="268"/>
      <c r="D22" s="466">
        <v>19</v>
      </c>
      <c r="E22" s="456" t="str">
        <f>入力フォームiF・mF・FC・iFBC・MA!M52</f>
        <v>105-7511</v>
      </c>
      <c r="F22" s="456" t="str">
        <f>入力フォームDA_Cloud!M52</f>
        <v>105-7511</v>
      </c>
      <c r="G22" s="459" t="str">
        <f>入力フォーム_Desk!M52</f>
        <v>105-7511</v>
      </c>
      <c r="H22" s="446" t="str">
        <f>'入力フォーム_a-FILTER'!M52</f>
        <v>105-7511</v>
      </c>
      <c r="I22" s="446" t="str">
        <f>'入力フォーム_f-FILTER'!M52</f>
        <v>105-7511</v>
      </c>
      <c r="J22" s="670" t="str">
        <f>'入力フォーム_Z-FILTER'!M60</f>
        <v>105-7511</v>
      </c>
      <c r="K22" s="456" t="str">
        <f>入力フォームDSPA!M52</f>
        <v>105-7511</v>
      </c>
      <c r="L22" s="456">
        <f>代ホ_入力フォームiF・mF・MA!M52</f>
        <v>0</v>
      </c>
      <c r="M22" s="456">
        <f>代ホ_入力フォームDSPA!M52</f>
        <v>0</v>
      </c>
      <c r="N22" s="619" t="e" cm="1">
        <f t="array" ref="N22">INDEX($E$4:$M$65,D22,MATCH($E$2,$E$4:$M$4,0))</f>
        <v>#N/A</v>
      </c>
      <c r="R22" s="446" t="str">
        <f>T22&amp;S22</f>
        <v>3</v>
      </c>
      <c r="S22" s="446">
        <f>COUNTIF($T$20:T22,T22)</f>
        <v>3</v>
      </c>
      <c r="T22" s="447" t="str">
        <f>IF(入力フォーム_Desk!BI58=0,"",入力フォーム_Desk!BI58)</f>
        <v/>
      </c>
      <c r="U22" s="448" t="str">
        <f>IF(入力フォーム_Desk!CF58=0,"",入力フォーム_Desk!CF58)</f>
        <v/>
      </c>
    </row>
    <row r="23" spans="1:26" ht="11.25" customHeight="1">
      <c r="A23" s="447"/>
      <c r="B23" s="446" t="s">
        <v>1069</v>
      </c>
      <c r="C23" s="268"/>
      <c r="D23" s="268">
        <v>20</v>
      </c>
      <c r="E23" s="456" t="str">
        <f>入力フォームiF・mF・FC・iFBC・MA!AD52</f>
        <v>東京都</v>
      </c>
      <c r="F23" s="456" t="str">
        <f>入力フォームDA_Cloud!AD52</f>
        <v>東京都</v>
      </c>
      <c r="G23" s="459" t="str">
        <f>入力フォーム_Desk!AD52</f>
        <v>東京都</v>
      </c>
      <c r="H23" s="446" t="str">
        <f>'入力フォーム_a-FILTER'!AD52</f>
        <v>東京都</v>
      </c>
      <c r="I23" s="446" t="str">
        <f>'入力フォーム_f-FILTER'!AD52</f>
        <v>東京都</v>
      </c>
      <c r="J23" s="670" t="str">
        <f>'入力フォーム_Z-FILTER'!AD60</f>
        <v>東京都</v>
      </c>
      <c r="K23" s="456" t="str">
        <f>入力フォームDSPA!AD52</f>
        <v>東京都</v>
      </c>
      <c r="L23" s="456">
        <f>代ホ_入力フォームiF・mF・MA!AD52</f>
        <v>0</v>
      </c>
      <c r="M23" s="456">
        <f>代ホ_入力フォームDSPA!AD52</f>
        <v>0</v>
      </c>
      <c r="N23" s="619" t="e" cm="1">
        <f t="array" ref="N23">INDEX($E$4:$M$65,D23,MATCH($E$2,$E$4:$M$4,0))</f>
        <v>#N/A</v>
      </c>
      <c r="R23" s="446" t="str">
        <f>T23&amp;S23</f>
        <v>4</v>
      </c>
      <c r="S23" s="446">
        <f>COUNTIF($T$20:T23,T23)</f>
        <v>4</v>
      </c>
      <c r="T23" s="447" t="str">
        <f>IF(入力フォーム_Desk!BI60=0,"",入力フォーム_Desk!BI60)</f>
        <v/>
      </c>
      <c r="U23" s="448" t="str">
        <f>IF(入力フォーム_Desk!CF60=0,"",入力フォーム_Desk!CF60)</f>
        <v/>
      </c>
    </row>
    <row r="24" spans="1:26" ht="11.25" customHeight="1">
      <c r="A24" s="447"/>
      <c r="B24" s="446" t="s">
        <v>1070</v>
      </c>
      <c r="D24" s="466">
        <v>21</v>
      </c>
      <c r="E24" s="456" t="str">
        <f>入力フォームiF・mF・FC・iFBC・MA!AU52</f>
        <v>港区</v>
      </c>
      <c r="F24" s="456" t="str">
        <f>入力フォームDA_Cloud!AU52</f>
        <v>港区</v>
      </c>
      <c r="G24" s="459" t="str">
        <f>入力フォーム_Desk!AU52</f>
        <v>港区</v>
      </c>
      <c r="H24" s="446" t="str">
        <f>'入力フォーム_a-FILTER'!AU52</f>
        <v>港区</v>
      </c>
      <c r="I24" s="446" t="str">
        <f>'入力フォーム_f-FILTER'!AU52</f>
        <v>港区</v>
      </c>
      <c r="J24" s="670" t="str">
        <f>'入力フォーム_Z-FILTER'!AU60</f>
        <v>港区</v>
      </c>
      <c r="K24" s="456" t="str">
        <f>入力フォームDSPA!AU52</f>
        <v>港区</v>
      </c>
      <c r="L24" s="456">
        <f>代ホ_入力フォームiF・mF・MA!AU52</f>
        <v>0</v>
      </c>
      <c r="M24" s="456">
        <f>代ホ_入力フォームDSPA!AU52</f>
        <v>0</v>
      </c>
      <c r="N24" s="619" t="e" cm="1">
        <f t="array" ref="N24">INDEX($E$4:$M$65,D24,MATCH($E$2,$E$4:$M$4,0))</f>
        <v>#N/A</v>
      </c>
      <c r="R24" s="446" t="str">
        <f>T24&amp;S24</f>
        <v>5</v>
      </c>
      <c r="S24" s="446">
        <f>COUNTIF($T$20:T24,T24)</f>
        <v>5</v>
      </c>
      <c r="T24" s="447" t="str">
        <f>IF(入力フォーム_Desk!BI62=0,"",入力フォーム_Desk!BI62)</f>
        <v/>
      </c>
      <c r="U24" s="448" t="str">
        <f>IF(入力フォーム_Desk!CF62=0,"",入力フォーム_Desk!CF62)</f>
        <v/>
      </c>
    </row>
    <row r="25" spans="1:26" ht="11.25" customHeight="1">
      <c r="A25" s="447"/>
      <c r="B25" s="446" t="s">
        <v>1071</v>
      </c>
      <c r="D25" s="268">
        <v>22</v>
      </c>
      <c r="E25" s="456" t="str">
        <f>入力フォームiF・mF・FC・iFBC・MA!M54</f>
        <v>海岸１丁目７番１号</v>
      </c>
      <c r="F25" s="456" t="str">
        <f>入力フォームDA_Cloud!M54</f>
        <v>海岸１丁目７番１号</v>
      </c>
      <c r="G25" s="459" t="str">
        <f>入力フォーム_Desk!M54</f>
        <v>海岸１丁目７番１号</v>
      </c>
      <c r="H25" s="446" t="str">
        <f>'入力フォーム_a-FILTER'!M54</f>
        <v>海岸１丁目７番１号</v>
      </c>
      <c r="I25" s="446" t="str">
        <f>'入力フォーム_f-FILTER'!M54</f>
        <v>海岸１丁目７番１号</v>
      </c>
      <c r="J25" s="670" t="str">
        <f>'入力フォーム_Z-FILTER'!M62</f>
        <v>海岸１丁目７番１号</v>
      </c>
      <c r="K25" s="456" t="str">
        <f>入力フォームDSPA!M54</f>
        <v>海岸１丁目７番１号</v>
      </c>
      <c r="L25" s="456">
        <f>代ホ_入力フォームiF・mF・MA!M54</f>
        <v>0</v>
      </c>
      <c r="M25" s="456">
        <f>代ホ_入力フォームDSPA!M54</f>
        <v>0</v>
      </c>
      <c r="N25" s="619" t="e" cm="1">
        <f t="array" ref="N25">INDEX($E$4:$M$65,D25,MATCH($E$2,$E$4:$M$4,0))</f>
        <v>#N/A</v>
      </c>
      <c r="R25" s="446"/>
      <c r="S25" s="446"/>
    </row>
    <row r="26" spans="1:26" ht="11.25" customHeight="1">
      <c r="A26" s="447"/>
      <c r="B26" s="446" t="s">
        <v>1072</v>
      </c>
      <c r="D26" s="466">
        <v>23</v>
      </c>
      <c r="E26" s="456" t="str">
        <f>IF(ISBLANK(入力フォームiF・mF・FC・iFBC・MA!AM54),"",入力フォームiF・mF・FC・iFBC・MA!AM54)</f>
        <v>東京ポートシティ竹芝</v>
      </c>
      <c r="F26" s="456" t="str">
        <f>IF(ISBLANK(入力フォームDA_Cloud!AM54),"",入力フォームDA_Cloud!AM54)</f>
        <v>東京ポートシティ竹芝</v>
      </c>
      <c r="G26" s="459" t="str">
        <f>IF(ISBLANK(入力フォーム_Desk!AM54),"",入力フォーム_Desk!AM54)</f>
        <v>東京ポートシティ竹芝</v>
      </c>
      <c r="H26" s="446" t="str">
        <f>IF(ISBLANK('入力フォーム_a-FILTER'!AM54),"",'入力フォーム_a-FILTER'!AM54)</f>
        <v>東京ポートシティ竹芝</v>
      </c>
      <c r="I26" s="446" t="str">
        <f>IF(ISBLANK('入力フォーム_f-FILTER'!AM54),"",'入力フォーム_f-FILTER'!AM54)</f>
        <v>東京ポートシティ竹芝</v>
      </c>
      <c r="J26" s="446" t="str">
        <f>IF(ISBLANK('入力フォーム_Z-FILTER'!AM62),"",'入力フォーム_Z-FILTER'!AM62)</f>
        <v>東京ポートシティ竹芝</v>
      </c>
      <c r="K26" s="456" t="str">
        <f>IF(ISBLANK(入力フォームDSPA!AM54),"",入力フォームDSPA!AM54)</f>
        <v>東京ポートシティ竹芝</v>
      </c>
      <c r="L26" s="456" t="str">
        <f>IF(ISBLANK(代ホ_入力フォームiF・mF・MA!AM54),"",代ホ_入力フォームiF・mF・MA!AM54)</f>
        <v/>
      </c>
      <c r="M26" s="456" t="str">
        <f>IF(ISBLANK(代ホ_入力フォームDSPA!AM54),"",代ホ_入力フォームDSPA!AM54)</f>
        <v/>
      </c>
      <c r="N26" s="467" t="e" cm="1">
        <f t="array" ref="N26">INDEX($E$4:$M$65,D26,MATCH($E$2,$E$4:$M$4,0))</f>
        <v>#N/A</v>
      </c>
      <c r="R26" s="446"/>
      <c r="T26" s="584" t="s">
        <v>1592</v>
      </c>
      <c r="U26" s="585"/>
    </row>
    <row r="27" spans="1:26" ht="11.25" customHeight="1">
      <c r="A27" s="447"/>
      <c r="B27" s="446" t="s">
        <v>1073</v>
      </c>
      <c r="D27" s="268">
        <v>24</v>
      </c>
      <c r="E27" s="456" t="str">
        <f>入力フォームiF・mF・FC・iFBC・MA!G56</f>
        <v>ＥＣ事業部</v>
      </c>
      <c r="F27" s="456" t="str">
        <f>入力フォームDA_Cloud!G56</f>
        <v>ＥＣ事業部</v>
      </c>
      <c r="G27" s="459" t="str">
        <f>入力フォーム_Desk!G56</f>
        <v>ＥＣ事業部</v>
      </c>
      <c r="H27" s="446" t="str">
        <f>'入力フォーム_a-FILTER'!G56</f>
        <v>ＥＣ事業部</v>
      </c>
      <c r="I27" s="446" t="str">
        <f>'入力フォーム_f-FILTER'!G56</f>
        <v>ＥＣ事業部</v>
      </c>
      <c r="J27" s="446" t="str">
        <f>'入力フォーム_Z-FILTER'!G64</f>
        <v>ＥＣ事業部</v>
      </c>
      <c r="K27" s="456" t="str">
        <f>入力フォームDSPA!G56</f>
        <v>ＥＣ事業部</v>
      </c>
      <c r="L27" s="456">
        <f>代ホ_入力フォームiF・mF・MA!G56</f>
        <v>0</v>
      </c>
      <c r="M27" s="456">
        <f>代ホ_入力フォームDSPA!G56</f>
        <v>0</v>
      </c>
      <c r="N27" s="467" t="e" cm="1">
        <f t="array" ref="N27">INDEX($E$4:$M$65,D27,MATCH($E$2,$E$4:$M$4,0))</f>
        <v>#N/A</v>
      </c>
      <c r="R27" s="446" t="str">
        <f t="shared" ref="R27:R31" si="1">T27&amp;S27</f>
        <v>a-FILTER1</v>
      </c>
      <c r="S27" s="446">
        <f>COUNTIF($T$27:T27,T27)</f>
        <v>1</v>
      </c>
      <c r="T27" s="447" t="str">
        <f>IF('入力フォーム_a-FILTER'!BI54=0,"",'入力フォーム_a-FILTER'!BI54)</f>
        <v>a-FILTER</v>
      </c>
      <c r="U27" s="448" t="str">
        <f>IF('入力フォーム_a-FILTER'!CF54=0,"",'入力フォーム_a-FILTER'!CF54)</f>
        <v/>
      </c>
    </row>
    <row r="28" spans="1:26" ht="11.25" customHeight="1">
      <c r="A28" s="447"/>
      <c r="B28" s="446" t="s">
        <v>1074</v>
      </c>
      <c r="D28" s="466">
        <v>25</v>
      </c>
      <c r="E28" s="456" t="str">
        <f>入力フォームiF・mF・FC・iFBC・MA!AG57</f>
        <v>ライセンス担当者</v>
      </c>
      <c r="F28" s="456" t="str">
        <f>入力フォームDA_Cloud!AG57</f>
        <v>ライセンス担当者</v>
      </c>
      <c r="G28" s="459" t="str">
        <f>入力フォーム_Desk!AG57</f>
        <v>ライセンス担当者</v>
      </c>
      <c r="H28" s="446" t="str">
        <f>'入力フォーム_a-FILTER'!AG57</f>
        <v>ライセンス担当者</v>
      </c>
      <c r="I28" s="446" t="str">
        <f>'入力フォーム_f-FILTER'!AG57</f>
        <v>ライセンス担当者</v>
      </c>
      <c r="J28" s="446" t="str">
        <f>'入力フォーム_Z-FILTER'!AG65</f>
        <v>ライセンス担当者</v>
      </c>
      <c r="K28" s="456" t="str">
        <f>入力フォームDSPA!AG57</f>
        <v>ライセンス担当者</v>
      </c>
      <c r="L28" s="456">
        <f>代ホ_入力フォームiF・mF・MA!AG57</f>
        <v>0</v>
      </c>
      <c r="M28" s="456">
        <f>代ホ_入力フォームDSPA!AG57</f>
        <v>0</v>
      </c>
      <c r="N28" s="467" t="e" cm="1">
        <f t="array" ref="N28">INDEX($E$4:$M$65,D28,MATCH($E$2,$E$4:$M$4,0))</f>
        <v>#N/A</v>
      </c>
      <c r="R28" s="446" t="str">
        <f t="shared" si="1"/>
        <v>1</v>
      </c>
      <c r="S28" s="446">
        <f>COUNTIF($T$27:T28,T28)</f>
        <v>1</v>
      </c>
      <c r="T28" s="447" t="str">
        <f>IF('入力フォーム_a-FILTER'!BI56=0,"",'入力フォーム_a-FILTER'!BI56)</f>
        <v/>
      </c>
      <c r="U28" s="448" t="str">
        <f>IF('入力フォーム_a-FILTER'!CF56=0,"",'入力フォーム_a-FILTER'!CF56)</f>
        <v/>
      </c>
    </row>
    <row r="29" spans="1:26" ht="11.25" customHeight="1">
      <c r="A29" s="447"/>
      <c r="B29" s="446" t="s">
        <v>1065</v>
      </c>
      <c r="D29" s="268">
        <v>26</v>
      </c>
      <c r="E29" s="456">
        <f>入力フォームiF・mF・FC・iFBC・MA!AT57</f>
        <v>0</v>
      </c>
      <c r="F29" s="456">
        <f>入力フォームDA_Cloud!AT57</f>
        <v>0</v>
      </c>
      <c r="G29" s="459">
        <f>入力フォーム_Desk!AT57</f>
        <v>0</v>
      </c>
      <c r="H29" s="446">
        <f>'入力フォーム_a-FILTER'!AT57</f>
        <v>0</v>
      </c>
      <c r="I29" s="446">
        <f>'入力フォーム_f-FILTER'!AT57</f>
        <v>0</v>
      </c>
      <c r="J29" s="446">
        <f>'入力フォーム_Z-FILTER'!AT65</f>
        <v>0</v>
      </c>
      <c r="K29" s="456">
        <f>入力フォームDSPA!AT57</f>
        <v>0</v>
      </c>
      <c r="L29" s="456">
        <f>代ホ_入力フォームiF・mF・MA!AT57</f>
        <v>0</v>
      </c>
      <c r="M29" s="456">
        <f>代ホ_入力フォームDSPA!AT57</f>
        <v>0</v>
      </c>
      <c r="N29" s="467" t="e" cm="1">
        <f t="array" ref="N29">INDEX($E$4:$M$65,D29,MATCH($E$2,$E$4:$M$4,0))</f>
        <v>#N/A</v>
      </c>
      <c r="R29" s="446" t="str">
        <f t="shared" si="1"/>
        <v>2</v>
      </c>
      <c r="S29" s="446">
        <f>COUNTIF($T$27:T29,T29)</f>
        <v>2</v>
      </c>
      <c r="T29" s="447" t="str">
        <f>IF('入力フォーム_a-FILTER'!BI58=0,"",'入力フォーム_a-FILTER'!BI58)</f>
        <v/>
      </c>
      <c r="U29" s="448" t="str">
        <f>IF('入力フォーム_a-FILTER'!CF58=0,"",'入力フォーム_a-FILTER'!CF58)</f>
        <v/>
      </c>
    </row>
    <row r="30" spans="1:26" ht="11.25" customHeight="1">
      <c r="A30" s="447"/>
      <c r="B30" s="446" t="s">
        <v>1075</v>
      </c>
      <c r="D30" s="466">
        <v>27</v>
      </c>
      <c r="E30" s="456">
        <f>入力フォームiF・mF・FC・iFBC・MA!G59</f>
        <v>0</v>
      </c>
      <c r="F30" s="456">
        <f>入力フォームDA_Cloud!G59</f>
        <v>0</v>
      </c>
      <c r="G30" s="459">
        <f>入力フォーム_Desk!G59</f>
        <v>0</v>
      </c>
      <c r="H30" s="446">
        <f>'入力フォーム_a-FILTER'!G59</f>
        <v>0</v>
      </c>
      <c r="I30" s="446">
        <f>'入力フォーム_f-FILTER'!G59</f>
        <v>0</v>
      </c>
      <c r="J30" s="446">
        <f>'入力フォーム_Z-FILTER'!G67</f>
        <v>0</v>
      </c>
      <c r="K30" s="456">
        <f>入力フォームDSPA!G59</f>
        <v>0</v>
      </c>
      <c r="L30" s="456">
        <f>代ホ_入力フォームiF・mF・MA!G59</f>
        <v>0</v>
      </c>
      <c r="M30" s="456">
        <f>代ホ_入力フォームDSPA!G59</f>
        <v>0</v>
      </c>
      <c r="N30" s="467" t="e" cm="1">
        <f t="array" ref="N30">INDEX($E$4:$M$65,D30,MATCH($E$2,$E$4:$M$4,0))</f>
        <v>#N/A</v>
      </c>
      <c r="R30" s="446" t="str">
        <f t="shared" si="1"/>
        <v>3</v>
      </c>
      <c r="S30" s="446">
        <f>COUNTIF($T$27:T30,T30)</f>
        <v>3</v>
      </c>
      <c r="T30" s="447" t="str">
        <f>IF('入力フォーム_a-FILTER'!BI60=0,"",'入力フォーム_a-FILTER'!BI60)</f>
        <v/>
      </c>
      <c r="U30" s="448" t="str">
        <f>IF('入力フォーム_a-FILTER'!CF60=0,"",'入力フォーム_a-FILTER'!CF60)</f>
        <v/>
      </c>
    </row>
    <row r="31" spans="1:26" ht="11.25" customHeight="1">
      <c r="A31" s="588"/>
      <c r="B31" s="446" t="s">
        <v>1076</v>
      </c>
      <c r="D31" s="268">
        <v>28</v>
      </c>
      <c r="E31" s="456" t="str">
        <f>入力フォームiF・mF・FC・iFBC・MA!AG59</f>
        <v>supply.bbss@licenseonline.jp</v>
      </c>
      <c r="F31" s="456" t="str">
        <f>入力フォームDA_Cloud!AG59</f>
        <v>supply.bbss@licenseonline.jp</v>
      </c>
      <c r="G31" s="459" t="str">
        <f>入力フォーム_Desk!AG59</f>
        <v>supply.bbss@licenseonline.jp</v>
      </c>
      <c r="H31" s="446" t="str">
        <f>'入力フォーム_a-FILTER'!AG59</f>
        <v>supply.bbss@licenseonline.jp</v>
      </c>
      <c r="I31" s="446" t="str">
        <f>'入力フォーム_f-FILTER'!AG59</f>
        <v>supply.bbss@licenseonline.jp</v>
      </c>
      <c r="J31" s="446" t="str">
        <f>'入力フォーム_Z-FILTER'!AG67</f>
        <v>supply.bbss@licenseonline.jp</v>
      </c>
      <c r="K31" s="456" t="str">
        <f>入力フォームDSPA!AG59</f>
        <v>supply.bbss@licenseonline.jp</v>
      </c>
      <c r="L31" s="456">
        <f>代ホ_入力フォームiF・mF・MA!AG59</f>
        <v>0</v>
      </c>
      <c r="M31" s="456">
        <f>代ホ_入力フォームDSPA!AG59</f>
        <v>0</v>
      </c>
      <c r="N31" s="467" t="e" cm="1">
        <f t="array" ref="N31">INDEX($E$4:$M$65,D31,MATCH($E$2,$E$4:$M$4,0))</f>
        <v>#N/A</v>
      </c>
      <c r="R31" s="446" t="str">
        <f t="shared" si="1"/>
        <v>4</v>
      </c>
      <c r="S31" s="446">
        <f>COUNTIF($T$27:T31,T31)</f>
        <v>4</v>
      </c>
      <c r="T31" s="447" t="str">
        <f>IF('入力フォーム_a-FILTER'!BI62=0,"",'入力フォーム_a-FILTER'!BI62)</f>
        <v/>
      </c>
      <c r="U31" s="448" t="str">
        <f>IF('入力フォーム_a-FILTER'!CF62=0,"",'入力フォーム_a-FILTER'!CF62)</f>
        <v/>
      </c>
    </row>
    <row r="32" spans="1:26" ht="11.25" customHeight="1">
      <c r="A32" s="447"/>
      <c r="B32" s="446" t="s">
        <v>1077</v>
      </c>
      <c r="D32" s="466">
        <v>29</v>
      </c>
      <c r="E32" s="456" t="str">
        <f>入力フォームiF・mF・FC・iFBC・MA!AZ61</f>
        <v>はい</v>
      </c>
      <c r="F32" s="456" t="str">
        <f>入力フォームDA_Cloud!AZ61</f>
        <v>はい</v>
      </c>
      <c r="G32" s="614" t="str">
        <f>入力フォーム_Desk!AZ61</f>
        <v>はい</v>
      </c>
      <c r="H32" t="str">
        <f>'入力フォーム_a-FILTER'!AZ61</f>
        <v>はい</v>
      </c>
      <c r="I32" s="446" t="str">
        <f>'入力フォーム_f-FILTER'!AZ61</f>
        <v>はい</v>
      </c>
      <c r="J32" s="446" t="str">
        <f>'入力フォーム_Z-FILTER'!AZ69</f>
        <v>はい</v>
      </c>
      <c r="K32" s="456" t="str">
        <f>入力フォームDSPA!AZ61</f>
        <v>はい</v>
      </c>
      <c r="L32" s="456" t="str">
        <f>代ホ_入力フォームiF・mF・MA!AZ61</f>
        <v>はい</v>
      </c>
      <c r="M32" s="456" t="str">
        <f>代ホ_入力フォームiF・mF・MA!AZ61</f>
        <v>はい</v>
      </c>
      <c r="N32" s="467" t="e" cm="1">
        <f t="array" ref="N32">INDEX($E$4:$M$65,D32,MATCH($E$2,$E$4:$M$4,0))</f>
        <v>#N/A</v>
      </c>
    </row>
    <row r="33" spans="1:21" ht="11.25" customHeight="1">
      <c r="A33" s="444" t="s">
        <v>1079</v>
      </c>
      <c r="B33" s="474"/>
      <c r="C33" s="475"/>
      <c r="D33" s="478">
        <v>30</v>
      </c>
      <c r="E33" s="479" t="str">
        <f>""</f>
        <v/>
      </c>
      <c r="F33" s="479" t="str">
        <f>""</f>
        <v/>
      </c>
      <c r="G33" s="462"/>
      <c r="H33" s="479"/>
      <c r="I33" s="479"/>
      <c r="J33" s="479"/>
      <c r="K33" s="479" t="str">
        <f>""</f>
        <v/>
      </c>
      <c r="L33" s="464" t="str">
        <f>IF(ISBLANK(代ホ_入力フォームiF・mF・MA!BX25),"",IF(代ホ_入力フォームiF・mF・MA!BN25="(該当なし)","",代ホ_入力フォームiF・mF・MA!BN25)&amp;代ホ_入力フォームiF・mF・MA!BX25&amp;IF(代ホ_入力フォームiF・mF・MA!CN25="(該当なし)","",代ホ_入力フォームiF・mF・MA!CN25))</f>
        <v/>
      </c>
      <c r="M33" s="464" t="str">
        <f>IF(ISBLANK(代ホ_入力フォームDSPA!BX25),"",IF(代ホ_入力フォームDSPA!BN25="(該当なし)","",代ホ_入力フォームDSPA!BN25)&amp;代ホ_入力フォームDSPA!BX25&amp;IF(代ホ_入力フォームDSPA!CN25="(該当なし)","",代ホ_入力フォームDSPA!CN25))</f>
        <v/>
      </c>
      <c r="N33" s="476" t="e" cm="1">
        <f t="array" ref="N33">INDEX($E$4:$M$65,D33,MATCH($E$2,$E$4:$M$4,0))</f>
        <v>#N/A</v>
      </c>
      <c r="T33" s="444" t="s">
        <v>669</v>
      </c>
      <c r="U33" s="445"/>
    </row>
    <row r="34" spans="1:21" ht="11.25" customHeight="1">
      <c r="A34" s="447"/>
      <c r="B34" s="446" t="s">
        <v>1067</v>
      </c>
      <c r="D34" s="466">
        <v>31</v>
      </c>
      <c r="E34" s="462" t="str">
        <f>""</f>
        <v/>
      </c>
      <c r="F34" s="462" t="str">
        <f>""</f>
        <v/>
      </c>
      <c r="G34" s="462"/>
      <c r="H34" s="462"/>
      <c r="I34" s="462"/>
      <c r="J34" s="462"/>
      <c r="K34" s="462" t="str">
        <f>""</f>
        <v/>
      </c>
      <c r="L34" s="456" t="str">
        <f>SUBSTITUTE(代ホ_入力フォームiF・mF・MA!CZ24,"　","")</f>
        <v/>
      </c>
      <c r="M34" s="456" t="str">
        <f>SUBSTITUTE(代ホ_入力フォームDSPA!CZ24,"　","")</f>
        <v/>
      </c>
      <c r="N34" s="467" t="e" cm="1">
        <f t="array" ref="N34">INDEX($E$4:$M$65,D34,MATCH($E$2,$E$4:$M$4,0))</f>
        <v>#N/A</v>
      </c>
      <c r="R34" s="446" t="str">
        <f>T34&amp;S34</f>
        <v>1</v>
      </c>
      <c r="S34" s="446">
        <f>COUNTIF($T$34:T34,T34)</f>
        <v>1</v>
      </c>
      <c r="T34" s="447" t="str">
        <f>IF(入力フォームDSPA!$BI$54=0,"",入力フォームDSPA!$BI$54)</f>
        <v/>
      </c>
      <c r="U34" s="448" t="str">
        <f>IF(入力フォームDSPA!$CF$54=0,"",入力フォームDSPA!$CF$54)</f>
        <v/>
      </c>
    </row>
    <row r="35" spans="1:21" ht="11.25" customHeight="1">
      <c r="A35" s="447"/>
      <c r="B35" s="446" t="s">
        <v>1068</v>
      </c>
      <c r="D35" s="268">
        <v>32</v>
      </c>
      <c r="E35" s="462" t="str">
        <f>""</f>
        <v/>
      </c>
      <c r="F35" s="462" t="str">
        <f>""</f>
        <v/>
      </c>
      <c r="G35" s="462"/>
      <c r="H35" s="462"/>
      <c r="I35" s="462"/>
      <c r="J35" s="462"/>
      <c r="K35" s="462" t="str">
        <f>""</f>
        <v/>
      </c>
      <c r="L35" s="461">
        <f>代ホ_入力フォームiF・mF・MA!BT27</f>
        <v>0</v>
      </c>
      <c r="M35" s="461">
        <f>代ホ_入力フォームDSPA!BT27</f>
        <v>0</v>
      </c>
      <c r="N35" s="467" t="e" cm="1">
        <f t="array" ref="N35">INDEX($E$4:$M$65,D35,MATCH($E$2,$E$4:$M$4,0))</f>
        <v>#N/A</v>
      </c>
      <c r="R35" s="446" t="str">
        <f>T35&amp;S35</f>
        <v>2</v>
      </c>
      <c r="S35" s="446">
        <f>COUNTIF($T$34:T35,T35)</f>
        <v>2</v>
      </c>
      <c r="T35" s="447" t="str">
        <f>IF(入力フォームDSPA!$BI$56=0,"",入力フォームDSPA!$BI$56)</f>
        <v/>
      </c>
      <c r="U35" s="448" t="str">
        <f>IF(入力フォームDSPA!$CF$56=0,"",入力フォームDSPA!$CF$56)</f>
        <v/>
      </c>
    </row>
    <row r="36" spans="1:21" ht="11.25" customHeight="1">
      <c r="A36" s="447"/>
      <c r="B36" s="446" t="s">
        <v>1069</v>
      </c>
      <c r="D36" s="466">
        <v>33</v>
      </c>
      <c r="E36" s="462" t="str">
        <f>""</f>
        <v/>
      </c>
      <c r="F36" s="462" t="str">
        <f>""</f>
        <v/>
      </c>
      <c r="G36" s="462"/>
      <c r="H36" s="462"/>
      <c r="I36" s="462"/>
      <c r="J36" s="462"/>
      <c r="K36" s="462" t="str">
        <f>""</f>
        <v/>
      </c>
      <c r="L36" s="461">
        <f>代ホ_入力フォームiF・mF・MA!CK27</f>
        <v>0</v>
      </c>
      <c r="M36" s="461">
        <f>代ホ_入力フォームDSPA!CK27</f>
        <v>0</v>
      </c>
      <c r="N36" s="467" t="e" cm="1">
        <f t="array" ref="N36">INDEX($E$4:$M$65,D36,MATCH($E$2,$E$4:$M$4,0))</f>
        <v>#N/A</v>
      </c>
      <c r="R36" s="446" t="str">
        <f>T36&amp;S36</f>
        <v>3</v>
      </c>
      <c r="S36" s="446">
        <f>COUNTIF($T$34:T36,T36)</f>
        <v>3</v>
      </c>
      <c r="T36" s="447" t="str">
        <f>IF(入力フォームDSPA!$BI$58=0,"",入力フォームDSPA!$BI$58)</f>
        <v/>
      </c>
      <c r="U36" s="448" t="str">
        <f>IF(入力フォームDSPA!$CF$58=0,"",入力フォームDSPA!$CF$58)</f>
        <v/>
      </c>
    </row>
    <row r="37" spans="1:21" ht="11.25" customHeight="1">
      <c r="A37" s="447"/>
      <c r="B37" s="446" t="s">
        <v>1070</v>
      </c>
      <c r="D37" s="268">
        <v>34</v>
      </c>
      <c r="E37" s="462" t="str">
        <f>""</f>
        <v/>
      </c>
      <c r="F37" s="462" t="str">
        <f>""</f>
        <v/>
      </c>
      <c r="G37" s="462"/>
      <c r="H37" s="462"/>
      <c r="I37" s="462"/>
      <c r="J37" s="462"/>
      <c r="K37" s="462" t="str">
        <f>""</f>
        <v/>
      </c>
      <c r="L37" s="461">
        <f>代ホ_入力フォームiF・mF・MA!DB27</f>
        <v>0</v>
      </c>
      <c r="M37" s="461">
        <f>代ホ_入力フォームDSPA!DB27</f>
        <v>0</v>
      </c>
      <c r="N37" s="467" t="e" cm="1">
        <f t="array" ref="N37">INDEX($E$4:$M$65,D37,MATCH($E$2,$E$4:$M$4,0))</f>
        <v>#N/A</v>
      </c>
      <c r="R37" s="446" t="str">
        <f>T37&amp;S37</f>
        <v>4</v>
      </c>
      <c r="S37" s="446">
        <f>COUNTIF($T$34:T37,T37)</f>
        <v>4</v>
      </c>
      <c r="T37" s="447" t="str">
        <f>IF(入力フォームDSPA!$BI$60=0,"",入力フォームDSPA!$BI$60)</f>
        <v/>
      </c>
      <c r="U37" s="448" t="str">
        <f>IF(入力フォームDSPA!$CF$60=0,"",入力フォームDSPA!$CF$60)</f>
        <v/>
      </c>
    </row>
    <row r="38" spans="1:21" ht="11.25" customHeight="1">
      <c r="A38" s="447"/>
      <c r="B38" s="446" t="s">
        <v>1071</v>
      </c>
      <c r="D38" s="466">
        <v>35</v>
      </c>
      <c r="E38" s="462" t="str">
        <f>""</f>
        <v/>
      </c>
      <c r="F38" s="462" t="str">
        <f>""</f>
        <v/>
      </c>
      <c r="G38" s="462"/>
      <c r="H38" s="462"/>
      <c r="I38" s="462"/>
      <c r="J38" s="462"/>
      <c r="K38" s="462" t="str">
        <f>""</f>
        <v/>
      </c>
      <c r="L38" s="461">
        <f>代ホ_入力フォームiF・mF・MA!BT29</f>
        <v>0</v>
      </c>
      <c r="M38" s="461">
        <f>代ホ_入力フォームDSPA!BT29</f>
        <v>0</v>
      </c>
      <c r="N38" s="467" t="e" cm="1">
        <f t="array" ref="N38">INDEX($E$4:$M$65,D38,MATCH($E$2,$E$4:$M$4,0))</f>
        <v>#N/A</v>
      </c>
      <c r="R38" s="446" t="str">
        <f>T38&amp;S38</f>
        <v>5</v>
      </c>
      <c r="S38" s="446">
        <f>COUNTIF($T$34:T38,T38)</f>
        <v>5</v>
      </c>
      <c r="T38" s="449" t="str">
        <f>IF(入力フォームDSPA!$BI$62=0,"",入力フォームDSPA!$BI$62)</f>
        <v/>
      </c>
      <c r="U38" s="450" t="str">
        <f>IF(入力フォームDSPA!$CF$62=0,"",入力フォームDSPA!$CF$62)</f>
        <v/>
      </c>
    </row>
    <row r="39" spans="1:21" ht="11.25" customHeight="1">
      <c r="A39" s="449"/>
      <c r="B39" s="468" t="s">
        <v>1072</v>
      </c>
      <c r="C39" s="469"/>
      <c r="D39" s="470">
        <v>36</v>
      </c>
      <c r="E39" s="480" t="str">
        <f>""</f>
        <v/>
      </c>
      <c r="F39" s="480" t="str">
        <f>""</f>
        <v/>
      </c>
      <c r="G39" s="480"/>
      <c r="H39" s="480"/>
      <c r="I39" s="480"/>
      <c r="J39" s="480"/>
      <c r="K39" s="480" t="str">
        <f>""</f>
        <v/>
      </c>
      <c r="L39" s="471" t="str">
        <f>IF(ISBLANK(代ホ_入力フォームiF・mF・MA!CT29),"",代ホ_入力フォームiF・mF・MA!CT29)</f>
        <v/>
      </c>
      <c r="M39" s="471" t="str">
        <f>IF(ISBLANK(代ホ_入力フォームDSPA!CT29),"",代ホ_入力フォームDSPA!CT29)</f>
        <v/>
      </c>
      <c r="N39" s="472" t="e" cm="1">
        <f t="array" ref="N39">INDEX($E$4:$M$65,D39,MATCH($E$2,$E$4:$M$4,0))</f>
        <v>#N/A</v>
      </c>
    </row>
    <row r="40" spans="1:21" ht="11.25" customHeight="1">
      <c r="A40" s="447" t="s">
        <v>1082</v>
      </c>
      <c r="D40" s="466">
        <v>37</v>
      </c>
      <c r="E40" s="459">
        <f>入力フォームiF・mF・FC・iFBC・MA!DE20</f>
        <v>0</v>
      </c>
      <c r="F40" s="459">
        <f>入力フォームDA_Cloud!DE20</f>
        <v>0</v>
      </c>
      <c r="G40">
        <f>入力フォーム_Desk!DE20</f>
        <v>0</v>
      </c>
      <c r="H40" s="615">
        <f>'入力フォーム_a-FILTER'!DE20</f>
        <v>0</v>
      </c>
      <c r="I40" s="459">
        <f>'入力フォーム_f-FILTER'!DE20</f>
        <v>0</v>
      </c>
      <c r="J40" s="459">
        <f>'入力フォーム_Z-FILTER'!DE20</f>
        <v>0</v>
      </c>
      <c r="K40" s="459">
        <f>入力フォームDSPA!DE20</f>
        <v>0</v>
      </c>
      <c r="L40" s="459">
        <f>代ホ_入力フォームiF・mF・MA!DE32</f>
        <v>0</v>
      </c>
      <c r="M40" s="459">
        <f>代ホ_入力フォームDSPA!DE32</f>
        <v>0</v>
      </c>
      <c r="N40" s="473" t="e" cm="1">
        <f t="array" ref="N40">INDEX($E$4:$M$65,D40,MATCH($E$2,$E$4:$M$4,0))</f>
        <v>#N/A</v>
      </c>
    </row>
    <row r="41" spans="1:21" ht="11.25" customHeight="1">
      <c r="A41" s="447"/>
      <c r="B41" s="446" t="s">
        <v>1084</v>
      </c>
      <c r="D41" s="268">
        <v>38</v>
      </c>
      <c r="E41" s="459">
        <f>IF(E$40="同じ",E21,入力フォームiF・mF・FC・iFBC・MA!BN22)</f>
        <v>0</v>
      </c>
      <c r="F41" s="459">
        <f>IF(F$40="同じ",F21,入力フォームDA_Cloud!BN22)</f>
        <v>0</v>
      </c>
      <c r="G41">
        <f>IF($G$40="同じ",G21,入力フォーム_Desk!BN22)</f>
        <v>0</v>
      </c>
      <c r="H41" s="613">
        <f>IF($H$40="同じ",H21,'入力フォーム_a-FILTER'!BN22)</f>
        <v>0</v>
      </c>
      <c r="I41" s="459">
        <f>IF($I$40="同じ",I21,'入力フォーム_f-FILTER'!BN22)</f>
        <v>0</v>
      </c>
      <c r="J41" s="459">
        <f>IF($I$40="同じ",I21,'入力フォーム_Z-FILTER'!BN22)</f>
        <v>0</v>
      </c>
      <c r="K41" s="459">
        <f>IF(K$40="同じ",K21,入力フォームDSPA!BN22)</f>
        <v>0</v>
      </c>
      <c r="L41" s="459">
        <f>IF(L$40="同じ",L21,代ホ_入力フォームiF・mF・MA!BN34)</f>
        <v>0</v>
      </c>
      <c r="M41" s="459">
        <f>IF(M$40="同じ",M21,代ホ_入力フォームDSPA!BN34)</f>
        <v>0</v>
      </c>
      <c r="N41" s="467" t="e" cm="1">
        <f t="array" ref="N41">INDEX($E$4:$M$65,D41,MATCH($E$2,$E$4:$M$4,0))&amp;U92</f>
        <v>#N/A</v>
      </c>
      <c r="R41" s="268"/>
      <c r="T41" s="444" t="s">
        <v>901</v>
      </c>
      <c r="U41" s="445"/>
    </row>
    <row r="42" spans="1:21" ht="11.25" customHeight="1">
      <c r="A42" s="447"/>
      <c r="B42" s="446" t="s">
        <v>1068</v>
      </c>
      <c r="D42" s="466">
        <v>39</v>
      </c>
      <c r="E42" s="459">
        <f>IF(E$40="同じ",E22,入力フォームiF・mF・FC・iFBC・MA!BT24)</f>
        <v>0</v>
      </c>
      <c r="F42" s="459">
        <f>IF(F$40="同じ",F22,入力フォームDA_Cloud!BT24)</f>
        <v>0</v>
      </c>
      <c r="G42">
        <f>IF($G$40="同じ",G22,入力フォーム_Desk!BT24)</f>
        <v>0</v>
      </c>
      <c r="H42" s="613">
        <f>IF($H$40="同じ",H22,'入力フォーム_a-FILTER'!BT24)</f>
        <v>0</v>
      </c>
      <c r="I42" s="459">
        <f>IF($I$40="同じ",I22,'入力フォーム_f-FILTER'!BT24)</f>
        <v>0</v>
      </c>
      <c r="J42" s="459">
        <f>IF($I$40="同じ",I22,'入力フォーム_Z-FILTER'!BT24)</f>
        <v>0</v>
      </c>
      <c r="K42" s="459">
        <f>IF(K$40="同じ",K22,入力フォームDSPA!BT24)</f>
        <v>0</v>
      </c>
      <c r="L42" s="459">
        <f>IF(L$40="同じ",L22,代ホ_入力フォームiF・mF・MA!BT36)</f>
        <v>0</v>
      </c>
      <c r="M42" s="459">
        <f>IF(M$40="同じ",M22,代ホ_入力フォームDSPA!BT36)</f>
        <v>0</v>
      </c>
      <c r="N42" s="467" t="e" cm="1">
        <f t="array" ref="N42">INDEX($E$4:$M$65,D42,MATCH($E$2,$E$4:$M$4,0))</f>
        <v>#N/A</v>
      </c>
      <c r="R42" s="446" t="str">
        <f>T42&amp;S42</f>
        <v>1</v>
      </c>
      <c r="S42" s="446">
        <f>COUNTIF($T$42:T42,T42)</f>
        <v>1</v>
      </c>
      <c r="T42" s="447" t="str">
        <f>IF(代ホ_入力フォームiF・mF・MA!$BI$64=0,"",代ホ_入力フォームiF・mF・MA!$BI$64)</f>
        <v/>
      </c>
      <c r="U42" s="448" t="str">
        <f>IF(代ホ_入力フォームiF・mF・MA!$CF$64=0,"",代ホ_入力フォームiF・mF・MA!$CF$64)</f>
        <v/>
      </c>
    </row>
    <row r="43" spans="1:21" ht="11.25" customHeight="1">
      <c r="A43" s="447"/>
      <c r="B43" s="446" t="s">
        <v>1069</v>
      </c>
      <c r="D43" s="268">
        <v>40</v>
      </c>
      <c r="E43" s="459">
        <f>IF(E$40="同じ",E23,入力フォームiF・mF・FC・iFBC・MA!CK24)</f>
        <v>0</v>
      </c>
      <c r="F43" s="459">
        <f>IF(F$40="同じ",F23,入力フォームDA_Cloud!CK24)</f>
        <v>0</v>
      </c>
      <c r="G43">
        <f>IF($G$40="同じ",G23,入力フォーム_Desk!CK24)</f>
        <v>0</v>
      </c>
      <c r="H43" s="613">
        <f>IF($H$40="同じ",H23,'入力フォーム_a-FILTER'!CK24)</f>
        <v>0</v>
      </c>
      <c r="I43" s="459">
        <f>IF($I$40="同じ",I23,'入力フォーム_f-FILTER'!CK24)</f>
        <v>0</v>
      </c>
      <c r="J43" s="459">
        <f>IF($I$40="同じ",I23,'入力フォーム_Z-FILTER'!CK24)</f>
        <v>0</v>
      </c>
      <c r="K43" s="459">
        <f>IF(K$40="同じ",K23,入力フォームDSPA!CK24)</f>
        <v>0</v>
      </c>
      <c r="L43" s="459">
        <f>IF(L$40="同じ",L23,代ホ_入力フォームiF・mF・MA!CK36)</f>
        <v>0</v>
      </c>
      <c r="M43" s="459">
        <f>IF(M$40="同じ",M23,代ホ_入力フォームDSPA!CK36)</f>
        <v>0</v>
      </c>
      <c r="N43" s="467" t="e" cm="1">
        <f t="array" ref="N43">INDEX($E$4:$M$65,D43,MATCH($E$2,$E$4:$M$4,0))</f>
        <v>#N/A</v>
      </c>
      <c r="R43" s="446" t="str">
        <f>T43&amp;S43</f>
        <v>2</v>
      </c>
      <c r="S43" s="446">
        <f>COUNTIF($T$42:T43,T43)</f>
        <v>2</v>
      </c>
      <c r="T43" s="447" t="str">
        <f>IF(代ホ_入力フォームiF・mF・MA!$BI$66=0,"",代ホ_入力フォームiF・mF・MA!$BI$66)</f>
        <v/>
      </c>
      <c r="U43" s="448" t="str">
        <f>IF(代ホ_入力フォームiF・mF・MA!$CF$66=0,"",代ホ_入力フォームiF・mF・MA!$CF$66)</f>
        <v/>
      </c>
    </row>
    <row r="44" spans="1:21" ht="11.25" customHeight="1">
      <c r="A44" s="447"/>
      <c r="B44" s="446" t="s">
        <v>1070</v>
      </c>
      <c r="D44" s="466">
        <v>41</v>
      </c>
      <c r="E44" s="459">
        <f>IF(E$40="同じ",E24,入力フォームiF・mF・FC・iFBC・MA!DB24)</f>
        <v>0</v>
      </c>
      <c r="F44" s="459">
        <f>IF(F$40="同じ",F24,入力フォームDA_Cloud!DB24)</f>
        <v>0</v>
      </c>
      <c r="G44">
        <f>IF($G$40="同じ",G24,入力フォーム_Desk!DB24)</f>
        <v>0</v>
      </c>
      <c r="H44" s="613">
        <f>IF($H$40="同じ",H24,'入力フォーム_a-FILTER'!DB24)</f>
        <v>0</v>
      </c>
      <c r="I44" s="459">
        <f>IF($I$40="同じ",I24,'入力フォーム_f-FILTER'!DB24)</f>
        <v>0</v>
      </c>
      <c r="J44" s="459">
        <f>IF($I$40="同じ",I24,'入力フォーム_Z-FILTER'!DB24)</f>
        <v>0</v>
      </c>
      <c r="K44" s="459">
        <f>IF(K$40="同じ",K24,入力フォームDSPA!DB24)</f>
        <v>0</v>
      </c>
      <c r="L44" s="459">
        <f>IF(L$40="同じ",L24,代ホ_入力フォームiF・mF・MA!DB36)</f>
        <v>0</v>
      </c>
      <c r="M44" s="459">
        <f>IF(M$40="同じ",M24,代ホ_入力フォームDSPA!DB36)</f>
        <v>0</v>
      </c>
      <c r="N44" s="467" t="e" cm="1">
        <f t="array" ref="N44">INDEX($E$4:$M$65,D44,MATCH($E$2,$E$4:$M$4,0))</f>
        <v>#N/A</v>
      </c>
      <c r="R44" s="446" t="str">
        <f>T44&amp;S44</f>
        <v>3</v>
      </c>
      <c r="S44" s="446">
        <f>COUNTIF($T$42:T44,T44)</f>
        <v>3</v>
      </c>
      <c r="T44" s="447" t="str">
        <f>IF(代ホ_入力フォームiF・mF・MA!$BI$68=0,"",代ホ_入力フォームiF・mF・MA!$BI$68)</f>
        <v/>
      </c>
      <c r="U44" s="448" t="str">
        <f>IF(代ホ_入力フォームiF・mF・MA!$CF$68=0,"",代ホ_入力フォームiF・mF・MA!$CF$68)</f>
        <v/>
      </c>
    </row>
    <row r="45" spans="1:21" ht="11.25" customHeight="1">
      <c r="A45" s="447"/>
      <c r="B45" s="446" t="s">
        <v>1071</v>
      </c>
      <c r="D45" s="268">
        <v>42</v>
      </c>
      <c r="E45" s="459">
        <f>IF(E$40="同じ",E25,入力フォームiF・mF・FC・iFBC・MA!BT26)</f>
        <v>0</v>
      </c>
      <c r="F45" s="459">
        <f>IF(F$40="同じ",F25,入力フォームDA_Cloud!BT26)</f>
        <v>0</v>
      </c>
      <c r="G45">
        <f>IF($G$40="同じ",G25,入力フォーム_Desk!BT26)</f>
        <v>0</v>
      </c>
      <c r="H45" s="613">
        <f>IF($H$40="同じ",H25,'入力フォーム_a-FILTER'!BT26)</f>
        <v>0</v>
      </c>
      <c r="I45" s="459">
        <f>IF($I$40="同じ",I25,'入力フォーム_f-FILTER'!BT26)</f>
        <v>0</v>
      </c>
      <c r="J45" s="459">
        <f>IF($I$40="同じ",I25,'入力フォーム_Z-FILTER'!BT26)</f>
        <v>0</v>
      </c>
      <c r="K45" s="459">
        <f>IF(K$40="同じ",K25,入力フォームDSPA!BT26)</f>
        <v>0</v>
      </c>
      <c r="L45" s="459">
        <f>IF(L$40="同じ",L25,代ホ_入力フォームiF・mF・MA!BT38)</f>
        <v>0</v>
      </c>
      <c r="M45" s="459">
        <f>IF(M$40="同じ",M25,代ホ_入力フォームDSPA!BT38)</f>
        <v>0</v>
      </c>
      <c r="N45" s="467" t="e" cm="1">
        <f t="array" ref="N45">INDEX($E$4:$M$65,D45,MATCH($E$2,$E$4:$M$4,0))</f>
        <v>#N/A</v>
      </c>
      <c r="R45" s="446" t="str">
        <f>T45&amp;S45</f>
        <v>4</v>
      </c>
      <c r="S45" s="446">
        <f>COUNTIF($T$42:T45,T45)</f>
        <v>4</v>
      </c>
      <c r="T45" s="449" t="str">
        <f>IF(代ホ_入力フォームiF・mF・MA!$BI$70=0,"",代ホ_入力フォームiF・mF・MA!$BI$70)</f>
        <v/>
      </c>
      <c r="U45" s="450" t="str">
        <f>IF(代ホ_入力フォームiF・mF・MA!$CF$70=0,"",代ホ_入力フォームiF・mF・MA!$CF$70)</f>
        <v/>
      </c>
    </row>
    <row r="46" spans="1:21" ht="11.25" customHeight="1">
      <c r="A46" s="447"/>
      <c r="B46" s="446" t="s">
        <v>1072</v>
      </c>
      <c r="D46" s="466">
        <v>43</v>
      </c>
      <c r="E46" s="459">
        <f>IF(E$40="同じ",E26,入力フォームiF・mF・FC・iFBC・MA!CT26)</f>
        <v>0</v>
      </c>
      <c r="F46" s="459">
        <f>IF(F$40="同じ",F26,入力フォームDA_Cloud!CT26)</f>
        <v>0</v>
      </c>
      <c r="G46">
        <f>IF($G$40="同じ",G26,入力フォーム_Desk!CT26)</f>
        <v>0</v>
      </c>
      <c r="H46" s="613">
        <f>IF($H$40="同じ",H26,'入力フォーム_a-FILTER'!CT26)</f>
        <v>0</v>
      </c>
      <c r="I46" s="459">
        <f>IF($I$40="同じ",I26,'入力フォーム_f-FILTER'!CT26)</f>
        <v>0</v>
      </c>
      <c r="J46" s="459">
        <f>IF($I$40="同じ",I26,'入力フォーム_Z-FILTER'!CT26)</f>
        <v>0</v>
      </c>
      <c r="K46" s="459">
        <f>IF(K$40="同じ",K26,入力フォームDSPA!CT26)</f>
        <v>0</v>
      </c>
      <c r="L46" s="459">
        <f>IF(L$40="同じ",L26,代ホ_入力フォームiF・mF・MA!CT38)</f>
        <v>0</v>
      </c>
      <c r="M46" s="459">
        <f>IF(M$40="同じ",M26,代ホ_入力フォームDSPA!CT38)</f>
        <v>0</v>
      </c>
      <c r="N46" s="467" t="e" cm="1">
        <f t="array" ref="N46">INDEX($E$4:$M$65,D46,MATCH($E$2,$E$4:$M$4,0))</f>
        <v>#N/A</v>
      </c>
    </row>
    <row r="47" spans="1:21" ht="11.25" customHeight="1">
      <c r="A47" s="447"/>
      <c r="B47" s="446" t="s">
        <v>1073</v>
      </c>
      <c r="D47" s="268">
        <v>44</v>
      </c>
      <c r="E47" s="459">
        <f>IF(E$40="同じ",E27,入力フォームiF・mF・FC・iFBC・MA!BN28)</f>
        <v>0</v>
      </c>
      <c r="F47" s="459">
        <f>IF(F$40="同じ",F27,入力フォームDA_Cloud!BN28)</f>
        <v>0</v>
      </c>
      <c r="G47">
        <f>IF($G$40="同じ",G27,入力フォーム_Desk!BN28)</f>
        <v>0</v>
      </c>
      <c r="H47" s="613">
        <f>IF($H$40="同じ",H27,'入力フォーム_a-FILTER'!BN28)</f>
        <v>0</v>
      </c>
      <c r="I47" s="446">
        <f>IF($I$40="同じ",I27,'入力フォーム_f-FILTER'!BN28)</f>
        <v>0</v>
      </c>
      <c r="J47" s="446">
        <f>IF($I$40="同じ",I27,'入力フォーム_Z-FILTER'!BN28)</f>
        <v>0</v>
      </c>
      <c r="K47" s="459">
        <f>IF(K$40="同じ",K27,入力フォームDSPA!BN28)</f>
        <v>0</v>
      </c>
      <c r="L47" s="459">
        <f>IF(L$40="同じ",L27,代ホ_入力フォームiF・mF・MA!BN40)</f>
        <v>0</v>
      </c>
      <c r="M47" s="459">
        <f>IF(M$40="同じ",M27,代ホ_入力フォームDSPA!BN40)</f>
        <v>0</v>
      </c>
      <c r="N47" s="467" t="e" cm="1">
        <f t="array" ref="N47">INDEX($E$4:$M$65,D47,MATCH($E$2,$E$4:$M$4,0))</f>
        <v>#N/A</v>
      </c>
    </row>
    <row r="48" spans="1:21" ht="11.25" customHeight="1">
      <c r="A48" s="447"/>
      <c r="B48" s="446" t="s">
        <v>1074</v>
      </c>
      <c r="D48" s="466">
        <v>45</v>
      </c>
      <c r="E48" s="459">
        <f>IF(E$40="同じ",E28,入力フォームiF・mF・FC・iFBC・MA!CP28)</f>
        <v>0</v>
      </c>
      <c r="F48" s="459">
        <f>IF(F$40="同じ",F28,入力フォームDA_Cloud!CP28)</f>
        <v>0</v>
      </c>
      <c r="G48">
        <f>IF($G$40="同じ",G28,入力フォーム_Desk!CP28)</f>
        <v>0</v>
      </c>
      <c r="H48" s="613">
        <f>IF($H$40="同じ",H28,'入力フォーム_a-FILTER'!CP28)</f>
        <v>0</v>
      </c>
      <c r="I48" s="459">
        <f>IF($I$40="同じ",I28,'入力フォーム_f-FILTER'!CP28)</f>
        <v>0</v>
      </c>
      <c r="J48" s="459">
        <f>IF($I$40="同じ",I28,'入力フォーム_Z-FILTER'!CP28)</f>
        <v>0</v>
      </c>
      <c r="K48" s="459">
        <f>IF(K$40="同じ",K28,入力フォームDSPA!CP28)</f>
        <v>0</v>
      </c>
      <c r="L48" s="459">
        <f>IF(L$40="同じ",L28,代ホ_入力フォームiF・mF・MA!CP40)</f>
        <v>0</v>
      </c>
      <c r="M48" s="459">
        <f>IF(M$40="同じ",M28,代ホ_入力フォームDSPA!CP40)</f>
        <v>0</v>
      </c>
      <c r="N48" s="467" t="e" cm="1">
        <f t="array" ref="N48">INDEX($E$4:$M$65,D48,MATCH($E$2,$E$4:$M$4,0))</f>
        <v>#N/A</v>
      </c>
      <c r="R48" s="268"/>
      <c r="T48" s="444" t="s">
        <v>932</v>
      </c>
      <c r="U48" s="445"/>
    </row>
    <row r="49" spans="1:21" ht="11.25" customHeight="1">
      <c r="A49" s="447"/>
      <c r="B49" s="446" t="s">
        <v>1065</v>
      </c>
      <c r="D49" s="268">
        <v>46</v>
      </c>
      <c r="E49" s="459">
        <f>IF(E$40="同じ",E29,入力フォームiF・mF・FC・iFBC・MA!DA28)</f>
        <v>0</v>
      </c>
      <c r="F49" s="459">
        <f>IF(F$40="同じ",F29,入力フォームDA_Cloud!DA28)</f>
        <v>0</v>
      </c>
      <c r="G49">
        <f>IF($G$40="同じ",G29,入力フォーム_Desk!DA28)</f>
        <v>0</v>
      </c>
      <c r="H49" s="613">
        <f>IF($H$40="同じ",H29,'入力フォーム_a-FILTER'!DA28)</f>
        <v>0</v>
      </c>
      <c r="I49" s="459">
        <f>IF($I$40="同じ",I29,'入力フォーム_f-FILTER'!DA28)</f>
        <v>0</v>
      </c>
      <c r="J49" s="459">
        <f>IF($I$40="同じ",I29,'入力フォーム_Z-FILTER'!DA28)</f>
        <v>0</v>
      </c>
      <c r="K49" s="459">
        <f>IF(K$40="同じ",K29,入力フォームDSPA!DA28)</f>
        <v>0</v>
      </c>
      <c r="L49" s="459">
        <f>IF(L$40="同じ",L29,代ホ_入力フォームiF・mF・MA!DA40)</f>
        <v>0</v>
      </c>
      <c r="M49" s="459">
        <f>IF(M$40="同じ",M29,代ホ_入力フォームDSPA!DA40)</f>
        <v>0</v>
      </c>
      <c r="N49" s="467" t="e" cm="1">
        <f t="array" ref="N49">INDEX($E$4:$M$65,D49,MATCH($E$2,$E$4:$M$4,0))</f>
        <v>#N/A</v>
      </c>
      <c r="R49" s="446" t="str">
        <f>T49&amp;S49</f>
        <v>1</v>
      </c>
      <c r="S49" s="446">
        <f>COUNTIF($T$49:T49,T49)</f>
        <v>1</v>
      </c>
      <c r="T49" s="447" t="str">
        <f>IF(代ホ_入力フォームDSPA!$BI$64=0,"",代ホ_入力フォームDSPA!$BI$64)</f>
        <v/>
      </c>
      <c r="U49" s="448" t="str">
        <f>IF(代ホ_入力フォームDSPA!$CF$64=0,"",代ホ_入力フォームDSPA!$CF$64)</f>
        <v/>
      </c>
    </row>
    <row r="50" spans="1:21" ht="11.25" customHeight="1">
      <c r="A50" s="447"/>
      <c r="B50" s="446" t="s">
        <v>1075</v>
      </c>
      <c r="D50" s="466">
        <v>47</v>
      </c>
      <c r="E50" s="459">
        <f>IF(E$40="同じ",E30,入力フォームiF・mF・FC・iFBC・MA!BN30)</f>
        <v>0</v>
      </c>
      <c r="F50" s="459">
        <f>IF(F$40="同じ",F30,入力フォームDA_Cloud!BN30)</f>
        <v>0</v>
      </c>
      <c r="G50">
        <f>IF($G$40="同じ",G30,入力フォーム_Desk!BN30)</f>
        <v>0</v>
      </c>
      <c r="H50" s="613">
        <f>IF($H$40="同じ",H30,'入力フォーム_a-FILTER'!BN30)</f>
        <v>0</v>
      </c>
      <c r="I50" s="459">
        <f>IF($I$40="同じ",I30,'入力フォーム_f-FILTER'!BN30)</f>
        <v>0</v>
      </c>
      <c r="J50" s="459">
        <f>IF($I$40="同じ",I30,'入力フォーム_Z-FILTER'!BN30)</f>
        <v>0</v>
      </c>
      <c r="K50" s="459">
        <f>IF(K$40="同じ",K30,入力フォームDSPA!BN30)</f>
        <v>0</v>
      </c>
      <c r="L50" s="459">
        <f>IF(L$40="同じ",L30,代ホ_入力フォームiF・mF・MA!BN42)</f>
        <v>0</v>
      </c>
      <c r="M50" s="459">
        <f>IF(M$40="同じ",M30,代ホ_入力フォームDSPA!BN42)</f>
        <v>0</v>
      </c>
      <c r="N50" s="467" t="e" cm="1">
        <f t="array" ref="N50">INDEX($E$4:$M$65,D50,MATCH($E$2,$E$4:$M$4,0))</f>
        <v>#N/A</v>
      </c>
      <c r="R50" s="446" t="str">
        <f>T50&amp;S50</f>
        <v>2</v>
      </c>
      <c r="S50" s="446">
        <f>COUNTIF($T$49:T50,T50)</f>
        <v>2</v>
      </c>
      <c r="T50" s="447" t="str">
        <f>IF(代ホ_入力フォームDSPA!$BI$66=0,"",代ホ_入力フォームDSPA!$BI$66)</f>
        <v/>
      </c>
      <c r="U50" s="448" t="str">
        <f>IF(代ホ_入力フォームDSPA!$CF$66=0,"",代ホ_入力フォームDSPA!$CF$66)</f>
        <v/>
      </c>
    </row>
    <row r="51" spans="1:21" ht="11.25" customHeight="1">
      <c r="A51" s="589"/>
      <c r="B51" s="446" t="s">
        <v>1076</v>
      </c>
      <c r="D51" s="268">
        <v>48</v>
      </c>
      <c r="E51" s="459">
        <f>IF(E$40="同じ",E31,入力フォームiF・mF・FC・iFBC・MA!CP30)</f>
        <v>0</v>
      </c>
      <c r="F51" s="459">
        <f>IF(F$40="同じ",F31,入力フォームDA_Cloud!CP30)</f>
        <v>0</v>
      </c>
      <c r="G51">
        <f>IF($G$40="同じ",G31,入力フォーム_Desk!CP30)</f>
        <v>0</v>
      </c>
      <c r="H51" s="614">
        <f>IF($H$40="同じ",H31,'入力フォーム_a-FILTER'!CP30)</f>
        <v>0</v>
      </c>
      <c r="I51" s="459">
        <f>IF($I$40="同じ",I31,'入力フォーム_f-FILTER'!CP30)</f>
        <v>0</v>
      </c>
      <c r="J51" s="459">
        <f>IF($I$40="同じ",I31,'入力フォーム_Z-FILTER'!CP30)</f>
        <v>0</v>
      </c>
      <c r="K51" s="459">
        <f>IF(K$40="同じ",K31,入力フォームDSPA!CP30)</f>
        <v>0</v>
      </c>
      <c r="L51" s="459">
        <f>IF(L$40="同じ",L31,代ホ_入力フォームiF・mF・MA!CP42)</f>
        <v>0</v>
      </c>
      <c r="M51" s="459">
        <f>IF(M$40="同じ",M31,代ホ_入力フォームDSPA!CP42)</f>
        <v>0</v>
      </c>
      <c r="N51" s="467" t="e" cm="1">
        <f t="array" ref="N51">INDEX($E$4:$M$65,D51,MATCH($E$2,$E$4:$M$4,0))</f>
        <v>#N/A</v>
      </c>
      <c r="R51" s="446" t="str">
        <f>T51&amp;S51</f>
        <v>3</v>
      </c>
      <c r="S51" s="446">
        <f>COUNTIF($T$49:T51,T51)</f>
        <v>3</v>
      </c>
      <c r="T51" s="447" t="str">
        <f>IF(代ホ_入力フォームDSPA!$BI$68=0,"",代ホ_入力フォームDSPA!$BI$68)</f>
        <v/>
      </c>
      <c r="U51" s="448" t="str">
        <f>IF(代ホ_入力フォームDSPA!$CF$68=0,"",代ホ_入力フォームDSPA!$CF$68)</f>
        <v/>
      </c>
    </row>
    <row r="52" spans="1:21" ht="11.25" customHeight="1">
      <c r="A52" s="444" t="s">
        <v>1083</v>
      </c>
      <c r="B52" s="474"/>
      <c r="C52" s="475"/>
      <c r="D52" s="463">
        <v>49</v>
      </c>
      <c r="E52" s="465">
        <f>IF(E40="同じ","同じ",入力フォームiF・mF・FC・iFBC・MA!DE33)</f>
        <v>0</v>
      </c>
      <c r="F52" s="465">
        <f>IF(F40="同じ","同じ",入力フォームDA_Cloud!DE33)</f>
        <v>0</v>
      </c>
      <c r="G52" s="465">
        <f>IF($G$40="同じ","同じ",入力フォーム_Desk!DE33)</f>
        <v>0</v>
      </c>
      <c r="H52" s="465">
        <f>IF($H$40="同じ","同じ",'入力フォーム_a-FILTER'!DE33)</f>
        <v>0</v>
      </c>
      <c r="I52" s="465">
        <f>IF($I$40="同じ","同じ",'入力フォーム_f-FILTER'!DE33)</f>
        <v>0</v>
      </c>
      <c r="J52" s="465">
        <f>IF($I$40="同じ","同じ",'入力フォーム_Z-FILTER'!DE33)</f>
        <v>0</v>
      </c>
      <c r="K52" s="465">
        <f>IF(K40="同じ","同じ",入力フォームDSPA!DE33)</f>
        <v>0</v>
      </c>
      <c r="L52" s="465">
        <f>IF(L40="同じ","同じ",代ホ_入力フォームiF・mF・MA!DE45)</f>
        <v>0</v>
      </c>
      <c r="M52" s="465">
        <f>IF(M40="同じ","同じ",代ホ_入力フォームDSPA!DE45)</f>
        <v>0</v>
      </c>
      <c r="N52" s="476" t="e" cm="1">
        <f t="array" ref="N52">INDEX($E$4:$M$65,D52,MATCH($E$2,$E$4:$M$4,0))</f>
        <v>#N/A</v>
      </c>
      <c r="R52" s="446" t="str">
        <f>T52&amp;S52</f>
        <v>4</v>
      </c>
      <c r="S52" s="446">
        <f>COUNTIF($T$49:T52,T52)</f>
        <v>4</v>
      </c>
      <c r="T52" s="447" t="str">
        <f>IF(代ホ_入力フォームDSPA!$BI$70=0,"",代ホ_入力フォームDSPA!$BI$70)</f>
        <v/>
      </c>
      <c r="U52" s="448" t="str">
        <f>IF(代ホ_入力フォームDSPA!$CF$70=0,"",代ホ_入力フォームDSPA!$CF$70)</f>
        <v/>
      </c>
    </row>
    <row r="53" spans="1:21" ht="11.25" customHeight="1">
      <c r="A53" s="447"/>
      <c r="B53" s="446" t="s">
        <v>1084</v>
      </c>
      <c r="D53" s="268">
        <v>50</v>
      </c>
      <c r="E53" s="459">
        <f>IF(E$52="同じ",E21,入力フォームiF・mF・FC・iFBC・MA!BN35)</f>
        <v>0</v>
      </c>
      <c r="F53" s="459">
        <f>IF(F$52="同じ",F21,入力フォームDA_Cloud!BN35)</f>
        <v>0</v>
      </c>
      <c r="G53" s="459">
        <f>IF(G$52="同じ",G21,入力フォーム_Desk!BN35)</f>
        <v>0</v>
      </c>
      <c r="H53" s="459">
        <f>IF(H$52="同じ",H21,'入力フォーム_a-FILTER'!BN35)</f>
        <v>0</v>
      </c>
      <c r="I53" s="459">
        <f>IF(I$52="同じ",I21,'入力フォーム_f-FILTER'!BN35)</f>
        <v>0</v>
      </c>
      <c r="J53" s="459">
        <f>IF(I$52="同じ",I21,'入力フォーム_Z-FILTER'!BN35)</f>
        <v>0</v>
      </c>
      <c r="K53" s="459">
        <f>IF(K$52="同じ",K21,入力フォームDSPA!BN35)</f>
        <v>0</v>
      </c>
      <c r="L53" s="459">
        <f>IF(L$52="同じ",L21,代ホ_入力フォームiF・mF・MA!BN47)</f>
        <v>0</v>
      </c>
      <c r="M53" s="459">
        <f>IF(M$52="同じ",M21,代ホ_入力フォームDSPA!BN47)</f>
        <v>0</v>
      </c>
      <c r="N53" s="467" t="e" cm="1">
        <f t="array" ref="N53">INDEX($E$4:$M$65,D53,MATCH($E$2,$E$4:$M$4,0))</f>
        <v>#N/A</v>
      </c>
      <c r="R53" s="446" t="str">
        <f>T53&amp;S53</f>
        <v>5</v>
      </c>
      <c r="S53" s="446">
        <f>COUNTIF($T$49:T53,T53)</f>
        <v>5</v>
      </c>
      <c r="T53" s="449" t="str">
        <f>IF(代ホ_入力フォームDSPA!$BI$72=0,"",代ホ_入力フォームDSPA!$BI$72)</f>
        <v/>
      </c>
      <c r="U53" s="450" t="str">
        <f>IF(代ホ_入力フォームDSPA!$CF$72=0,"",代ホ_入力フォームDSPA!$CF$72)</f>
        <v/>
      </c>
    </row>
    <row r="54" spans="1:21" ht="11.25" customHeight="1">
      <c r="A54" s="447"/>
      <c r="B54" s="446" t="s">
        <v>1068</v>
      </c>
      <c r="D54" s="466">
        <v>51</v>
      </c>
      <c r="E54" s="459">
        <f>IF(E$52="同じ",E22,入力フォームiF・mF・FC・iFBC・MA!BT37)</f>
        <v>0</v>
      </c>
      <c r="F54" s="459">
        <f>IF(F$52="同じ",F22,入力フォームDA_Cloud!BT37)</f>
        <v>0</v>
      </c>
      <c r="G54" s="459">
        <f>IF(G$52="同じ",G22,入力フォーム_Desk!BT37)</f>
        <v>0</v>
      </c>
      <c r="H54" s="459">
        <f>IF(H$52="同じ",H22,'入力フォーム_a-FILTER'!BT37)</f>
        <v>0</v>
      </c>
      <c r="I54" s="459">
        <f>IF(I$52="同じ",I22,'入力フォーム_f-FILTER'!BT37)</f>
        <v>0</v>
      </c>
      <c r="J54" s="459">
        <f>IF(I$52="同じ",I22,'入力フォーム_Z-FILTER'!BT37)</f>
        <v>0</v>
      </c>
      <c r="K54" s="459">
        <f>IF(K$52="同じ",K22,入力フォームDSPA!BT37)</f>
        <v>0</v>
      </c>
      <c r="L54" s="459">
        <f>IF(L$52="同じ",L22,代ホ_入力フォームiF・mF・MA!BT49)</f>
        <v>0</v>
      </c>
      <c r="M54" s="459">
        <f>IF(M$52="同じ",M22,代ホ_入力フォームDSPA!BT49)</f>
        <v>0</v>
      </c>
      <c r="N54" s="467" t="e" cm="1">
        <f t="array" ref="N54">INDEX($E$4:$M$65,D54,MATCH($E$2,$E$4:$M$4,0))</f>
        <v>#N/A</v>
      </c>
    </row>
    <row r="55" spans="1:21" ht="11.25" customHeight="1">
      <c r="A55" s="447"/>
      <c r="B55" s="446" t="s">
        <v>1069</v>
      </c>
      <c r="D55" s="268">
        <v>52</v>
      </c>
      <c r="E55" s="459">
        <f>IF(E$52="同じ",E23,入力フォームiF・mF・FC・iFBC・MA!CK37)</f>
        <v>0</v>
      </c>
      <c r="F55" s="459">
        <f>IF(F$52="同じ",F23,入力フォームDA_Cloud!CK37)</f>
        <v>0</v>
      </c>
      <c r="G55" s="459">
        <f>IF(G$52="同じ",G23,入力フォーム_Desk!CK37)</f>
        <v>0</v>
      </c>
      <c r="H55" s="459">
        <f>IF(H$52="同じ",H23,'入力フォーム_a-FILTER'!CK37)</f>
        <v>0</v>
      </c>
      <c r="I55" s="459">
        <f>IF(I$52="同じ",I23,'入力フォーム_f-FILTER'!CK37)</f>
        <v>0</v>
      </c>
      <c r="J55" s="459">
        <f>IF(I$52="同じ",I23,'入力フォーム_Z-FILTER'!CK37)</f>
        <v>0</v>
      </c>
      <c r="K55" s="459">
        <f>IF(K$52="同じ",K23,入力フォームDSPA!CK37)</f>
        <v>0</v>
      </c>
      <c r="L55" s="459">
        <f>IF(L$52="同じ",L23,代ホ_入力フォームiF・mF・MA!CK49)</f>
        <v>0</v>
      </c>
      <c r="M55" s="459">
        <f>IF(M$52="同じ",M23,代ホ_入力フォームDSPA!CK49)</f>
        <v>0</v>
      </c>
      <c r="N55" s="467" t="e" cm="1">
        <f t="array" ref="N55">INDEX($E$4:$M$65,D55,MATCH($E$2,$E$4:$M$4,0))</f>
        <v>#N/A</v>
      </c>
    </row>
    <row r="56" spans="1:21" ht="11.25" customHeight="1">
      <c r="A56" s="447"/>
      <c r="B56" s="446" t="s">
        <v>1070</v>
      </c>
      <c r="D56" s="466">
        <v>53</v>
      </c>
      <c r="E56" s="459">
        <f>IF(E$52="同じ",E24,入力フォームiF・mF・FC・iFBC・MA!DB37)</f>
        <v>0</v>
      </c>
      <c r="F56" s="459">
        <f>IF(F$52="同じ",F24,入力フォームDA_Cloud!DB37)</f>
        <v>0</v>
      </c>
      <c r="G56" s="459">
        <f>IF(G$52="同じ",G24,入力フォーム_Desk!DB37)</f>
        <v>0</v>
      </c>
      <c r="H56" s="459">
        <f>IF(H$52="同じ",H24,'入力フォーム_a-FILTER'!DB37)</f>
        <v>0</v>
      </c>
      <c r="I56" s="459">
        <f>IF(I$52="同じ",I24,'入力フォーム_f-FILTER'!DB37)</f>
        <v>0</v>
      </c>
      <c r="J56" s="459">
        <f>IF(I$52="同じ",I24,'入力フォーム_Z-FILTER'!DB37)</f>
        <v>0</v>
      </c>
      <c r="K56" s="459">
        <f>IF(K$52="同じ",K24,入力フォームDSPA!DB37)</f>
        <v>0</v>
      </c>
      <c r="L56" s="459">
        <f>IF(L$52="同じ",L24,代ホ_入力フォームiF・mF・MA!DB49)</f>
        <v>0</v>
      </c>
      <c r="M56" s="459">
        <f>IF(M$52="同じ",M24,代ホ_入力フォームDSPA!DB49)</f>
        <v>0</v>
      </c>
      <c r="N56" s="467" t="e" cm="1">
        <f t="array" ref="N56">INDEX($E$4:$M$65,D56,MATCH($E$2,$E$4:$M$4,0))</f>
        <v>#N/A</v>
      </c>
      <c r="S56" s="446"/>
      <c r="T56" t="s">
        <v>1088</v>
      </c>
    </row>
    <row r="57" spans="1:21" ht="11.25" customHeight="1">
      <c r="A57" s="447"/>
      <c r="B57" s="446" t="s">
        <v>1071</v>
      </c>
      <c r="D57" s="268">
        <v>54</v>
      </c>
      <c r="E57" s="459">
        <f>IF(E$52="同じ",E25,入力フォームiF・mF・FC・iFBC・MA!BT39)</f>
        <v>0</v>
      </c>
      <c r="F57" s="459">
        <f>IF(F$52="同じ",F25,入力フォームDA_Cloud!BT39)</f>
        <v>0</v>
      </c>
      <c r="G57" s="459">
        <f>IF(G$52="同じ",G25,入力フォーム_Desk!BT39)</f>
        <v>0</v>
      </c>
      <c r="H57" s="459">
        <f>IF(H$52="同じ",H25,'入力フォーム_a-FILTER'!BT39)</f>
        <v>0</v>
      </c>
      <c r="I57" s="459">
        <f>IF(I$52="同じ",I25,'入力フォーム_f-FILTER'!BT39)</f>
        <v>0</v>
      </c>
      <c r="J57" s="459">
        <f>IF(I$52="同じ",I25,'入力フォーム_Z-FILTER'!BT39)</f>
        <v>0</v>
      </c>
      <c r="K57" s="459">
        <f>IF(K$52="同じ",K25,入力フォームDSPA!BT39)</f>
        <v>0</v>
      </c>
      <c r="L57" s="459">
        <f>IF(L$52="同じ",L25,代ホ_入力フォームiF・mF・MA!BT51)</f>
        <v>0</v>
      </c>
      <c r="M57" s="459">
        <f>IF(M$52="同じ",M25,代ホ_入力フォームDSPA!BT51)</f>
        <v>0</v>
      </c>
      <c r="N57" s="467" t="e" cm="1">
        <f t="array" ref="N57">INDEX($E$4:$M$65,D57,MATCH($E$2,$E$4:$M$4,0))</f>
        <v>#N/A</v>
      </c>
      <c r="S57" s="453"/>
      <c r="T57" s="496" t="s">
        <v>665</v>
      </c>
      <c r="U57" s="282">
        <f>IF(入力フォームiF・mF・FC・iFBC・MA!E72&lt;&gt;"",1,0)</f>
        <v>0</v>
      </c>
    </row>
    <row r="58" spans="1:21" ht="11.25" customHeight="1">
      <c r="A58" s="447"/>
      <c r="B58" s="446" t="s">
        <v>1072</v>
      </c>
      <c r="D58" s="466">
        <v>55</v>
      </c>
      <c r="E58" s="459">
        <f>IF(E$52="同じ",E26,入力フォームiF・mF・FC・iFBC・MA!CT39)</f>
        <v>0</v>
      </c>
      <c r="F58" s="459">
        <f>IF(F$52="同じ",F26,入力フォームDA_Cloud!CT39)</f>
        <v>0</v>
      </c>
      <c r="G58" s="459">
        <f>IF(G$52="同じ",G26,入力フォーム_Desk!CT39)</f>
        <v>0</v>
      </c>
      <c r="H58" s="459">
        <f>IF(H$52="同じ",H26,'入力フォーム_a-FILTER'!CT39)</f>
        <v>0</v>
      </c>
      <c r="I58" s="459">
        <f>IF(I$52="同じ",I26,'入力フォーム_f-FILTER'!CT39)</f>
        <v>0</v>
      </c>
      <c r="J58" s="459">
        <f>IF(I$52="同じ",I26,'入力フォーム_Z-FILTER'!CT39)</f>
        <v>0</v>
      </c>
      <c r="K58" s="459">
        <f>IF(K$52="同じ",K26,入力フォームDSPA!CT39)</f>
        <v>0</v>
      </c>
      <c r="L58" s="459">
        <f>IF(L$52="同じ",L26,代ホ_入力フォームiF・mF・MA!CT51)</f>
        <v>0</v>
      </c>
      <c r="M58" s="459">
        <f>IF(M$52="同じ",M26,代ホ_入力フォームDSPA!CT51)</f>
        <v>0</v>
      </c>
      <c r="N58" s="467" t="e" cm="1">
        <f t="array" ref="N58">INDEX($E$4:$M$65,D58,MATCH($E$2,$E$4:$M$4,0))</f>
        <v>#N/A</v>
      </c>
      <c r="S58" s="453"/>
      <c r="T58" s="497" t="s">
        <v>666</v>
      </c>
      <c r="U58" s="283">
        <f>IF(入力フォームiF・mF・FC・iFBC・MA!E90&lt;&gt;"",1,0)</f>
        <v>0</v>
      </c>
    </row>
    <row r="59" spans="1:21" ht="11.25" customHeight="1">
      <c r="A59" s="447"/>
      <c r="B59" s="446" t="s">
        <v>1073</v>
      </c>
      <c r="D59" s="268">
        <v>56</v>
      </c>
      <c r="E59" s="459">
        <f>IF(E$52="同じ",E27,入力フォームiF・mF・FC・iFBC・MA!BN41)</f>
        <v>0</v>
      </c>
      <c r="F59" s="459">
        <f>IF(F$52="同じ",F27,入力フォームDA_Cloud!BN41)</f>
        <v>0</v>
      </c>
      <c r="G59" s="459">
        <f>IF(G$52="同じ",G27,入力フォーム_Desk!BN41)</f>
        <v>0</v>
      </c>
      <c r="H59" s="459">
        <f>IF(H$52="同じ",H27,'入力フォーム_a-FILTER'!BN41)</f>
        <v>0</v>
      </c>
      <c r="I59" s="459">
        <f>IF(I$52="同じ",I27,'入力フォーム_f-FILTER'!BN41)</f>
        <v>0</v>
      </c>
      <c r="J59" s="459">
        <f>IF(I$52="同じ",I27,'入力フォーム_Z-FILTER'!BN41)</f>
        <v>0</v>
      </c>
      <c r="K59" s="459">
        <f>IF(K$52="同じ",K27,入力フォームDSPA!BN41)</f>
        <v>0</v>
      </c>
      <c r="L59" s="459">
        <f>IF(L$52="同じ",L27,代ホ_入力フォームiF・mF・MA!BN53)</f>
        <v>0</v>
      </c>
      <c r="M59" s="459">
        <f>IF(M$52="同じ",M27,代ホ_入力フォームDSPA!BN53)</f>
        <v>0</v>
      </c>
      <c r="N59" s="467" t="e" cm="1">
        <f t="array" ref="N59">INDEX($E$4:$M$65,D59,MATCH($E$2,$E$4:$M$4,0))</f>
        <v>#N/A</v>
      </c>
      <c r="S59" s="453"/>
      <c r="T59" s="497" t="s">
        <v>640</v>
      </c>
      <c r="U59" s="283">
        <f>IF(入力フォームiF・mF・FC・iFBC・MA!E116&lt;&gt;"",1,0)</f>
        <v>0</v>
      </c>
    </row>
    <row r="60" spans="1:21" ht="11.25" customHeight="1">
      <c r="A60" s="447"/>
      <c r="B60" s="446" t="s">
        <v>1074</v>
      </c>
      <c r="D60" s="466">
        <v>57</v>
      </c>
      <c r="E60" s="459">
        <f>IF(E$52="同じ",E28,入力フォームiF・mF・FC・iFBC・MA!CP41)</f>
        <v>0</v>
      </c>
      <c r="F60" s="459">
        <f>IF(F$52="同じ",F28,入力フォームDA_Cloud!CP41)</f>
        <v>0</v>
      </c>
      <c r="G60" s="459">
        <f>IF(G$52="同じ",G28,入力フォーム_Desk!CP41)</f>
        <v>0</v>
      </c>
      <c r="H60" s="459">
        <f>IF(H$52="同じ",H28,'入力フォーム_a-FILTER'!CP41)</f>
        <v>0</v>
      </c>
      <c r="I60" s="459">
        <f>IF(I$52="同じ",I28,'入力フォーム_f-FILTER'!CP41)</f>
        <v>0</v>
      </c>
      <c r="J60" s="459">
        <f>IF(I$52="同じ",I28,'入力フォーム_Z-FILTER'!CP41)</f>
        <v>0</v>
      </c>
      <c r="K60" s="459">
        <f>IF(K$52="同じ",K28,入力フォームDSPA!CP41)</f>
        <v>0</v>
      </c>
      <c r="L60" s="459">
        <f>IF(L$52="同じ",L28,代ホ_入力フォームiF・mF・MA!CP53)</f>
        <v>0</v>
      </c>
      <c r="M60" s="459">
        <f>IF(M$52="同じ",M28,代ホ_入力フォームDSPA!CP53)</f>
        <v>0</v>
      </c>
      <c r="N60" s="467" t="e" cm="1">
        <f t="array" ref="N60">INDEX($E$4:$M$65,D60,MATCH($E$2,$E$4:$M$4,0))</f>
        <v>#N/A</v>
      </c>
      <c r="S60" s="453"/>
      <c r="T60" s="497" t="s">
        <v>635</v>
      </c>
      <c r="U60" s="283">
        <f>IF(入力フォームiF・mF・FC・iFBC・MA!E142&lt;&gt;"",1,0)</f>
        <v>0</v>
      </c>
    </row>
    <row r="61" spans="1:21" ht="11.25" customHeight="1">
      <c r="A61" s="447"/>
      <c r="B61" s="446" t="s">
        <v>1065</v>
      </c>
      <c r="D61" s="268">
        <v>58</v>
      </c>
      <c r="E61" s="459">
        <f>IF(E$52="同じ",E29,入力フォームiF・mF・FC・iFBC・MA!DA41)</f>
        <v>0</v>
      </c>
      <c r="F61" s="459">
        <f>IF(F$52="同じ",F29,入力フォームDA_Cloud!DA41)</f>
        <v>0</v>
      </c>
      <c r="G61" s="459">
        <f>IF(G$52="同じ",G29,入力フォーム_Desk!DA41)</f>
        <v>0</v>
      </c>
      <c r="H61" s="459">
        <f>IF(H$52="同じ",H29,'入力フォーム_a-FILTER'!DA41)</f>
        <v>0</v>
      </c>
      <c r="I61" s="459">
        <f>IF(I$52="同じ",I29,'入力フォーム_f-FILTER'!DA41)</f>
        <v>0</v>
      </c>
      <c r="J61" s="459">
        <f>IF(I$52="同じ",I29,'入力フォーム_Z-FILTER'!DA41)</f>
        <v>0</v>
      </c>
      <c r="K61" s="459">
        <f>IF(K$52="同じ",K29,入力フォームDSPA!DA41)</f>
        <v>0</v>
      </c>
      <c r="L61" s="459">
        <f>IF(L$52="同じ",L29,代ホ_入力フォームiF・mF・MA!DA53)</f>
        <v>0</v>
      </c>
      <c r="M61" s="459">
        <f>IF(M$52="同じ",M29,代ホ_入力フォームDSPA!DA53)</f>
        <v>0</v>
      </c>
      <c r="N61" s="467" t="e" cm="1">
        <f t="array" ref="N61">INDEX($E$4:$M$65,D61,MATCH($E$2,$E$4:$M$4,0))</f>
        <v>#N/A</v>
      </c>
      <c r="S61" s="453"/>
      <c r="T61" s="498" t="s">
        <v>636</v>
      </c>
      <c r="U61" s="284">
        <f>IF(入力フォームiF・mF・FC・iFBC・MA!E148&lt;&gt;"",1,0)</f>
        <v>0</v>
      </c>
    </row>
    <row r="62" spans="1:21" ht="11.25" customHeight="1">
      <c r="A62" s="447"/>
      <c r="B62" s="446" t="s">
        <v>1075</v>
      </c>
      <c r="D62" s="466">
        <v>59</v>
      </c>
      <c r="E62" s="459">
        <f>IF(E$52="同じ",E30,入力フォームiF・mF・FC・iFBC・MA!BN43)</f>
        <v>0</v>
      </c>
      <c r="F62" s="459">
        <f>IF(F$52="同じ",F30,入力フォームDA_Cloud!BN43)</f>
        <v>0</v>
      </c>
      <c r="G62" s="459">
        <f>IF(G$52="同じ",G30,入力フォーム_Desk!BN43)</f>
        <v>0</v>
      </c>
      <c r="H62" s="459">
        <f>IF(H$52="同じ",H30,'入力フォーム_a-FILTER'!BN43)</f>
        <v>0</v>
      </c>
      <c r="I62" s="459">
        <f>IF(I$52="同じ",I30,'入力フォーム_f-FILTER'!BN43)</f>
        <v>0</v>
      </c>
      <c r="J62" s="459">
        <f>IF(I$52="同じ",I30,'入力フォーム_Z-FILTER'!BN43)</f>
        <v>0</v>
      </c>
      <c r="K62" s="459">
        <f>IF(K$52="同じ",K30,入力フォームDSPA!BN43)</f>
        <v>0</v>
      </c>
      <c r="L62" s="459">
        <f>IF(L$52="同じ",L30,代ホ_入力フォームiF・mF・MA!BN55)</f>
        <v>0</v>
      </c>
      <c r="M62" s="459">
        <f>IF(M$52="同じ",M30,代ホ_入力フォームDSPA!BN55)</f>
        <v>0</v>
      </c>
      <c r="N62" s="467" t="e" cm="1">
        <f t="array" ref="N62">INDEX($E$4:$M$65,D62,MATCH($E$2,$E$4:$M$4,0))</f>
        <v>#N/A</v>
      </c>
      <c r="S62" s="453"/>
      <c r="T62" s="453"/>
    </row>
    <row r="63" spans="1:21" ht="11.25" customHeight="1">
      <c r="A63" s="590"/>
      <c r="B63" s="468" t="s">
        <v>1076</v>
      </c>
      <c r="C63" s="469"/>
      <c r="D63" s="470">
        <v>60</v>
      </c>
      <c r="E63" s="477">
        <f>IF(E$52="同じ",E31,入力フォームiF・mF・FC・iFBC・MA!CP43)</f>
        <v>0</v>
      </c>
      <c r="F63" s="477">
        <f>IF(F$52="同じ",F31,入力フォームDA_Cloud!CP43)</f>
        <v>0</v>
      </c>
      <c r="G63" s="459">
        <f>IF(G$52="同じ",G31,入力フォーム_Desk!CP43)</f>
        <v>0</v>
      </c>
      <c r="H63" s="459">
        <f>IF(H$52="同じ",H31,'入力フォーム_a-FILTER'!CP43)</f>
        <v>0</v>
      </c>
      <c r="I63" s="459">
        <f>IF(I$52="同じ",I31,'入力フォーム_f-FILTER'!CP43)</f>
        <v>0</v>
      </c>
      <c r="J63" s="459">
        <f>IF(I$52="同じ",I31,'入力フォーム_Z-FILTER'!CP43)</f>
        <v>0</v>
      </c>
      <c r="K63" s="477">
        <f>IF(K$52="同じ",K31,入力フォームDSPA!CP43)</f>
        <v>0</v>
      </c>
      <c r="L63" s="477">
        <f>IF(L$52="同じ",L31,代ホ_入力フォームiF・mF・MA!CP55)</f>
        <v>0</v>
      </c>
      <c r="M63" s="477">
        <f>IF(M$52="同じ",M31,代ホ_入力フォームDSPA!CP55)</f>
        <v>0</v>
      </c>
      <c r="N63" s="472" t="e" cm="1">
        <f t="array" ref="N63">INDEX($E$4:$M$65,D63,MATCH($E$2,$E$4:$M$4,0))</f>
        <v>#N/A</v>
      </c>
      <c r="S63" s="453"/>
      <c r="T63" s="496" t="s">
        <v>637</v>
      </c>
      <c r="U63" s="282">
        <f>IF(入力フォームDA_Cloud!J87&lt;&gt;"",1,0)</f>
        <v>0</v>
      </c>
    </row>
    <row r="64" spans="1:21" ht="11.25" customHeight="1">
      <c r="A64" s="447" t="s">
        <v>1085</v>
      </c>
      <c r="D64" s="466">
        <v>61</v>
      </c>
      <c r="E64" s="456">
        <f>入力フォームiF・mF・FC・iFBC・MA!BI50</f>
        <v>0</v>
      </c>
      <c r="F64" s="456">
        <f>入力フォームDA_Cloud!BI50</f>
        <v>0</v>
      </c>
      <c r="G64" s="580">
        <f>入力フォーム_Desk!BI50</f>
        <v>0</v>
      </c>
      <c r="H64" s="580">
        <f>'入力フォーム_a-FILTER'!BI50</f>
        <v>0</v>
      </c>
      <c r="I64" s="456">
        <f>'入力フォーム_f-FILTER'!BI50</f>
        <v>0</v>
      </c>
      <c r="J64" s="461">
        <f>'入力フォーム_Z-FILTER'!BI58</f>
        <v>0</v>
      </c>
      <c r="K64" s="456">
        <f>入力フォームDSPA!BI50</f>
        <v>0</v>
      </c>
      <c r="L64" s="456">
        <f>代ホ_入力フォームiF・mF・MA!BI60</f>
        <v>0</v>
      </c>
      <c r="M64" s="456">
        <f>代ホ_入力フォームDSPA!BI60</f>
        <v>0</v>
      </c>
      <c r="N64" s="620" t="e" cm="1">
        <f t="array" ref="N64">INDEX($E$4:$M$65,D64,MATCH($E$2,$E$4:$M$4,0))</f>
        <v>#N/A</v>
      </c>
      <c r="S64" s="453"/>
      <c r="T64" s="497" t="s">
        <v>638</v>
      </c>
      <c r="U64" s="283">
        <f>IF(入力フォームDA_Cloud!H113&lt;&gt;"",1,0)</f>
        <v>0</v>
      </c>
    </row>
    <row r="65" spans="1:21" ht="11.25" customHeight="1">
      <c r="A65" s="449" t="s">
        <v>1086</v>
      </c>
      <c r="B65" s="468"/>
      <c r="C65" s="469"/>
      <c r="D65" s="470">
        <v>62</v>
      </c>
      <c r="E65" s="471" t="str">
        <f>IF(ISBLANK(入力フォームiF・mF・FC・iFBC・MA!CF50),"",入力フォームiF・mF・FC・iFBC・MA!CF50)</f>
        <v/>
      </c>
      <c r="F65" s="471" t="str">
        <f>IF(ISBLANK(入力フォームDA_Cloud!CF50),"",入力フォームDA_Cloud!CF50)</f>
        <v/>
      </c>
      <c r="G65" s="471" t="str">
        <f>IF(ISBLANK(入力フォーム_Desk!CF50),"",入力フォーム_Desk!CF50)</f>
        <v/>
      </c>
      <c r="H65" s="471" t="str">
        <f>IF(ISBLANK('入力フォーム_a-FILTER'!CF50),"",'入力フォーム_a-FILTER'!CF50)</f>
        <v/>
      </c>
      <c r="I65" s="471" t="str">
        <f>IF(ISBLANK('入力フォーム_f-FILTER'!CF50),"",'入力フォーム_f-FILTER'!CF50)</f>
        <v/>
      </c>
      <c r="J65" s="471"/>
      <c r="K65" s="471" t="str">
        <f>IF(ISBLANK(入力フォームDSPA!CF50),"",入力フォームDSPA!CF50)</f>
        <v/>
      </c>
      <c r="L65" s="471" t="str">
        <f>IF(ISBLANK(代ホ_入力フォームiF・mF・MA!CF60),"",代ホ_入力フォームiF・mF・MA!CF60)</f>
        <v/>
      </c>
      <c r="M65" s="471" t="str">
        <f>IF(ISBLANK(代ホ_入力フォームDSPA!CF60),"",代ホ_入力フォームDSPA!CF60)</f>
        <v/>
      </c>
      <c r="N65" s="472" t="e" cm="1">
        <f t="array" ref="N65">INDEX($E$4:$M$65,D65,MATCH($E$2,$E$4:$M$4,0))</f>
        <v>#N/A</v>
      </c>
      <c r="S65" s="453"/>
      <c r="T65" s="497" t="s">
        <v>639</v>
      </c>
      <c r="U65" s="283">
        <f>IF(入力フォームDA_Cloud!J131&lt;&gt;"",1,0)</f>
        <v>0</v>
      </c>
    </row>
    <row r="66" spans="1:21" ht="11.25" customHeight="1">
      <c r="E66" s="474"/>
      <c r="F66" s="474"/>
      <c r="G66" s="474"/>
      <c r="H66" s="474"/>
      <c r="I66" s="474"/>
      <c r="J66" s="474"/>
      <c r="K66" s="474"/>
      <c r="L66" s="474"/>
      <c r="M66" s="474"/>
      <c r="N66" s="474"/>
      <c r="S66" s="453"/>
      <c r="T66" s="498" t="s">
        <v>1098</v>
      </c>
      <c r="U66" s="284">
        <f>IF(入力フォームDA_Cloud!J149&lt;&gt;"",1,0)</f>
        <v>0</v>
      </c>
    </row>
    <row r="67" spans="1:21" ht="11.25" customHeight="1">
      <c r="E67" s="453"/>
      <c r="S67" s="453"/>
      <c r="T67" s="453"/>
      <c r="U67" s="280"/>
    </row>
    <row r="68" spans="1:21" ht="11.25" customHeight="1">
      <c r="S68" s="453"/>
      <c r="T68" s="592" t="s">
        <v>1288</v>
      </c>
      <c r="U68" s="593">
        <f>IF(入力フォーム_Desk!J83&lt;&gt;"",1,0)</f>
        <v>0</v>
      </c>
    </row>
    <row r="69" spans="1:21" ht="11.25" customHeight="1">
      <c r="E69" s="446" t="s">
        <v>1286</v>
      </c>
      <c r="S69" s="446"/>
      <c r="T69" s="594" t="s">
        <v>1289</v>
      </c>
      <c r="U69" s="595">
        <f>IF(入力フォーム_Desk!J95&lt;&gt;"",1,0)</f>
        <v>0</v>
      </c>
    </row>
    <row r="70" spans="1:21" ht="11.25" customHeight="1">
      <c r="S70" s="453"/>
      <c r="T70" s="453"/>
      <c r="U70" s="24"/>
    </row>
    <row r="71" spans="1:21" ht="11.25" customHeight="1">
      <c r="S71" s="453"/>
      <c r="T71" s="499" t="s">
        <v>1591</v>
      </c>
      <c r="U71" s="612">
        <f>IF('入力フォーム_a-FILTER'!J83&lt;&gt;"",1,0)</f>
        <v>0</v>
      </c>
    </row>
    <row r="72" spans="1:21" ht="11.25" customHeight="1">
      <c r="S72" s="453"/>
      <c r="T72" s="453"/>
      <c r="U72" s="24"/>
    </row>
    <row r="73" spans="1:21" ht="11.25" customHeight="1">
      <c r="S73" s="453"/>
      <c r="T73" s="499" t="s">
        <v>1359</v>
      </c>
      <c r="U73" s="612">
        <f>IF('入力フォーム_f-FILTER'!J83&lt;&gt;"",1,0)</f>
        <v>0</v>
      </c>
    </row>
    <row r="74" spans="1:21" ht="11.25" customHeight="1">
      <c r="S74" s="453"/>
    </row>
    <row r="75" spans="1:21" ht="11.25" customHeight="1">
      <c r="S75" s="453"/>
      <c r="T75" s="499" t="s">
        <v>1542</v>
      </c>
      <c r="U75" s="612">
        <f>IF('入力フォーム_Z-FILTER'!J91&lt;&gt;"",1,0)</f>
        <v>0</v>
      </c>
    </row>
    <row r="76" spans="1:21" ht="11.25" customHeight="1">
      <c r="S76" s="453"/>
    </row>
    <row r="77" spans="1:21" ht="11.25" customHeight="1">
      <c r="S77" s="453"/>
      <c r="T77" s="499" t="s">
        <v>556</v>
      </c>
      <c r="U77" s="281">
        <f>IF(入力フォームDSPA!D97&lt;&gt;"",1,0)</f>
        <v>0</v>
      </c>
    </row>
    <row r="78" spans="1:21" ht="11.25" customHeight="1">
      <c r="T78" s="446"/>
    </row>
    <row r="79" spans="1:21" ht="11.25" customHeight="1">
      <c r="T79" s="496" t="s">
        <v>899</v>
      </c>
      <c r="U79" s="282">
        <f>IF(代ホ_入力フォームiF・mF・MA!E80&lt;&gt;"",1,0)</f>
        <v>0</v>
      </c>
    </row>
    <row r="80" spans="1:21" ht="11.25" customHeight="1">
      <c r="T80" s="497" t="s">
        <v>898</v>
      </c>
      <c r="U80" s="283">
        <f>IF(代ホ_入力フォームiF・mF・MA!E98&lt;&gt;"",1,0)</f>
        <v>0</v>
      </c>
    </row>
    <row r="81" spans="20:21" ht="11.25" customHeight="1">
      <c r="T81" s="497" t="s">
        <v>900</v>
      </c>
      <c r="U81" s="283">
        <f>IF(代ホ_入力フォームiF・mF・MA!E151&lt;&gt;"",1,0)</f>
        <v>0</v>
      </c>
    </row>
    <row r="82" spans="20:21" ht="11.25" customHeight="1">
      <c r="T82" s="498" t="s">
        <v>931</v>
      </c>
      <c r="U82" s="284">
        <f>IF(代ホ_入力フォームDSPA!D107&lt;&gt;"",1,0)</f>
        <v>0</v>
      </c>
    </row>
    <row r="84" spans="20:21" ht="11.25" customHeight="1">
      <c r="T84" s="579" t="s">
        <v>1263</v>
      </c>
      <c r="U84" s="580" t="str">
        <f>U85&amp;U86&amp;U87&amp;U88&amp;U89</f>
        <v/>
      </c>
    </row>
    <row r="85" spans="20:21" ht="11.25" customHeight="1">
      <c r="T85" s="579" t="s">
        <v>1261</v>
      </c>
      <c r="U85" s="580" t="str">
        <f>IF(入力フォームiF・mF・FC・iFBC・MA!BA50="","",入力フォームiF・mF・FC・iFBC・MA!BA50)</f>
        <v/>
      </c>
    </row>
    <row r="86" spans="20:21" ht="11.25" customHeight="1">
      <c r="T86" s="579" t="s">
        <v>1262</v>
      </c>
      <c r="U86" s="580" t="str">
        <f>IF(入力フォームDA_Cloud!BA50="","",入力フォームDA_Cloud!BA50)</f>
        <v/>
      </c>
    </row>
    <row r="87" spans="20:21" ht="11.25" customHeight="1">
      <c r="T87" s="579" t="s">
        <v>1288</v>
      </c>
      <c r="U87" s="580" t="str">
        <f>IF(入力フォーム_Desk!BA50="","",入力フォーム_Desk!BA50)</f>
        <v/>
      </c>
    </row>
    <row r="88" spans="20:21" ht="11.25" customHeight="1">
      <c r="T88" s="579" t="s">
        <v>1591</v>
      </c>
      <c r="U88" s="580" t="str">
        <f>IF('入力フォーム_a-FILTER'!BA50="","",'入力フォーム_a-FILTER'!BA50)</f>
        <v/>
      </c>
    </row>
    <row r="89" spans="20:21" ht="11.25" customHeight="1">
      <c r="T89" s="579" t="s">
        <v>1359</v>
      </c>
      <c r="U89" s="580" t="str">
        <f>IF('入力フォーム_f-FILTER'!BA50="","",'入力フォーム_f-FILTER'!BA50)</f>
        <v/>
      </c>
    </row>
    <row r="90" spans="20:21" ht="11.25" customHeight="1">
      <c r="T90" s="579" t="s">
        <v>1542</v>
      </c>
      <c r="U90" s="580" t="str">
        <f>IF('入力フォーム_Z-FILTER'!BA58="","",'入力フォーム_Z-FILTER'!BA58)</f>
        <v/>
      </c>
    </row>
    <row r="92" spans="20:21" ht="11.25" customHeight="1">
      <c r="T92" s="579" t="s">
        <v>1264</v>
      </c>
      <c r="U92" s="580" t="str">
        <f>U93&amp;U94&amp;U95&amp;U96&amp;U97&amp;U98</f>
        <v/>
      </c>
    </row>
    <row r="93" spans="20:21" ht="11.25" customHeight="1">
      <c r="T93" s="579" t="s">
        <v>1261</v>
      </c>
      <c r="U93" s="580" t="str">
        <f>IF(入力フォームiF・mF・FC・iFBC・MA!DF22="","",入力フォームiF・mF・FC・iFBC・MA!DF22)</f>
        <v/>
      </c>
    </row>
    <row r="94" spans="20:21" ht="11.25" customHeight="1">
      <c r="T94" s="579" t="s">
        <v>1262</v>
      </c>
      <c r="U94" s="580" t="str">
        <f>IF(入力フォームDA_Cloud!DF22="","",入力フォームDA_Cloud!DF22)</f>
        <v/>
      </c>
    </row>
    <row r="95" spans="20:21" ht="11.25" customHeight="1">
      <c r="T95" s="579" t="s">
        <v>1288</v>
      </c>
      <c r="U95" s="580" t="str">
        <f>IF(入力フォーム_Desk!DF22="","",入力フォーム_Desk!DF22)</f>
        <v/>
      </c>
    </row>
    <row r="96" spans="20:21" ht="11.25" customHeight="1">
      <c r="T96" s="579" t="s">
        <v>1591</v>
      </c>
      <c r="U96" s="580" t="str">
        <f>IF('入力フォーム_a-FILTER'!DF22="","",'入力フォーム_a-FILTER'!DF22)</f>
        <v/>
      </c>
    </row>
    <row r="97" spans="20:21" ht="11.25" customHeight="1">
      <c r="T97" s="580" t="s">
        <v>1359</v>
      </c>
      <c r="U97" s="580" t="str">
        <f>IF('入力フォーム_f-FILTER'!DF22="","",'入力フォーム_f-FILTER'!DF22)</f>
        <v/>
      </c>
    </row>
    <row r="98" spans="20:21" ht="11.25" customHeight="1">
      <c r="T98" s="580" t="s">
        <v>1542</v>
      </c>
      <c r="U98" s="580" t="str">
        <f>IF('入力フォーム_Z-FILTER'!DF22="","",'入力フォーム_Z-FILTER'!DF22)</f>
        <v/>
      </c>
    </row>
  </sheetData>
  <dataConsolidate link="1"/>
  <phoneticPr fontId="14"/>
  <conditionalFormatting sqref="O5 Q5 N6:N65">
    <cfRule type="notContainsBlanks" dxfId="0" priority="49" stopIfTrue="1">
      <formula>LEN(TRIM(N5))&gt;0</formula>
    </cfRule>
  </conditionalFormatting>
  <printOptions horizontalCentered="1"/>
  <pageMargins left="0.11811023622047245" right="0.11811023622047245" top="0.39370078740157483" bottom="0.19685039370078741" header="0.11811023622047245" footer="0.11811023622047245"/>
  <pageSetup paperSize="9" scale="97" orientation="landscape" horizontalDpi="300" verticalDpi="300" r:id="rId1"/>
  <headerFooter>
    <oddFooter>&amp;LDigital Arts Inc.&amp;C&amp;P ページ&amp;R&amp;D</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2:BS6"/>
  <sheetViews>
    <sheetView workbookViewId="0"/>
  </sheetViews>
  <sheetFormatPr defaultColWidth="9" defaultRowHeight="15"/>
  <cols>
    <col min="1" max="1" width="7.7265625" style="279" bestFit="1" customWidth="1"/>
    <col min="2" max="3" width="16.7265625" style="279" bestFit="1" customWidth="1"/>
    <col min="4" max="4" width="14.453125" style="279" bestFit="1" customWidth="1"/>
    <col min="5" max="5" width="18" style="279" bestFit="1" customWidth="1"/>
    <col min="6" max="6" width="21.90625" style="279" bestFit="1" customWidth="1"/>
    <col min="7" max="7" width="28.36328125" style="279" bestFit="1" customWidth="1"/>
    <col min="8" max="8" width="27.7265625" style="279" bestFit="1" customWidth="1"/>
    <col min="9" max="9" width="19.7265625" style="279" bestFit="1" customWidth="1"/>
    <col min="10" max="10" width="24" style="279" bestFit="1" customWidth="1"/>
    <col min="11" max="11" width="24.08984375" style="279" bestFit="1" customWidth="1"/>
    <col min="12" max="12" width="24.26953125" style="279" bestFit="1" customWidth="1"/>
    <col min="13" max="13" width="17.453125" style="279" bestFit="1" customWidth="1"/>
    <col min="14" max="14" width="26.26953125" style="279" bestFit="1" customWidth="1"/>
    <col min="15" max="15" width="26.453125" style="279" bestFit="1" customWidth="1"/>
    <col min="16" max="16" width="27.6328125" style="279" bestFit="1" customWidth="1"/>
    <col min="17" max="17" width="18.26953125" style="279" bestFit="1" customWidth="1"/>
    <col min="18" max="18" width="30.26953125" style="279" bestFit="1" customWidth="1"/>
    <col min="19" max="19" width="18.08984375" style="279" bestFit="1" customWidth="1"/>
    <col min="20" max="20" width="22" style="279" bestFit="1" customWidth="1"/>
    <col min="21" max="21" width="28.453125" style="279" bestFit="1" customWidth="1"/>
    <col min="22" max="22" width="27.90625" style="279" bestFit="1" customWidth="1"/>
    <col min="23" max="23" width="20" style="279" bestFit="1" customWidth="1"/>
    <col min="24" max="24" width="24.08984375" style="279" bestFit="1" customWidth="1"/>
    <col min="25" max="25" width="24.26953125" style="279" bestFit="1" customWidth="1"/>
    <col min="26" max="26" width="24.36328125" style="279" bestFit="1" customWidth="1"/>
    <col min="27" max="27" width="17.6328125" style="279" bestFit="1" customWidth="1"/>
    <col min="28" max="28" width="26.36328125" style="279" bestFit="1" customWidth="1"/>
    <col min="29" max="29" width="26.6328125" style="279" bestFit="1" customWidth="1"/>
    <col min="30" max="30" width="27.7265625" style="279" bestFit="1" customWidth="1"/>
    <col min="31" max="31" width="18.36328125" style="279" bestFit="1" customWidth="1"/>
    <col min="32" max="32" width="30.36328125" style="279" bestFit="1" customWidth="1"/>
    <col min="33" max="33" width="21.36328125" style="279" bestFit="1" customWidth="1"/>
    <col min="34" max="34" width="25.26953125" style="279" bestFit="1" customWidth="1"/>
    <col min="35" max="35" width="31.7265625" style="279" bestFit="1" customWidth="1"/>
    <col min="36" max="36" width="31" style="279" bestFit="1" customWidth="1"/>
    <col min="37" max="37" width="23.08984375" style="279" bestFit="1" customWidth="1"/>
    <col min="38" max="38" width="27.26953125" style="279" bestFit="1" customWidth="1"/>
    <col min="39" max="39" width="27.453125" style="279" bestFit="1" customWidth="1"/>
    <col min="40" max="40" width="27.6328125" style="279" bestFit="1" customWidth="1"/>
    <col min="41" max="41" width="20.7265625" style="279" bestFit="1" customWidth="1"/>
    <col min="42" max="42" width="29.453125" style="279" bestFit="1" customWidth="1"/>
    <col min="43" max="43" width="29.7265625" style="279" bestFit="1" customWidth="1"/>
    <col min="44" max="44" width="30.90625" style="279" bestFit="1" customWidth="1"/>
    <col min="45" max="45" width="21.6328125" style="279" bestFit="1" customWidth="1"/>
    <col min="46" max="46" width="33.453125" style="279" bestFit="1" customWidth="1"/>
    <col min="47" max="47" width="19.26953125" style="279" bestFit="1" customWidth="1"/>
    <col min="48" max="48" width="23.08984375" style="279" bestFit="1" customWidth="1"/>
    <col min="49" max="49" width="29.6328125" style="279" bestFit="1" customWidth="1"/>
    <col min="50" max="50" width="29" style="279" bestFit="1" customWidth="1"/>
    <col min="51" max="51" width="21" style="279" bestFit="1" customWidth="1"/>
    <col min="52" max="52" width="25.26953125" style="279" bestFit="1" customWidth="1"/>
    <col min="53" max="53" width="25.36328125" style="279" bestFit="1" customWidth="1"/>
    <col min="54" max="54" width="25.453125" style="279" bestFit="1" customWidth="1"/>
    <col min="55" max="55" width="18.7265625" style="279" bestFit="1" customWidth="1"/>
    <col min="56" max="56" width="27.453125" style="279" bestFit="1" customWidth="1"/>
    <col min="57" max="57" width="27.7265625" style="279" bestFit="1" customWidth="1"/>
    <col min="58" max="58" width="33.90625" style="279" bestFit="1" customWidth="1"/>
    <col min="59" max="59" width="19.453125" style="279" bestFit="1" customWidth="1"/>
    <col min="60" max="60" width="31.453125" style="279" bestFit="1" customWidth="1"/>
    <col min="61" max="61" width="25.7265625" style="279" bestFit="1" customWidth="1"/>
    <col min="62" max="62" width="27" style="279" bestFit="1" customWidth="1"/>
    <col min="63" max="63" width="26.6328125" style="279" bestFit="1" customWidth="1"/>
    <col min="64" max="64" width="30.453125" style="279" bestFit="1" customWidth="1"/>
    <col min="65" max="65" width="32" style="279" bestFit="1" customWidth="1"/>
    <col min="66" max="66" width="31.36328125" style="279" bestFit="1" customWidth="1"/>
    <col min="67" max="67" width="23.36328125" style="279" bestFit="1" customWidth="1"/>
    <col min="68" max="68" width="27.6328125" style="279" bestFit="1" customWidth="1"/>
    <col min="69" max="69" width="27.7265625" style="279" bestFit="1" customWidth="1"/>
    <col min="70" max="70" width="27.90625" style="279" bestFit="1" customWidth="1"/>
    <col min="71" max="71" width="16.6328125" style="279" bestFit="1" customWidth="1"/>
    <col min="72" max="16384" width="9" style="279"/>
  </cols>
  <sheetData>
    <row r="2" spans="1:71">
      <c r="A2" s="285" t="s">
        <v>715</v>
      </c>
      <c r="B2" s="285" t="s">
        <v>716</v>
      </c>
      <c r="C2" s="285" t="s">
        <v>717</v>
      </c>
      <c r="D2" s="285" t="s">
        <v>663</v>
      </c>
      <c r="E2" s="285" t="s">
        <v>718</v>
      </c>
      <c r="F2" s="285" t="s">
        <v>719</v>
      </c>
      <c r="G2" s="285" t="s">
        <v>720</v>
      </c>
      <c r="H2" s="285" t="s">
        <v>721</v>
      </c>
      <c r="I2" s="285" t="s">
        <v>722</v>
      </c>
      <c r="J2" s="285" t="s">
        <v>723</v>
      </c>
      <c r="K2" s="285" t="s">
        <v>724</v>
      </c>
      <c r="L2" s="285" t="s">
        <v>725</v>
      </c>
      <c r="M2" s="285" t="s">
        <v>703</v>
      </c>
      <c r="N2" s="285" t="s">
        <v>704</v>
      </c>
      <c r="O2" s="285" t="s">
        <v>705</v>
      </c>
      <c r="P2" s="285" t="s">
        <v>706</v>
      </c>
      <c r="Q2" s="285" t="s">
        <v>707</v>
      </c>
      <c r="R2" s="285" t="s">
        <v>708</v>
      </c>
      <c r="S2" s="285" t="s">
        <v>587</v>
      </c>
      <c r="T2" s="285" t="s">
        <v>588</v>
      </c>
      <c r="U2" s="285" t="s">
        <v>589</v>
      </c>
      <c r="V2" s="285" t="s">
        <v>590</v>
      </c>
      <c r="W2" s="285" t="s">
        <v>591</v>
      </c>
      <c r="X2" s="285" t="s">
        <v>592</v>
      </c>
      <c r="Y2" s="285" t="s">
        <v>593</v>
      </c>
      <c r="Z2" s="285" t="s">
        <v>594</v>
      </c>
      <c r="AA2" s="285" t="s">
        <v>726</v>
      </c>
      <c r="AB2" s="285" t="s">
        <v>727</v>
      </c>
      <c r="AC2" s="285" t="s">
        <v>728</v>
      </c>
      <c r="AD2" s="285" t="s">
        <v>729</v>
      </c>
      <c r="AE2" s="285" t="s">
        <v>730</v>
      </c>
      <c r="AF2" s="285" t="s">
        <v>731</v>
      </c>
      <c r="AG2" s="285" t="s">
        <v>595</v>
      </c>
      <c r="AH2" s="285" t="s">
        <v>596</v>
      </c>
      <c r="AI2" s="285" t="s">
        <v>597</v>
      </c>
      <c r="AJ2" s="285" t="s">
        <v>598</v>
      </c>
      <c r="AK2" s="285" t="s">
        <v>599</v>
      </c>
      <c r="AL2" s="285" t="s">
        <v>600</v>
      </c>
      <c r="AM2" s="285" t="s">
        <v>601</v>
      </c>
      <c r="AN2" s="285" t="s">
        <v>602</v>
      </c>
      <c r="AO2" s="285" t="s">
        <v>732</v>
      </c>
      <c r="AP2" s="285" t="s">
        <v>616</v>
      </c>
      <c r="AQ2" s="285" t="s">
        <v>733</v>
      </c>
      <c r="AR2" s="285" t="s">
        <v>617</v>
      </c>
      <c r="AS2" s="285" t="s">
        <v>618</v>
      </c>
      <c r="AT2" s="285" t="s">
        <v>619</v>
      </c>
      <c r="AU2" s="285" t="s">
        <v>603</v>
      </c>
      <c r="AV2" s="285" t="s">
        <v>604</v>
      </c>
      <c r="AW2" s="285" t="s">
        <v>605</v>
      </c>
      <c r="AX2" s="285" t="s">
        <v>606</v>
      </c>
      <c r="AY2" s="285" t="s">
        <v>607</v>
      </c>
      <c r="AZ2" s="285" t="s">
        <v>608</v>
      </c>
      <c r="BA2" s="285" t="s">
        <v>609</v>
      </c>
      <c r="BB2" s="285" t="s">
        <v>610</v>
      </c>
      <c r="BC2" s="285" t="s">
        <v>709</v>
      </c>
      <c r="BD2" s="285" t="s">
        <v>710</v>
      </c>
      <c r="BE2" s="285" t="s">
        <v>711</v>
      </c>
      <c r="BF2" s="285" t="s">
        <v>712</v>
      </c>
      <c r="BG2" s="285" t="s">
        <v>713</v>
      </c>
      <c r="BH2" s="285" t="s">
        <v>714</v>
      </c>
      <c r="BI2" s="285" t="s">
        <v>736</v>
      </c>
      <c r="BJ2" s="285" t="s">
        <v>611</v>
      </c>
      <c r="BK2" s="285" t="s">
        <v>935</v>
      </c>
      <c r="BL2" s="285" t="s">
        <v>936</v>
      </c>
      <c r="BM2" s="285" t="s">
        <v>937</v>
      </c>
      <c r="BN2" s="285" t="s">
        <v>938</v>
      </c>
      <c r="BO2" s="285" t="s">
        <v>939</v>
      </c>
      <c r="BP2" s="285" t="s">
        <v>940</v>
      </c>
      <c r="BQ2" s="285" t="s">
        <v>941</v>
      </c>
      <c r="BR2" s="285" t="s">
        <v>942</v>
      </c>
      <c r="BS2" s="285" t="s">
        <v>895</v>
      </c>
    </row>
    <row r="3" spans="1:71">
      <c r="A3" s="285" t="s">
        <v>612</v>
      </c>
      <c r="B3" s="278" t="e">
        <f>IF(お客様情報!N6=0,"",お客様情報!N6)</f>
        <v>#N/A</v>
      </c>
      <c r="C3" s="278" t="e">
        <f>IF(お客様情報!N7=0,"",お客様情報!N7)</f>
        <v>#N/A</v>
      </c>
      <c r="D3" s="314"/>
      <c r="E3" s="314"/>
      <c r="F3" s="278" t="e">
        <f>IF(お客様情報!N8=0,"",お客様情報!N8)</f>
        <v>#N/A</v>
      </c>
      <c r="G3" s="278" t="e">
        <f>IF(お客様情報!N10=0,"",お客様情報!N10)</f>
        <v>#N/A</v>
      </c>
      <c r="H3" s="278" t="e">
        <f>IF(お客様情報!N11=0,"",お客様情報!N11)</f>
        <v>#N/A</v>
      </c>
      <c r="I3" s="278" t="e">
        <f>IF(お客様情報!N12=0,"",お客様情報!N12)</f>
        <v>#N/A</v>
      </c>
      <c r="J3" s="278" t="e">
        <f>IF(お客様情報!N13=0,"",お客様情報!N13)</f>
        <v>#N/A</v>
      </c>
      <c r="K3" s="278" t="e">
        <f>IF(お客様情報!N14=0,"",お客様情報!N14)</f>
        <v>#N/A</v>
      </c>
      <c r="L3" s="286" t="e">
        <f>IF(お客様情報!N9=0,"",お客様情報!N9)</f>
        <v>#N/A</v>
      </c>
      <c r="M3" s="314"/>
      <c r="N3" s="278" t="e">
        <f>IF(お客様情報!N16=0,"",お客様情報!N16)</f>
        <v>#N/A</v>
      </c>
      <c r="O3" s="278" t="e">
        <f>IF(お客様情報!N17=0,"",お客様情報!N17)</f>
        <v>#N/A</v>
      </c>
      <c r="P3" s="278" t="e">
        <f>IF(お客様情報!N15=0,"",お客様情報!N15)</f>
        <v>#N/A</v>
      </c>
      <c r="Q3" s="278" t="e">
        <f>IF(お客様情報!N18=0,"",お客様情報!N18)</f>
        <v>#N/A</v>
      </c>
      <c r="R3" s="278" t="e">
        <f>IF(お客様情報!N19=0,"",お客様情報!N19)</f>
        <v>#N/A</v>
      </c>
      <c r="S3" s="314"/>
      <c r="T3" s="278" t="e">
        <f>IF(お客様情報!N41=0,"",お客様情報!N41)</f>
        <v>#N/A</v>
      </c>
      <c r="U3" s="278" t="e">
        <f>IF(お客様情報!N42=0,"",お客様情報!N42)</f>
        <v>#N/A</v>
      </c>
      <c r="V3" s="278" t="e">
        <f>IF(お客様情報!N43=0,"",お客様情報!N43)</f>
        <v>#N/A</v>
      </c>
      <c r="W3" s="278" t="e">
        <f>IF(お客様情報!N44=0,"",お客様情報!N44)</f>
        <v>#N/A</v>
      </c>
      <c r="X3" s="278" t="e">
        <f>IF(お客様情報!N45=0,"",お客様情報!N45)</f>
        <v>#N/A</v>
      </c>
      <c r="Y3" s="278" t="e">
        <f>IF(お客様情報!N46=0,"",お客様情報!N46)</f>
        <v>#N/A</v>
      </c>
      <c r="Z3" s="278" t="s">
        <v>752</v>
      </c>
      <c r="AA3" s="314"/>
      <c r="AB3" s="278" t="e">
        <f>IF(お客様情報!N48=0,"",お客様情報!N48)</f>
        <v>#N/A</v>
      </c>
      <c r="AC3" s="278" t="e">
        <f>IF(お客様情報!N49=0,"",お客様情報!N49)</f>
        <v>#N/A</v>
      </c>
      <c r="AD3" s="278" t="e">
        <f>IF(お客様情報!N47=0,"",お客様情報!N47)</f>
        <v>#N/A</v>
      </c>
      <c r="AE3" s="278" t="e">
        <f>IF(お客様情報!N50=0,"",お客様情報!N50)</f>
        <v>#N/A</v>
      </c>
      <c r="AF3" s="278" t="e">
        <f>IF(お客様情報!N51=0,"",お客様情報!N51)</f>
        <v>#N/A</v>
      </c>
      <c r="AG3" s="314"/>
      <c r="AH3" s="278" t="e">
        <f>IF(お客様情報!N53=0,"",お客様情報!N53)</f>
        <v>#N/A</v>
      </c>
      <c r="AI3" s="278" t="e">
        <f>IF(お客様情報!N54=0,"",お客様情報!N54)</f>
        <v>#N/A</v>
      </c>
      <c r="AJ3" s="278" t="e">
        <f>IF(お客様情報!N55=0,"",お客様情報!N55)</f>
        <v>#N/A</v>
      </c>
      <c r="AK3" s="278" t="e">
        <f>IF(お客様情報!N56=0,"",お客様情報!N56)</f>
        <v>#N/A</v>
      </c>
      <c r="AL3" s="278" t="e">
        <f>IF(お客様情報!N57=0,"",お客様情報!N57)</f>
        <v>#N/A</v>
      </c>
      <c r="AM3" s="278" t="e">
        <f>IF(お客様情報!N58=0,"",お客様情報!N58)</f>
        <v>#N/A</v>
      </c>
      <c r="AN3" s="278" t="s">
        <v>752</v>
      </c>
      <c r="AO3" s="314"/>
      <c r="AP3" s="278" t="e">
        <f>IF(お客様情報!N60=0,"",お客様情報!N60)</f>
        <v>#N/A</v>
      </c>
      <c r="AQ3" s="278" t="e">
        <f>IF(お客様情報!N61=0,"",お客様情報!N61)</f>
        <v>#N/A</v>
      </c>
      <c r="AR3" s="278" t="e">
        <f>IF(お客様情報!N59=0,"",お客様情報!N59)</f>
        <v>#N/A</v>
      </c>
      <c r="AS3" s="278" t="e">
        <f>IF(お客様情報!N62=0,"",お客様情報!N62)</f>
        <v>#N/A</v>
      </c>
      <c r="AT3" s="278" t="e">
        <f>IF(お客様情報!N63=0,"",お客様情報!N63)</f>
        <v>#N/A</v>
      </c>
      <c r="AU3" s="314"/>
      <c r="AV3" s="278" t="e">
        <f>IF(お客様情報!N21=0,"",お客様情報!N21)</f>
        <v>#N/A</v>
      </c>
      <c r="AW3" s="278" t="e">
        <f>IF(お客様情報!N22=0,"",お客様情報!N22)</f>
        <v>#N/A</v>
      </c>
      <c r="AX3" s="278" t="e">
        <f>IF(お客様情報!N23=0,"",お客様情報!N23)</f>
        <v>#N/A</v>
      </c>
      <c r="AY3" s="278" t="e">
        <f>IF(お客様情報!N24=0,"",お客様情報!N24)</f>
        <v>#N/A</v>
      </c>
      <c r="AZ3" s="278" t="e">
        <f>IF(お客様情報!N25=0,"",お客様情報!N25)</f>
        <v>#N/A</v>
      </c>
      <c r="BA3" s="278" t="e">
        <f>IF(お客様情報!N26=0,"",お客様情報!N26)</f>
        <v>#N/A</v>
      </c>
      <c r="BB3" s="278" t="s">
        <v>751</v>
      </c>
      <c r="BC3" s="314"/>
      <c r="BD3" s="278" t="e">
        <f>IF(お客様情報!N28=0,"",お客様情報!N28)</f>
        <v>#N/A</v>
      </c>
      <c r="BE3" s="278" t="e">
        <f>IF(お客様情報!N29=0,"",お客様情報!N29)</f>
        <v>#N/A</v>
      </c>
      <c r="BF3" s="278" t="e">
        <f>IF(お客様情報!N27=0,"",お客様情報!N27)</f>
        <v>#N/A</v>
      </c>
      <c r="BG3" s="278" t="e">
        <f>IF(お客様情報!N30=0,"",お客様情報!N30)</f>
        <v>#N/A</v>
      </c>
      <c r="BH3" s="278" t="e">
        <f>IF(お客様情報!N31=0,"",お客様情報!N31)</f>
        <v>#N/A</v>
      </c>
      <c r="BI3" s="278" t="e">
        <f>IF(お客様情報!N20="はい",1,0)</f>
        <v>#N/A</v>
      </c>
      <c r="BJ3" s="278" t="e">
        <f>IF(お客様情報!N32="はい",1,0)</f>
        <v>#N/A</v>
      </c>
      <c r="BK3" s="378"/>
      <c r="BL3" s="278" t="e">
        <f>お客様情報!N33</f>
        <v>#N/A</v>
      </c>
      <c r="BM3" s="278" t="e">
        <f>お客様情報!N35</f>
        <v>#N/A</v>
      </c>
      <c r="BN3" s="278" t="e">
        <f>お客様情報!N36</f>
        <v>#N/A</v>
      </c>
      <c r="BO3" s="278" t="e">
        <f>お客様情報!N37</f>
        <v>#N/A</v>
      </c>
      <c r="BP3" s="278" t="e">
        <f>お客様情報!N38</f>
        <v>#N/A</v>
      </c>
      <c r="BQ3" s="278" t="e">
        <f>お客様情報!N39</f>
        <v>#N/A</v>
      </c>
      <c r="BR3" s="278" t="e">
        <f>お客様情報!N34</f>
        <v>#N/A</v>
      </c>
      <c r="BS3" s="278">
        <f>IF(OR(お客様情報!E2="代ホ_オンプレ",お客様情報!E2="代ホ_DSPA"),1,0)</f>
        <v>0</v>
      </c>
    </row>
    <row r="6" spans="1:71">
      <c r="B6" s="279" t="s">
        <v>896</v>
      </c>
      <c r="C6" s="381" t="s">
        <v>897</v>
      </c>
    </row>
  </sheetData>
  <phoneticPr fontId="68"/>
  <hyperlinks>
    <hyperlink ref="C6" r:id="rId1" xr:uid="{00000000-0004-0000-10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D52"/>
  <sheetViews>
    <sheetView topLeftCell="O1" workbookViewId="0">
      <selection activeCell="W5" sqref="W5"/>
    </sheetView>
  </sheetViews>
  <sheetFormatPr defaultColWidth="9" defaultRowHeight="13"/>
  <cols>
    <col min="1" max="1" width="1.6328125" style="1" customWidth="1"/>
    <col min="2" max="2" width="6.6328125" style="1" customWidth="1"/>
    <col min="3" max="3" width="10.6328125" style="1" customWidth="1"/>
    <col min="4" max="4" width="1.6328125" customWidth="1"/>
    <col min="5" max="6" width="17" customWidth="1"/>
    <col min="7" max="7" width="1.6328125" customWidth="1"/>
    <col min="8" max="9" width="17.7265625" customWidth="1"/>
    <col min="10" max="10" width="1.6328125" customWidth="1"/>
    <col min="11" max="11" width="12.453125" style="1" customWidth="1"/>
    <col min="12" max="12" width="12.6328125" style="2" customWidth="1"/>
    <col min="13" max="13" width="1.6328125" style="1" customWidth="1"/>
    <col min="14" max="14" width="12.6328125" style="1" customWidth="1"/>
    <col min="15" max="15" width="24.6328125" style="1" customWidth="1"/>
    <col min="16" max="16" width="1.6328125" style="1" customWidth="1"/>
    <col min="17" max="17" width="12.6328125" style="1" customWidth="1"/>
    <col min="18" max="18" width="24.6328125" style="1" customWidth="1"/>
    <col min="19" max="19" width="1.6328125" style="1" customWidth="1"/>
    <col min="20" max="20" width="17.90625" style="1" customWidth="1"/>
    <col min="21" max="21" width="24.6328125" style="1" customWidth="1"/>
    <col min="22" max="22" width="1.6328125" style="1" customWidth="1"/>
    <col min="23" max="23" width="25.08984375" style="1" customWidth="1"/>
    <col min="24" max="30" width="16.6328125" style="1" customWidth="1"/>
    <col min="31" max="16384" width="9" style="1"/>
  </cols>
  <sheetData>
    <row r="1" spans="2:30" ht="13.5" thickBot="1">
      <c r="W1" s="761" t="s">
        <v>1061</v>
      </c>
      <c r="X1" s="761"/>
      <c r="Y1" s="761"/>
      <c r="Z1" s="761"/>
      <c r="AA1" s="762" t="s">
        <v>1062</v>
      </c>
      <c r="AB1" s="762"/>
      <c r="AC1" s="763" t="s">
        <v>1063</v>
      </c>
      <c r="AD1" s="763"/>
    </row>
    <row r="2" spans="2:30" ht="14" thickTop="1" thickBot="1">
      <c r="B2" s="69" t="s">
        <v>38</v>
      </c>
      <c r="C2" s="70" t="s">
        <v>171</v>
      </c>
      <c r="E2" s="764" t="s">
        <v>1018</v>
      </c>
      <c r="F2" s="765"/>
      <c r="H2" s="764" t="s">
        <v>1015</v>
      </c>
      <c r="I2" s="765"/>
      <c r="K2" s="772" t="s">
        <v>123</v>
      </c>
      <c r="L2" s="773"/>
      <c r="M2" s="6"/>
      <c r="N2" s="770" t="s">
        <v>53</v>
      </c>
      <c r="O2" s="771"/>
      <c r="P2" s="372"/>
      <c r="Q2" s="770" t="s">
        <v>1016</v>
      </c>
      <c r="R2" s="771"/>
      <c r="T2" s="768" t="s">
        <v>122</v>
      </c>
      <c r="U2" s="769"/>
      <c r="W2" s="90" t="s">
        <v>152</v>
      </c>
      <c r="X2" s="91" t="s">
        <v>153</v>
      </c>
      <c r="Y2" s="91" t="s">
        <v>206</v>
      </c>
      <c r="Z2" s="91"/>
      <c r="AA2" s="359"/>
      <c r="AB2" s="359"/>
      <c r="AC2" s="91"/>
      <c r="AD2" s="92"/>
    </row>
    <row r="3" spans="2:30" ht="13.5" thickTop="1">
      <c r="B3" s="67" t="s">
        <v>5</v>
      </c>
      <c r="C3" s="65">
        <v>1</v>
      </c>
      <c r="E3" s="12" t="s">
        <v>153</v>
      </c>
      <c r="F3" s="13"/>
      <c r="H3" s="12" t="s">
        <v>153</v>
      </c>
      <c r="I3" s="13"/>
      <c r="K3" s="89" t="e">
        <f>VLOOKUP(入力フォームiF・mF・FC・iFBC・MA!BE142,$B$3:$C$12,2,FALSE)</f>
        <v>#N/A</v>
      </c>
      <c r="L3" s="98" t="str">
        <f>K4&amp;"/"&amp;K5&amp;"/"&amp;K6</f>
        <v>2000/0/1</v>
      </c>
      <c r="M3" s="2"/>
      <c r="N3" s="9" t="b">
        <f>IF(入力フォームiF・mF・FC・iFBC・MA!F94="有",TRUE(),FALSE())</f>
        <v>0</v>
      </c>
      <c r="O3" s="10" t="s">
        <v>54</v>
      </c>
      <c r="Q3" s="9" t="b">
        <f>IF(代ホ_入力フォームiF・mF・MA!F102="有",TRUE(),FALSE())</f>
        <v>0</v>
      </c>
      <c r="R3" s="10" t="s">
        <v>54</v>
      </c>
      <c r="T3" s="18" t="e">
        <f>VLOOKUP(入力フォームiF・mF・FC・iFBC・MA!AY148,$B$3:$C$12,2,FALSE)</f>
        <v>#N/A</v>
      </c>
      <c r="U3" s="19" t="str">
        <f>T4&amp;"/"&amp;T5&amp;"/"&amp;T6</f>
        <v>2000/0/1</v>
      </c>
      <c r="W3" s="105" t="s">
        <v>190</v>
      </c>
      <c r="X3" s="105" t="s">
        <v>157</v>
      </c>
      <c r="Y3" s="104" t="s">
        <v>156</v>
      </c>
      <c r="Z3" s="105" t="s">
        <v>157</v>
      </c>
      <c r="AA3" s="105" t="s">
        <v>190</v>
      </c>
      <c r="AB3" s="104" t="s">
        <v>156</v>
      </c>
      <c r="AC3" s="105" t="s">
        <v>190</v>
      </c>
      <c r="AD3" s="105" t="s">
        <v>182</v>
      </c>
    </row>
    <row r="4" spans="2:30">
      <c r="B4" s="67" t="s">
        <v>6</v>
      </c>
      <c r="C4" s="65">
        <v>2</v>
      </c>
      <c r="E4" s="12" t="s">
        <v>147</v>
      </c>
      <c r="F4" s="13"/>
      <c r="H4" s="12" t="s">
        <v>147</v>
      </c>
      <c r="I4" s="13"/>
      <c r="K4" s="87">
        <f>入力フォームiF・mF・FC・iFBC・MA!BP142+2000</f>
        <v>2000</v>
      </c>
      <c r="L4" s="99" t="e">
        <f>K3+K4</f>
        <v>#N/A</v>
      </c>
      <c r="M4" s="2"/>
      <c r="N4" s="9" t="b">
        <f>IF(入力フォームiF・mF・FC・iFBC・MA!M94="有",TRUE(),FALSE())</f>
        <v>0</v>
      </c>
      <c r="O4" s="10" t="s">
        <v>55</v>
      </c>
      <c r="Q4" s="9" t="b">
        <f>IF(代ホ_入力フォームiF・mF・MA!M102="有",TRUE(),FALSE())</f>
        <v>0</v>
      </c>
      <c r="R4" s="10" t="s">
        <v>55</v>
      </c>
      <c r="T4" s="20">
        <f>入力フォームiF・mF・FC・iFBC・MA!BJ148+2000</f>
        <v>2000</v>
      </c>
      <c r="U4" s="21" t="e">
        <f>T4+T3</f>
        <v>#N/A</v>
      </c>
      <c r="W4" s="104" t="s">
        <v>191</v>
      </c>
      <c r="X4" s="104" t="s">
        <v>174</v>
      </c>
      <c r="Y4" s="104" t="s">
        <v>175</v>
      </c>
      <c r="Z4" s="104" t="s">
        <v>803</v>
      </c>
      <c r="AA4" s="104" t="s">
        <v>191</v>
      </c>
      <c r="AB4" s="104" t="s">
        <v>183</v>
      </c>
      <c r="AC4" s="104" t="s">
        <v>191</v>
      </c>
      <c r="AD4" s="104" t="s">
        <v>183</v>
      </c>
    </row>
    <row r="5" spans="2:30">
      <c r="B5" s="67" t="s">
        <v>7</v>
      </c>
      <c r="C5" s="65">
        <v>3</v>
      </c>
      <c r="E5" s="227" t="s">
        <v>144</v>
      </c>
      <c r="F5" s="228" t="s">
        <v>146</v>
      </c>
      <c r="H5" s="411" t="s">
        <v>144</v>
      </c>
      <c r="I5" s="412" t="s">
        <v>82</v>
      </c>
      <c r="K5" s="87">
        <f>入力フォームiF・mF・FC・iFBC・MA!BT142</f>
        <v>0</v>
      </c>
      <c r="L5" s="100"/>
      <c r="M5" s="2"/>
      <c r="N5" s="9" t="b">
        <f>IF(入力フォームiF・mF・FC・iFBC・MA!S94="有",TRUE(),FALSE())</f>
        <v>0</v>
      </c>
      <c r="O5" s="10" t="s">
        <v>32</v>
      </c>
      <c r="Q5" s="9" t="b">
        <f>IF(代ホ_入力フォームiF・mF・MA!S102="有",TRUE(),FALSE())</f>
        <v>0</v>
      </c>
      <c r="R5" s="10" t="s">
        <v>32</v>
      </c>
      <c r="T5" s="20">
        <f>入力フォームiF・mF・FC・iFBC・MA!BN148</f>
        <v>0</v>
      </c>
      <c r="U5" s="22"/>
      <c r="W5" s="104" t="s">
        <v>192</v>
      </c>
      <c r="X5" s="104" t="s">
        <v>156</v>
      </c>
      <c r="Y5" s="104" t="s">
        <v>158</v>
      </c>
      <c r="Z5" s="104" t="s">
        <v>156</v>
      </c>
      <c r="AA5" s="104" t="s">
        <v>192</v>
      </c>
      <c r="AB5" s="104" t="s">
        <v>180</v>
      </c>
      <c r="AC5" s="104" t="s">
        <v>192</v>
      </c>
      <c r="AD5" s="104" t="s">
        <v>180</v>
      </c>
    </row>
    <row r="6" spans="2:30">
      <c r="B6" s="67" t="s">
        <v>8</v>
      </c>
      <c r="C6" s="65">
        <v>4</v>
      </c>
      <c r="E6" s="227" t="s">
        <v>145</v>
      </c>
      <c r="F6" s="228" t="s">
        <v>82</v>
      </c>
      <c r="H6" s="411" t="s">
        <v>145</v>
      </c>
      <c r="I6" s="412" t="s">
        <v>82</v>
      </c>
      <c r="K6" s="87">
        <v>1</v>
      </c>
      <c r="L6" s="100"/>
      <c r="M6" s="2"/>
      <c r="N6" s="9" t="b">
        <f>IF(AND(入力フォームiF・mF・FC・iFBC・MA!$E$90="m‐FILTER_Ver.5",入力フォームiF・mF・FC・iFBC・MA!$AL$90="新規",OR(入力フォームiF・mF・FC・iFBC・MA!$F$94="有",入力フォームiF・mF・FC・iFBC・MA!$M$94="有")),TRUE(),IF(入力フォームiF・mF・FC・iFBC・MA!Y94="有",TRUE(),FALSE()))</f>
        <v>0</v>
      </c>
      <c r="O6" s="10" t="s">
        <v>56</v>
      </c>
      <c r="Q6" s="9" t="b">
        <f>OR(IF(AND(代ホ_入力フォームiF・mF・MA!$E$98="m‐FILTER_Ver.5",代ホ_入力フォームiF・mF・MA!$AL$98="新規",OR(代ホ_入力フォームiF・mF・MA!$F$102="有",代ホ_入力フォームiF・mF・MA!$M$102="有")),TRUE(),IF(代ホ_入力フォームiF・mF・MA!Y102="有",TRUE(),FALSE())),AND(代ホ_入力フォームiF・mF・MA!$E$98="m‐FILTER_Ver.5",代ホ_入力フォームiF・mF・MA!$AL$98="新規",OR(代ホ_入力フォームiF・mF・MA!$F$102="有",代ホ_入力フォームiF・mF・MA!$M$102="有")))</f>
        <v>0</v>
      </c>
      <c r="R6" s="10" t="s">
        <v>56</v>
      </c>
      <c r="T6" s="20">
        <v>1</v>
      </c>
      <c r="U6" s="23"/>
      <c r="W6" s="107" t="s">
        <v>802</v>
      </c>
      <c r="X6" s="104" t="s">
        <v>175</v>
      </c>
      <c r="Y6" s="107" t="s">
        <v>184</v>
      </c>
      <c r="Z6" s="104" t="s">
        <v>815</v>
      </c>
      <c r="AA6" s="107" t="s">
        <v>184</v>
      </c>
      <c r="AB6" s="104" t="s">
        <v>185</v>
      </c>
      <c r="AC6" s="107" t="s">
        <v>184</v>
      </c>
      <c r="AD6" s="104" t="s">
        <v>185</v>
      </c>
    </row>
    <row r="7" spans="2:30">
      <c r="B7" s="67" t="s">
        <v>9</v>
      </c>
      <c r="C7" s="65">
        <v>5</v>
      </c>
      <c r="E7" s="12"/>
      <c r="F7" s="13"/>
      <c r="H7" s="12"/>
      <c r="I7" s="13"/>
      <c r="K7" s="88"/>
      <c r="L7" s="77" t="e">
        <f>DATEVALUE(K4+K3&amp;"/"&amp;K5&amp;"/"&amp;K6)-1</f>
        <v>#N/A</v>
      </c>
      <c r="M7" s="2"/>
      <c r="N7" s="9" t="b">
        <f>IF(OR(入力フォームiF・mF・FC・iFBC・MA!AK94="有/FinalCode保有",入力フォームiF・mF・FC・iFBC・MA!AK94="有/FinalCodeを同時購入"),TRUE(),FALSE())</f>
        <v>0</v>
      </c>
      <c r="O7" s="10" t="s">
        <v>172</v>
      </c>
      <c r="Q7" s="9" t="b">
        <f>IF(OR(代ホ_入力フォームiF・mF・MA!AK102="有/FinalCode保有",代ホ_入力フォームiF・mF・MA!AK102="有/FinalCodeを同時購入"),TRUE(),FALSE())</f>
        <v>0</v>
      </c>
      <c r="R7" s="10" t="s">
        <v>172</v>
      </c>
      <c r="T7" s="26"/>
      <c r="U7" s="27" t="e">
        <f>DATEVALUE(T4+T3&amp;"/"&amp;T5&amp;"/"&amp;T6)-1</f>
        <v>#N/A</v>
      </c>
      <c r="W7" s="107" t="s">
        <v>184</v>
      </c>
      <c r="X7" s="104" t="s">
        <v>158</v>
      </c>
      <c r="Y7" s="107" t="s">
        <v>184</v>
      </c>
      <c r="Z7" s="104" t="s">
        <v>158</v>
      </c>
      <c r="AA7" s="443"/>
      <c r="AB7" s="442"/>
      <c r="AC7" s="106"/>
      <c r="AD7" s="106"/>
    </row>
    <row r="8" spans="2:30">
      <c r="B8" s="67" t="s">
        <v>33</v>
      </c>
      <c r="C8" s="65">
        <v>6</v>
      </c>
      <c r="E8" s="12" t="b">
        <f>IF(入力フォームiF・mF・FC・iFBC・MA!CF76="有",TRUE(),FALSE())</f>
        <v>0</v>
      </c>
      <c r="F8" s="13" t="s">
        <v>50</v>
      </c>
      <c r="H8" s="12" t="b">
        <f>IF(代ホ_入力フォームiF・mF・MA!CZ84="有",TRUE(),FALSE())</f>
        <v>0</v>
      </c>
      <c r="I8" s="13" t="s">
        <v>50</v>
      </c>
      <c r="K8" s="8"/>
      <c r="L8" s="101"/>
      <c r="M8" s="2"/>
      <c r="N8" s="557" t="b">
        <f>IF(入力フォームiF・mF・FC・iFBC・MA!BP97="有",TRUE(),FALSE())</f>
        <v>0</v>
      </c>
      <c r="O8" s="10" t="s">
        <v>1181</v>
      </c>
      <c r="Q8" s="9" t="b">
        <f>IF(代ホ_入力フォームiF・mF・MA!BS105="有",TRUE(),FALSE())</f>
        <v>0</v>
      </c>
      <c r="R8" s="10" t="s">
        <v>1182</v>
      </c>
      <c r="T8" s="26" t="b">
        <f>IF(OR(入力フォームiF・mF・FC・iFBC・MA!CR152="有/FinalCode保有",入力フォームiF・mF・FC・iFBC・MA!CR152="有/入力フォーム!FinalCodeを同時購入"),TRUE(),FALSE())</f>
        <v>0</v>
      </c>
      <c r="U8" s="27" t="s">
        <v>137</v>
      </c>
      <c r="W8" s="107" t="s">
        <v>184</v>
      </c>
      <c r="X8" s="104" t="s">
        <v>106</v>
      </c>
      <c r="Y8" s="107" t="s">
        <v>184</v>
      </c>
      <c r="Z8" s="104" t="s">
        <v>106</v>
      </c>
      <c r="AA8" s="460"/>
      <c r="AB8" s="106"/>
      <c r="AC8" s="106"/>
      <c r="AD8" s="106"/>
    </row>
    <row r="9" spans="2:30" ht="13.5" thickBot="1">
      <c r="B9" s="67" t="s">
        <v>34</v>
      </c>
      <c r="C9" s="65">
        <v>7</v>
      </c>
      <c r="E9" s="12" t="b">
        <f>IF(入力フォームiF・mF・FC・iFBC・MA!CM76="有",TRUE(),FALSE())</f>
        <v>0</v>
      </c>
      <c r="F9" s="13" t="s">
        <v>51</v>
      </c>
      <c r="H9" s="12" t="b">
        <f>IF(代ホ_入力フォームiF・mF・MA!DG84="有",TRUE(),FALSE())</f>
        <v>0</v>
      </c>
      <c r="I9" s="13" t="s">
        <v>51</v>
      </c>
      <c r="K9" s="431">
        <f>入力フォームiF・mF・FC・iFBC・MA!AZ142</f>
        <v>0</v>
      </c>
      <c r="L9" s="102" t="str">
        <f>IF(ISERROR(VLOOKUP(K9,B21:C51,2)),"",VLOOKUP(K9,B21:C51,2))</f>
        <v>-01</v>
      </c>
      <c r="M9" s="2"/>
      <c r="N9" s="557" t="b">
        <f>IF(入力フォームiF・mF・FC・iFBC・MA!DK97="有",TRUE(),FALSE())</f>
        <v>0</v>
      </c>
      <c r="O9" s="559" t="s">
        <v>1216</v>
      </c>
      <c r="Q9" s="9" t="b">
        <f>IF(代ホ_入力フォームiF・mF・MA!DK105="有",TRUE(),FALSE())</f>
        <v>0</v>
      </c>
      <c r="R9" s="559" t="s">
        <v>1216</v>
      </c>
      <c r="T9" s="558" t="b">
        <f>IF(入力フォームiF・mF・FC・iFBC・MA!BK152="有",TRUE(),FALSE())</f>
        <v>0</v>
      </c>
      <c r="U9" s="29" t="s">
        <v>1199</v>
      </c>
      <c r="W9" s="107" t="s">
        <v>184</v>
      </c>
      <c r="X9" s="104" t="s">
        <v>159</v>
      </c>
      <c r="Y9" s="107" t="s">
        <v>184</v>
      </c>
      <c r="Z9" s="104" t="s">
        <v>159</v>
      </c>
      <c r="AA9" s="460"/>
      <c r="AB9" s="106"/>
      <c r="AC9" s="106"/>
      <c r="AD9" s="106"/>
    </row>
    <row r="10" spans="2:30" ht="14" thickTop="1" thickBot="1">
      <c r="B10" s="67" t="s">
        <v>35</v>
      </c>
      <c r="C10" s="65">
        <v>8</v>
      </c>
      <c r="D10" s="24"/>
      <c r="E10" s="31" t="b">
        <f>IF(入力フォームiF・mF・FC・iFBC・MA!W76="有",TRUE(),FALSE())</f>
        <v>0</v>
      </c>
      <c r="F10" s="30" t="s">
        <v>81</v>
      </c>
      <c r="H10" s="31" t="b">
        <f>IF(代ホ_入力フォームiF・mF・MA!W84="有",TRUE(),FALSE())</f>
        <v>0</v>
      </c>
      <c r="I10" s="30" t="s">
        <v>81</v>
      </c>
      <c r="L10" s="1"/>
      <c r="M10" s="2"/>
      <c r="N10" s="557" t="b">
        <f>IF(LEFT(入力フォームiF・mF・FC・iFBC・MA!H97,1)="有",TRUE(),FALSE())</f>
        <v>0</v>
      </c>
      <c r="O10" s="10" t="s">
        <v>1168</v>
      </c>
      <c r="Q10" s="9" t="b">
        <f>IF(LEFT(代ホ_入力フォームiF・mF・MA!H105,1)="有",TRUE(),FALSE())</f>
        <v>0</v>
      </c>
      <c r="R10" s="10" t="s">
        <v>1168</v>
      </c>
      <c r="T10" s="71"/>
      <c r="U10" s="564"/>
      <c r="W10" s="107" t="s">
        <v>184</v>
      </c>
      <c r="X10" s="104" t="s">
        <v>186</v>
      </c>
      <c r="Y10" s="107" t="s">
        <v>184</v>
      </c>
      <c r="Z10" s="104" t="s">
        <v>804</v>
      </c>
      <c r="AA10" s="460"/>
      <c r="AB10" s="106"/>
      <c r="AC10" s="106"/>
      <c r="AD10" s="106"/>
    </row>
    <row r="11" spans="2:30" ht="14" thickTop="1" thickBot="1">
      <c r="B11" s="67" t="s">
        <v>36</v>
      </c>
      <c r="C11" s="65">
        <v>9</v>
      </c>
      <c r="E11" s="31" t="b">
        <f>IF(入力フォームiF・mF・FC・iFBC・MA!BH76="有",TRUE(),FALSE())</f>
        <v>0</v>
      </c>
      <c r="F11" s="30" t="s">
        <v>52</v>
      </c>
      <c r="H11" s="31" t="b">
        <f>IF(代ホ_入力フォームiF・mF・MA!BH84="有",TRUE(),FALSE())</f>
        <v>0</v>
      </c>
      <c r="I11" s="30" t="s">
        <v>52</v>
      </c>
      <c r="L11" s="1"/>
      <c r="M11" s="2"/>
      <c r="N11" s="557" t="b">
        <f>IF(入力フォームiF・mF・FC・iFBC・MA!DC100&gt;=1,TRUE(),FALSE())</f>
        <v>0</v>
      </c>
      <c r="O11" s="10" t="s">
        <v>1307</v>
      </c>
      <c r="Q11" s="9" t="b">
        <f>IF(代ホ_入力フォームiF・mF・MA!DC105&gt;=1,TRUE(),FALSE())</f>
        <v>0</v>
      </c>
      <c r="R11" s="10" t="s">
        <v>1219</v>
      </c>
      <c r="W11" s="107" t="s">
        <v>184</v>
      </c>
      <c r="X11" s="104" t="s">
        <v>176</v>
      </c>
      <c r="Y11" s="107" t="s">
        <v>184</v>
      </c>
      <c r="Z11" s="441" t="s">
        <v>805</v>
      </c>
      <c r="AA11" s="460"/>
      <c r="AB11" s="106"/>
      <c r="AC11" s="106"/>
      <c r="AD11" s="106"/>
    </row>
    <row r="12" spans="2:30" ht="14" thickTop="1" thickBot="1">
      <c r="B12" s="68" t="s">
        <v>37</v>
      </c>
      <c r="C12" s="66">
        <v>10</v>
      </c>
      <c r="E12" s="32" t="str">
        <f>IF(入力フォームiF・mF・FC・iFBC・MA!$AQ$76="有/DDI","i-FILTER APT Protection(DDI)",IF(入力フォームiF・mF・FC・iFBC・MA!$AQ$76="有/FE","i-FILTER APT Protection(FE)",IF(入力フォームiF・mF・FC・iFBC・MA!$AQ$76="無","",IF(入力フォームiF・mF・FC・iFBC・MA!AQ76="",""))))</f>
        <v/>
      </c>
      <c r="F12" s="13" t="s">
        <v>148</v>
      </c>
      <c r="H12" s="32" t="b">
        <f>IF(代ホ_入力フォームiF・mF・MA!$AQ$84="有/DDI","i-FILTER APT Protection(DDI)",IF(代ホ_入力フォームiF・mF・MA!$AQ$84="有/FE","i-FILTER APT Protection(FE)",IF(代ホ_入力フォームiF・mF・MA!$AQ$84="無","",IF(代ホ_入力フォームiF・mF・MA!$AJ$84="",""))))</f>
        <v>0</v>
      </c>
      <c r="I12" s="13" t="s">
        <v>148</v>
      </c>
      <c r="L12" s="1"/>
      <c r="M12" s="2"/>
      <c r="N12" s="336" t="b">
        <f>IF(入力フォームiF・mF・FC・iFBC・MA!CT94="有",TRUE(),FALSE())</f>
        <v>0</v>
      </c>
      <c r="O12" s="337" t="s">
        <v>161</v>
      </c>
      <c r="Q12" s="9" t="b">
        <f>IF(代ホ_入力フォームiF・mF・MA!CT102="有",TRUE(),FALSE())</f>
        <v>0</v>
      </c>
      <c r="R12" s="373" t="s">
        <v>161</v>
      </c>
      <c r="T12" s="768" t="s">
        <v>1017</v>
      </c>
      <c r="U12" s="769"/>
      <c r="W12" s="108"/>
      <c r="X12" s="106"/>
      <c r="AA12" s="108"/>
      <c r="AB12" s="106"/>
      <c r="AC12" s="106"/>
    </row>
    <row r="13" spans="2:30" ht="14" thickTop="1" thickBot="1">
      <c r="E13" s="35" t="b">
        <f>IF(入力フォームiF・mF・FC・iFBC・MA!H76="有",TRUE(),FALSE())</f>
        <v>0</v>
      </c>
      <c r="F13" s="36" t="s">
        <v>154</v>
      </c>
      <c r="H13" s="35" t="b">
        <f>IF(代ホ_入力フォームiF・mF・MA!H84="有",TRUE(),FALSE())</f>
        <v>0</v>
      </c>
      <c r="I13" s="36" t="s">
        <v>154</v>
      </c>
      <c r="L13" s="1"/>
      <c r="M13" s="2"/>
      <c r="N13" s="28" t="b">
        <f>IF(入力フォームiF・mF・FC・iFBC・MA!CN94="有",TRUE(),FALSE())</f>
        <v>0</v>
      </c>
      <c r="O13" s="29" t="s">
        <v>1217</v>
      </c>
      <c r="Q13" s="28" t="b">
        <f>IF(代ホ_入力フォームiF・mF・MA!CN102="有",TRUE(),FALSE())</f>
        <v>0</v>
      </c>
      <c r="R13" s="29" t="s">
        <v>1217</v>
      </c>
      <c r="T13" s="18" t="e">
        <f>VLOOKUP(代ホ_入力フォームiF・mF・MA!AY151,$B$3:$C$12,2,FALSE)</f>
        <v>#N/A</v>
      </c>
      <c r="U13" s="19" t="str">
        <f>T14&amp;"-"&amp;T15&amp;"-"&amp;T16</f>
        <v>2000-0-1</v>
      </c>
    </row>
    <row r="14" spans="2:30" ht="14" thickTop="1" thickBot="1">
      <c r="E14" s="35" t="b">
        <f>IF(入力フォームiF・mF・FC・iFBC・MA!BB76="有",TRUE(),FALSE())</f>
        <v>0</v>
      </c>
      <c r="F14" s="37" t="s">
        <v>155</v>
      </c>
      <c r="H14" s="35" t="b">
        <f>IF(代ホ_入力フォームiF・mF・MA!BB84="有",TRUE(),FALSE())</f>
        <v>0</v>
      </c>
      <c r="I14" s="37" t="s">
        <v>155</v>
      </c>
      <c r="L14" s="1"/>
      <c r="M14" s="2"/>
      <c r="N14" s="28" t="b">
        <f>IF(入力フォームiF・mF・FC・iFBC・MA!CT94="有",TRUE(),FALSE())</f>
        <v>0</v>
      </c>
      <c r="O14" s="29" t="s">
        <v>1214</v>
      </c>
      <c r="Q14" s="28" t="b">
        <f>IF(代ホ_入力フォームiF・mF・MA!CT102="有",TRUE(),FALSE())</f>
        <v>0</v>
      </c>
      <c r="R14" s="29" t="s">
        <v>1214</v>
      </c>
      <c r="T14" s="20">
        <f>代ホ_入力フォームiF・mF・MA!BJ151+2000</f>
        <v>2000</v>
      </c>
      <c r="U14" s="21" t="e">
        <f>T14+T13</f>
        <v>#N/A</v>
      </c>
      <c r="W14" s="95" t="s">
        <v>150</v>
      </c>
      <c r="X14" s="96" t="s">
        <v>193</v>
      </c>
      <c r="Y14" s="96" t="s">
        <v>194</v>
      </c>
      <c r="Z14" s="97" t="s">
        <v>149</v>
      </c>
    </row>
    <row r="15" spans="2:30" ht="13.5" thickTop="1">
      <c r="B15" s="275" t="s">
        <v>578</v>
      </c>
      <c r="C15" s="276"/>
      <c r="E15" s="80" t="e">
        <f>VLOOKUP(入力フォームiF・mF・FC・iFBC・MA!BU72,$B$3:$C$12,2,FALSE)</f>
        <v>#N/A</v>
      </c>
      <c r="F15" s="76" t="str">
        <f>E16&amp;"/"&amp;E17&amp;"/"&amp;E18</f>
        <v>2000/0/1</v>
      </c>
      <c r="H15" s="80" t="e">
        <f>VLOOKUP(代ホ_入力フォームiF・mF・MA!BU80,$B$3:$C$12,2,FALSE)</f>
        <v>#N/A</v>
      </c>
      <c r="I15" s="76" t="str">
        <f>H16&amp;"/"&amp;H17&amp;"/"&amp;H18</f>
        <v>2000/0/1</v>
      </c>
      <c r="L15" s="1"/>
      <c r="M15" s="2"/>
      <c r="N15" s="558" t="b">
        <f>IF(入力フォームiF・mF・FC・iFBC・MA!DC94="有",TRUE(),FALSE())</f>
        <v>0</v>
      </c>
      <c r="O15" s="29" t="s">
        <v>1218</v>
      </c>
      <c r="Q15" s="28" t="b">
        <f>IF(代ホ_入力フォームiF・mF・MA!DC102="有",TRUE(),FALSE())</f>
        <v>0</v>
      </c>
      <c r="R15" s="29" t="s">
        <v>1218</v>
      </c>
      <c r="T15" s="20">
        <f>代ホ_入力フォームiF・mF・MA!BN151</f>
        <v>0</v>
      </c>
      <c r="U15" s="22"/>
      <c r="W15" s="105" t="s">
        <v>157</v>
      </c>
      <c r="X15" s="104" t="s">
        <v>178</v>
      </c>
      <c r="Y15" s="104" t="s">
        <v>178</v>
      </c>
      <c r="Z15" s="104" t="s">
        <v>178</v>
      </c>
    </row>
    <row r="16" spans="2:30">
      <c r="B16" s="1" t="s">
        <v>579</v>
      </c>
      <c r="C16" s="268" t="str">
        <f>IF(入力フォームiF・mF・FC・iFBC・MA!E72="i‐FILTER_Ver.10",IF(入力フォームiF・mF・FC・iFBC・MA!AL72="","申請区分未選択",IF(入力フォームiF・mF・FC・iFBC・MA!AL72="新規","iF10新規","iF10更新他")),"iF_Dアラート対象外")</f>
        <v>iF_Dアラート対象外</v>
      </c>
      <c r="E16" s="81">
        <f>入力フォームiF・mF・FC・iFBC・MA!CF72+2000</f>
        <v>2000</v>
      </c>
      <c r="F16" s="74" t="e">
        <f>E16+E15</f>
        <v>#N/A</v>
      </c>
      <c r="H16" s="81">
        <f>代ホ_入力フォームiF・mF・MA!CF80+2000</f>
        <v>2000</v>
      </c>
      <c r="I16" s="74" t="e">
        <f>H16+H15</f>
        <v>#N/A</v>
      </c>
      <c r="L16" s="1"/>
      <c r="M16" s="2"/>
      <c r="N16" s="82" t="e">
        <f>VLOOKUP(入力フォームiF・mF・FC・iFBC・MA!BU90,$B$3:$C$12,2,FALSE)</f>
        <v>#N/A</v>
      </c>
      <c r="O16" s="79" t="str">
        <f>N17&amp;"/"&amp;N18&amp;"/"&amp;N19</f>
        <v>2000/0/1</v>
      </c>
      <c r="Q16" s="82" t="e">
        <f>VLOOKUP(代ホ_入力フォームiF・mF・MA!BU98,$B$3:$C$12,2,FALSE)</f>
        <v>#N/A</v>
      </c>
      <c r="R16" s="79" t="str">
        <f>Q17&amp;"/"&amp;Q18&amp;"/"&amp;Q19</f>
        <v>2000/0/1</v>
      </c>
      <c r="T16" s="20">
        <v>1</v>
      </c>
      <c r="U16" s="23"/>
      <c r="W16" s="104" t="s">
        <v>174</v>
      </c>
      <c r="X16" s="104" t="s">
        <v>179</v>
      </c>
      <c r="Y16" s="104" t="s">
        <v>179</v>
      </c>
      <c r="Z16" s="104" t="s">
        <v>179</v>
      </c>
    </row>
    <row r="17" spans="1:26">
      <c r="B17" s="1" t="s">
        <v>580</v>
      </c>
      <c r="C17" s="268" t="str">
        <f>IF(AND(入力フォームiF・mF・FC・iFBC・MA!E90="m‐FILTER_Ver.5",入力フォームiF・mF・FC・iFBC・MA!F94="有"),IF(入力フォームiF・mF・FC・iFBC・MA!AL90="新規","mF5新規","mF5更新他"),"mF_Dアラート対象外")</f>
        <v>mF_Dアラート対象外</v>
      </c>
      <c r="E17" s="81">
        <f>入力フォームiF・mF・FC・iFBC・MA!CJ72</f>
        <v>0</v>
      </c>
      <c r="F17" s="74"/>
      <c r="H17" s="81">
        <f>代ホ_入力フォームiF・mF・MA!CJ80</f>
        <v>0</v>
      </c>
      <c r="I17" s="74"/>
      <c r="L17" s="1"/>
      <c r="M17" s="7"/>
      <c r="N17" s="83">
        <f>2000+入力フォームiF・mF・FC・iFBC・MA!CF90</f>
        <v>2000</v>
      </c>
      <c r="O17" s="84" t="e">
        <f>N17+N16</f>
        <v>#N/A</v>
      </c>
      <c r="Q17" s="83">
        <f>2000+代ホ_入力フォームiF・mF・MA!CF98</f>
        <v>2000</v>
      </c>
      <c r="R17" s="84" t="e">
        <f>Q17+Q16</f>
        <v>#N/A</v>
      </c>
      <c r="T17" s="26"/>
      <c r="U17" s="27" t="e">
        <f>DATEVALUE(T14+T13&amp;"/"&amp;T15&amp;"/"&amp;T16)-1</f>
        <v>#N/A</v>
      </c>
      <c r="W17" s="104" t="s">
        <v>156</v>
      </c>
      <c r="X17" s="104" t="s">
        <v>180</v>
      </c>
      <c r="Y17" s="104" t="s">
        <v>180</v>
      </c>
      <c r="Z17" s="104" t="s">
        <v>180</v>
      </c>
    </row>
    <row r="18" spans="1:26">
      <c r="B18" s="277" t="s">
        <v>581</v>
      </c>
      <c r="C18" s="1" t="str">
        <f>IF(AND(COUNTIF(C16,"*新規*")&gt;0,COUNTIF(C17,"*新規*")),"V15W新規",IF(COUNTIF(C16:C17,"*新規*")&gt;0,"シリアル未入手あり",IF(COUNTIF(C16:C17,"*更新*")&gt;0,"シリアル入手済","対象外")))</f>
        <v>対象外</v>
      </c>
      <c r="E18" s="81">
        <v>1</v>
      </c>
      <c r="F18" s="74"/>
      <c r="H18" s="81">
        <v>1</v>
      </c>
      <c r="I18" s="74"/>
      <c r="L18" s="1"/>
      <c r="M18" s="3"/>
      <c r="N18" s="85">
        <f>入力フォームiF・mF・FC・iFBC・MA!CJ90</f>
        <v>0</v>
      </c>
      <c r="O18" s="86"/>
      <c r="Q18" s="85">
        <f>代ホ_入力フォームiF・mF・MA!CJ98</f>
        <v>0</v>
      </c>
      <c r="R18" s="86"/>
      <c r="T18" s="26" t="b">
        <f>IF(OR(代ホ_入力フォームiF・mF・MA!CP155="有/FinalCode保有",代ホ_入力フォームiF・mF・MA!CP155="有/FinalCodeを同時購入"),TRUE(),FALSE())</f>
        <v>0</v>
      </c>
      <c r="U18" s="27" t="s">
        <v>137</v>
      </c>
      <c r="W18" s="104" t="s">
        <v>175</v>
      </c>
      <c r="X18" s="104" t="s">
        <v>181</v>
      </c>
      <c r="Y18" s="104" t="s">
        <v>181</v>
      </c>
      <c r="Z18" s="104" t="s">
        <v>181</v>
      </c>
    </row>
    <row r="19" spans="1:26">
      <c r="E19" s="81"/>
      <c r="F19" s="77" t="e">
        <f>DATEVALUE(E16+E15&amp;"/"&amp;E17&amp;"/"&amp;E18)-1</f>
        <v>#N/A</v>
      </c>
      <c r="H19" s="81"/>
      <c r="I19" s="77" t="e">
        <f>DATEVALUE(H16+H15&amp;"/"&amp;H17&amp;"/"&amp;H18)-1</f>
        <v>#N/A</v>
      </c>
      <c r="L19" s="1"/>
      <c r="M19" s="2"/>
      <c r="N19" s="85">
        <v>1</v>
      </c>
      <c r="O19" s="75"/>
      <c r="Q19" s="85">
        <v>1</v>
      </c>
      <c r="R19" s="75"/>
      <c r="T19" s="558" t="b">
        <f>IF(代ホ_入力フォームiF・mF・MA!BF155="有",TRUE(),FALSE())</f>
        <v>0</v>
      </c>
      <c r="U19" s="29" t="s">
        <v>1199</v>
      </c>
      <c r="W19" s="104" t="s">
        <v>158</v>
      </c>
      <c r="X19" s="439"/>
      <c r="Y19" s="106"/>
      <c r="Z19" s="106"/>
    </row>
    <row r="20" spans="1:26" ht="13.5" thickBot="1">
      <c r="B20" s="275" t="s">
        <v>1038</v>
      </c>
      <c r="C20" s="276"/>
      <c r="E20" s="12" t="s">
        <v>4</v>
      </c>
      <c r="F20" s="13"/>
      <c r="H20" s="12" t="s">
        <v>4</v>
      </c>
      <c r="I20" s="13"/>
      <c r="L20" s="1"/>
      <c r="M20" s="2"/>
      <c r="N20" s="85"/>
      <c r="O20" s="78" t="e">
        <f>DATEVALUE(N17+N16&amp;"/"&amp;N18&amp;"/"&amp;N19)-1</f>
        <v>#N/A</v>
      </c>
      <c r="P20" s="374"/>
      <c r="Q20" s="85"/>
      <c r="R20" s="78" t="e">
        <f>DATEVALUE(Q17+Q16&amp;"/"&amp;Q18&amp;"/"&amp;Q19)-1</f>
        <v>#N/A</v>
      </c>
      <c r="T20" s="71"/>
      <c r="U20" s="564"/>
      <c r="W20" s="104" t="s">
        <v>106</v>
      </c>
      <c r="X20" s="440"/>
      <c r="Y20" s="106"/>
      <c r="Z20" s="106"/>
    </row>
    <row r="21" spans="1:26" ht="14" thickTop="1" thickBot="1">
      <c r="B21" s="425">
        <v>0</v>
      </c>
      <c r="C21" s="426" t="s">
        <v>83</v>
      </c>
      <c r="E21" s="14">
        <f>入力フォームiF・mF・FC・iFBC・MA!BP72</f>
        <v>0</v>
      </c>
      <c r="F21" s="13" t="str">
        <f>IF(ISERROR(VLOOKUP(E21,B21:C52,2)),"",VLOOKUP(E21,B21:C52,2))</f>
        <v>-01</v>
      </c>
      <c r="H21" s="14">
        <f>代ホ_入力フォームiF・mF・MA!BP80</f>
        <v>0</v>
      </c>
      <c r="I21" s="13" t="str">
        <f>IF(ISERROR(VLOOKUP(H21,B21:C52,2)),"",VLOOKUP(H21,B21:C52,2))</f>
        <v>-01</v>
      </c>
      <c r="L21" s="1"/>
      <c r="M21" s="4"/>
      <c r="N21" s="9" t="s">
        <v>4</v>
      </c>
      <c r="O21" s="10"/>
      <c r="P21" s="375"/>
      <c r="Q21" s="9" t="s">
        <v>4</v>
      </c>
      <c r="R21" s="10"/>
      <c r="W21" s="104" t="s">
        <v>575</v>
      </c>
      <c r="X21" s="106"/>
      <c r="Y21" s="106"/>
      <c r="Z21" s="106"/>
    </row>
    <row r="22" spans="1:26">
      <c r="B22" s="427">
        <v>1</v>
      </c>
      <c r="C22" s="428" t="s">
        <v>83</v>
      </c>
      <c r="E22" s="33"/>
      <c r="F22" s="34"/>
      <c r="H22" s="33"/>
      <c r="I22" s="34"/>
      <c r="L22" s="1"/>
      <c r="M22" s="2"/>
      <c r="N22" s="11">
        <f>入力フォームiF・mF・FC・iFBC・MA!BP90</f>
        <v>0</v>
      </c>
      <c r="O22" s="10" t="str">
        <f>IF(ISERROR(VLOOKUP(N22,B21:C51,2)),"",VLOOKUP(N22,B21:C51,2))</f>
        <v>-01</v>
      </c>
      <c r="Q22" s="11">
        <f>代ホ_入力フォームiF・mF・MA!BP98</f>
        <v>0</v>
      </c>
      <c r="R22" s="10" t="str">
        <f>IF(ISERROR(VLOOKUP(Q22,B21:C51,2)),"",VLOOKUP(Q22,B21:C51,2))</f>
        <v>-01</v>
      </c>
      <c r="T22" s="766" t="s">
        <v>510</v>
      </c>
      <c r="U22" s="767"/>
      <c r="W22" s="104" t="s">
        <v>159</v>
      </c>
      <c r="X22" s="106"/>
      <c r="Y22" s="106"/>
      <c r="Z22" s="106"/>
    </row>
    <row r="23" spans="1:26">
      <c r="B23" s="427">
        <v>2</v>
      </c>
      <c r="C23" s="428" t="s">
        <v>84</v>
      </c>
      <c r="E23" s="33"/>
      <c r="F23" s="34"/>
      <c r="H23" s="33"/>
      <c r="I23" s="34"/>
      <c r="L23" s="1"/>
      <c r="M23" s="5"/>
      <c r="N23" s="558" t="b">
        <f>IF(入力フォームiF・mF・FC・iFBC・MA!DK94="有",TRUE(),FALSE())</f>
        <v>0</v>
      </c>
      <c r="O23" s="29" t="s">
        <v>1215</v>
      </c>
      <c r="Q23" s="558" t="b">
        <f>IF(代ホ_入力フォームiF・mF・MA!DK102="有",TRUE(),FALSE())</f>
        <v>0</v>
      </c>
      <c r="R23" s="29" t="s">
        <v>1215</v>
      </c>
      <c r="T23" s="421" t="s">
        <v>241</v>
      </c>
      <c r="U23" s="422" t="s">
        <v>242</v>
      </c>
      <c r="W23" s="104" t="s">
        <v>177</v>
      </c>
      <c r="X23" s="106"/>
      <c r="Y23" s="106"/>
      <c r="Z23" s="106"/>
    </row>
    <row r="24" spans="1:26" ht="13.5" thickBot="1">
      <c r="A24" s="15"/>
      <c r="B24" s="427">
        <v>3</v>
      </c>
      <c r="C24" s="428" t="s">
        <v>63</v>
      </c>
      <c r="E24" s="33"/>
      <c r="F24" s="34"/>
      <c r="H24" s="33"/>
      <c r="I24" s="34"/>
      <c r="L24" s="1"/>
      <c r="M24" s="2"/>
      <c r="N24" s="558" t="b">
        <f>IF(入力フォームiF・mF・FC・iFBC・MA!AG97="有",TRUE(),FALSE())</f>
        <v>0</v>
      </c>
      <c r="O24" s="29" t="s">
        <v>1199</v>
      </c>
      <c r="P24" s="376"/>
      <c r="Q24" s="558" t="b">
        <f>IF(代ホ_入力フォームiF・mF・MA!AE105="有",TRUE(),FALSE())</f>
        <v>0</v>
      </c>
      <c r="R24" s="29" t="s">
        <v>1199</v>
      </c>
      <c r="T24" s="72" t="s">
        <v>254</v>
      </c>
      <c r="U24" s="73" t="s">
        <v>157</v>
      </c>
    </row>
    <row r="25" spans="1:26" ht="13.5" thickBot="1">
      <c r="A25" s="15"/>
      <c r="B25" s="427">
        <v>4</v>
      </c>
      <c r="C25" s="428" t="s">
        <v>64</v>
      </c>
      <c r="E25" s="33"/>
      <c r="F25" s="34"/>
      <c r="H25" s="33"/>
      <c r="I25" s="34"/>
      <c r="L25" s="1"/>
      <c r="N25" s="558" t="b">
        <f>IF(入力フォームiF・mF・FC・iFBC・MA!H100="有",TRUE(),FALSE())</f>
        <v>0</v>
      </c>
      <c r="O25" s="29" t="s">
        <v>1259</v>
      </c>
      <c r="Q25" s="558" t="b">
        <f>IF(代ホ_入力フォームiF・mF・MA!H108="有",TRUE(),FALSE())</f>
        <v>0</v>
      </c>
      <c r="R25" s="29" t="s">
        <v>1259</v>
      </c>
      <c r="T25" s="72" t="s">
        <v>662</v>
      </c>
      <c r="U25" s="73" t="s">
        <v>156</v>
      </c>
      <c r="W25" s="93" t="s">
        <v>1461</v>
      </c>
      <c r="X25" s="93" t="s">
        <v>1465</v>
      </c>
      <c r="Y25" s="1" t="s">
        <v>1462</v>
      </c>
    </row>
    <row r="26" spans="1:26" ht="13.5" thickBot="1">
      <c r="B26" s="427">
        <v>5</v>
      </c>
      <c r="C26" s="428" t="s">
        <v>65</v>
      </c>
      <c r="E26" s="38"/>
      <c r="F26" s="39"/>
      <c r="H26" s="38"/>
      <c r="I26" s="39"/>
      <c r="L26" s="1"/>
      <c r="N26" s="28"/>
      <c r="O26" s="29"/>
      <c r="Q26" s="28"/>
      <c r="R26" s="29"/>
      <c r="T26" s="72"/>
      <c r="U26" s="73" t="s">
        <v>158</v>
      </c>
      <c r="W26" s="105" t="s">
        <v>157</v>
      </c>
      <c r="X26" s="105" t="s">
        <v>157</v>
      </c>
      <c r="Y26" s="689" t="str">
        <f>IF(COUNTIF(入力フォームiF・mF・FC・iFBC・MA!E148,"*Outlook/Becky!/Thunderbird版*"),"OutlookBeckyThunderbird版",IF(COUNTIF(入力フォームiF・mF・FC・iFBC・MA!E148,"*Microsoft 365版*"),"Microsoft365版",""))</f>
        <v/>
      </c>
      <c r="Z26" s="1" t="s">
        <v>1573</v>
      </c>
    </row>
    <row r="27" spans="1:26" ht="13.5" thickTop="1">
      <c r="B27" s="427">
        <v>6</v>
      </c>
      <c r="C27" s="428" t="s">
        <v>66</v>
      </c>
      <c r="L27" s="1"/>
      <c r="N27" s="28"/>
      <c r="O27" s="29"/>
      <c r="Q27" s="28"/>
      <c r="R27" s="29"/>
      <c r="T27" s="72"/>
      <c r="U27" s="73" t="s">
        <v>106</v>
      </c>
      <c r="W27" s="104" t="s">
        <v>156</v>
      </c>
      <c r="X27" s="104" t="s">
        <v>156</v>
      </c>
      <c r="Y27" s="689" t="str">
        <f>IF(COUNTIF(代ホ_入力フォームiF・mF・MA!E151,"*Outlook/Becky!/Thunderbird版*"),"OutlookBeckyThunderbird版",IF(COUNTIF(代ホ_入力フォームiF・mF・MA!E151,"*Microsoft 365版*"),"Microsoft365版",""))</f>
        <v/>
      </c>
      <c r="Z27" s="1" t="s">
        <v>1574</v>
      </c>
    </row>
    <row r="28" spans="1:26">
      <c r="B28" s="427">
        <v>7</v>
      </c>
      <c r="C28" s="428" t="s">
        <v>67</v>
      </c>
      <c r="L28" s="1"/>
      <c r="N28" s="28"/>
      <c r="O28" s="29"/>
      <c r="Q28" s="28"/>
      <c r="R28" s="29"/>
      <c r="T28" s="72"/>
      <c r="U28" s="73" t="s">
        <v>159</v>
      </c>
      <c r="W28" s="104" t="s">
        <v>158</v>
      </c>
      <c r="X28" s="104" t="s">
        <v>158</v>
      </c>
    </row>
    <row r="29" spans="1:26" ht="13.5" thickBot="1">
      <c r="B29" s="427">
        <v>8</v>
      </c>
      <c r="C29" s="428" t="s">
        <v>68</v>
      </c>
      <c r="L29" s="1"/>
      <c r="N29" s="16"/>
      <c r="O29" s="17"/>
      <c r="Q29" s="16"/>
      <c r="R29" s="17"/>
      <c r="T29" s="72"/>
      <c r="U29" s="73" t="s">
        <v>243</v>
      </c>
      <c r="W29" s="104" t="s">
        <v>106</v>
      </c>
      <c r="X29" s="104" t="s">
        <v>106</v>
      </c>
    </row>
    <row r="30" spans="1:26" ht="13.5" thickTop="1">
      <c r="B30" s="427">
        <v>9</v>
      </c>
      <c r="C30" s="428" t="s">
        <v>69</v>
      </c>
      <c r="L30" s="1"/>
      <c r="T30" s="72"/>
      <c r="U30" s="73" t="s">
        <v>944</v>
      </c>
      <c r="W30" s="104" t="s">
        <v>159</v>
      </c>
      <c r="X30" s="104" t="s">
        <v>159</v>
      </c>
    </row>
    <row r="31" spans="1:26">
      <c r="B31" s="427">
        <v>10</v>
      </c>
      <c r="C31" s="428" t="s">
        <v>70</v>
      </c>
      <c r="L31" s="1"/>
      <c r="T31" s="72"/>
      <c r="U31" s="73" t="s">
        <v>945</v>
      </c>
      <c r="W31" s="106"/>
      <c r="X31" s="106"/>
    </row>
    <row r="32" spans="1:26">
      <c r="B32" s="427">
        <v>11</v>
      </c>
      <c r="C32" s="428" t="s">
        <v>85</v>
      </c>
      <c r="T32" s="72"/>
      <c r="U32" s="73" t="s">
        <v>255</v>
      </c>
      <c r="W32" s="106"/>
      <c r="X32" s="106"/>
    </row>
    <row r="33" spans="2:27">
      <c r="B33" s="427">
        <v>12</v>
      </c>
      <c r="C33" s="428" t="s">
        <v>86</v>
      </c>
      <c r="T33" s="72"/>
      <c r="U33" s="73" t="s">
        <v>245</v>
      </c>
    </row>
    <row r="34" spans="2:27" ht="13.5" thickBot="1">
      <c r="B34" s="427">
        <v>13</v>
      </c>
      <c r="C34" s="428" t="s">
        <v>87</v>
      </c>
      <c r="T34" s="72"/>
      <c r="U34" s="73"/>
    </row>
    <row r="35" spans="2:27" ht="13.5" thickBot="1">
      <c r="B35" s="427">
        <v>14</v>
      </c>
      <c r="C35" s="428" t="s">
        <v>88</v>
      </c>
      <c r="T35" s="136" t="e">
        <f>VLOOKUP(入力フォームiF・mF・FC・iFBC・MA!BG116,B3:C12,2,FALSE)</f>
        <v>#N/A</v>
      </c>
      <c r="U35" s="137" t="str">
        <f>T36&amp;"/"&amp;T37&amp;"/"&amp;T38</f>
        <v>2000/0/1</v>
      </c>
      <c r="W35" s="1" t="s">
        <v>209</v>
      </c>
      <c r="X35" s="93" t="s">
        <v>152</v>
      </c>
      <c r="Y35" s="121" t="s">
        <v>153</v>
      </c>
      <c r="Z35" s="94" t="s">
        <v>206</v>
      </c>
    </row>
    <row r="36" spans="2:27">
      <c r="B36" s="427">
        <v>15</v>
      </c>
      <c r="C36" s="428" t="s">
        <v>89</v>
      </c>
      <c r="T36" s="138">
        <f>入力フォームiF・mF・FC・iFBC・MA!BR116+2000</f>
        <v>2000</v>
      </c>
      <c r="U36" s="139" t="e">
        <f>T36+T35</f>
        <v>#N/A</v>
      </c>
      <c r="W36" s="104" t="s">
        <v>190</v>
      </c>
      <c r="X36" s="118" t="s">
        <v>213</v>
      </c>
      <c r="Y36" s="119" t="s">
        <v>1105</v>
      </c>
      <c r="Z36" s="120" t="s">
        <v>200</v>
      </c>
    </row>
    <row r="37" spans="2:27">
      <c r="B37" s="427">
        <v>16</v>
      </c>
      <c r="C37" s="428" t="s">
        <v>90</v>
      </c>
      <c r="T37" s="138">
        <f>入力フォームiF・mF・FC・iFBC・MA!BV116</f>
        <v>0</v>
      </c>
      <c r="U37" s="139"/>
      <c r="W37" s="104" t="s">
        <v>191</v>
      </c>
      <c r="X37" s="111" t="s">
        <v>212</v>
      </c>
      <c r="Y37" s="112" t="s">
        <v>1106</v>
      </c>
      <c r="Z37" s="113" t="s">
        <v>207</v>
      </c>
    </row>
    <row r="38" spans="2:27">
      <c r="B38" s="427">
        <v>17</v>
      </c>
      <c r="C38" s="428" t="s">
        <v>91</v>
      </c>
      <c r="T38" s="138">
        <v>1</v>
      </c>
      <c r="U38" s="139"/>
      <c r="W38" s="104" t="s">
        <v>192</v>
      </c>
      <c r="X38" s="408" t="s">
        <v>211</v>
      </c>
      <c r="Y38" s="409" t="s">
        <v>1112</v>
      </c>
      <c r="Z38" s="410" t="s">
        <v>208</v>
      </c>
    </row>
    <row r="39" spans="2:27">
      <c r="B39" s="427">
        <v>18</v>
      </c>
      <c r="C39" s="428" t="s">
        <v>92</v>
      </c>
      <c r="T39" s="140"/>
      <c r="U39" s="141" t="e">
        <f>DATEVALUE(T36+T35&amp;"/"&amp;T37&amp;"/"&amp;T38)-1</f>
        <v>#N/A</v>
      </c>
      <c r="W39" s="107" t="s">
        <v>802</v>
      </c>
      <c r="X39" s="114" t="s">
        <v>1109</v>
      </c>
      <c r="Y39" s="115"/>
      <c r="Z39" s="116"/>
    </row>
    <row r="40" spans="2:27">
      <c r="B40" s="427">
        <v>19</v>
      </c>
      <c r="C40" s="428" t="s">
        <v>93</v>
      </c>
      <c r="T40" s="72" t="s">
        <v>4</v>
      </c>
      <c r="U40" s="73"/>
    </row>
    <row r="41" spans="2:27" ht="13.5" thickBot="1">
      <c r="B41" s="427">
        <v>20</v>
      </c>
      <c r="C41" s="428" t="s">
        <v>94</v>
      </c>
      <c r="T41" s="142"/>
      <c r="U41" s="143"/>
    </row>
    <row r="42" spans="2:27" ht="13.5" thickBot="1">
      <c r="B42" s="427">
        <v>21</v>
      </c>
      <c r="C42" s="428" t="s">
        <v>95</v>
      </c>
    </row>
    <row r="43" spans="2:27" ht="13.5" thickBot="1">
      <c r="B43" s="427">
        <v>22</v>
      </c>
      <c r="C43" s="428" t="s">
        <v>96</v>
      </c>
      <c r="W43" s="1" t="s">
        <v>210</v>
      </c>
      <c r="X43" s="122" t="s">
        <v>150</v>
      </c>
      <c r="Y43" s="123" t="s">
        <v>193</v>
      </c>
      <c r="Z43" s="123" t="s">
        <v>194</v>
      </c>
      <c r="AA43" s="124" t="s">
        <v>149</v>
      </c>
    </row>
    <row r="44" spans="2:27">
      <c r="B44" s="427">
        <v>23</v>
      </c>
      <c r="C44" s="428" t="s">
        <v>97</v>
      </c>
      <c r="W44" s="117" t="s">
        <v>201</v>
      </c>
      <c r="X44" s="118" t="s">
        <v>203</v>
      </c>
      <c r="Y44" s="119" t="s">
        <v>1107</v>
      </c>
      <c r="Z44" s="119" t="s">
        <v>58</v>
      </c>
      <c r="AA44" s="120" t="s">
        <v>58</v>
      </c>
    </row>
    <row r="45" spans="2:27">
      <c r="B45" s="427">
        <v>24</v>
      </c>
      <c r="C45" s="428" t="s">
        <v>98</v>
      </c>
      <c r="W45" s="117" t="s">
        <v>202</v>
      </c>
      <c r="X45" s="114" t="s">
        <v>204</v>
      </c>
      <c r="Y45" s="115" t="s">
        <v>1108</v>
      </c>
      <c r="Z45" s="115" t="s">
        <v>205</v>
      </c>
      <c r="AA45" s="116" t="s">
        <v>205</v>
      </c>
    </row>
    <row r="46" spans="2:27">
      <c r="B46" s="427">
        <v>25</v>
      </c>
      <c r="C46" s="428" t="s">
        <v>99</v>
      </c>
    </row>
    <row r="47" spans="2:27">
      <c r="B47" s="427">
        <v>26</v>
      </c>
      <c r="C47" s="428" t="s">
        <v>100</v>
      </c>
      <c r="W47" s="1" t="s">
        <v>1475</v>
      </c>
    </row>
    <row r="48" spans="2:27">
      <c r="B48" s="427">
        <v>27</v>
      </c>
      <c r="C48" s="428" t="s">
        <v>101</v>
      </c>
      <c r="W48" s="1" t="s">
        <v>1476</v>
      </c>
    </row>
    <row r="49" spans="2:24">
      <c r="B49" s="427">
        <v>28</v>
      </c>
      <c r="C49" s="428" t="s">
        <v>102</v>
      </c>
      <c r="W49" s="212" t="s">
        <v>1239</v>
      </c>
      <c r="X49" s="212" t="s">
        <v>1243</v>
      </c>
    </row>
    <row r="50" spans="2:24">
      <c r="B50" s="427">
        <v>29</v>
      </c>
      <c r="C50" s="428" t="s">
        <v>103</v>
      </c>
      <c r="W50" s="212" t="s">
        <v>1236</v>
      </c>
      <c r="X50" s="212" t="s">
        <v>1242</v>
      </c>
    </row>
    <row r="51" spans="2:24">
      <c r="B51" s="429">
        <v>30</v>
      </c>
      <c r="C51" s="430" t="s">
        <v>104</v>
      </c>
      <c r="W51" s="212" t="s">
        <v>1237</v>
      </c>
      <c r="X51" s="212" t="s">
        <v>1241</v>
      </c>
    </row>
    <row r="52" spans="2:24">
      <c r="W52" s="1" t="s">
        <v>1477</v>
      </c>
    </row>
  </sheetData>
  <dataConsolidate link="1"/>
  <mergeCells count="11">
    <mergeCell ref="W1:Z1"/>
    <mergeCell ref="AA1:AB1"/>
    <mergeCell ref="AC1:AD1"/>
    <mergeCell ref="E2:F2"/>
    <mergeCell ref="T22:U22"/>
    <mergeCell ref="T12:U12"/>
    <mergeCell ref="Q2:R2"/>
    <mergeCell ref="H2:I2"/>
    <mergeCell ref="T2:U2"/>
    <mergeCell ref="K2:L2"/>
    <mergeCell ref="N2:O2"/>
  </mergeCells>
  <phoneticPr fontId="14"/>
  <printOptions horizontalCentered="1"/>
  <pageMargins left="0.11811023622047245" right="0.11811023622047245" top="0.39370078740157483" bottom="0.19685039370078741" header="0.11811023622047245" footer="0.11811023622047245"/>
  <pageSetup paperSize="9" scale="98" orientation="landscape" horizontalDpi="300" verticalDpi="300" r:id="rId1"/>
  <headerFooter>
    <oddFooter>&amp;LDigital Arts Inc.&amp;C&amp;P ページ&amp;R&amp;D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28FA-17ED-4F02-BB93-E1FF44289AB6}">
  <sheetPr>
    <pageSetUpPr fitToPage="1"/>
  </sheetPr>
  <dimension ref="A1:JT151"/>
  <sheetViews>
    <sheetView tabSelected="1" zoomScaleNormal="100" workbookViewId="0">
      <selection activeCell="J20" sqref="J20:L21"/>
    </sheetView>
  </sheetViews>
  <sheetFormatPr defaultColWidth="1.26953125" defaultRowHeight="7.5" customHeight="1"/>
  <cols>
    <col min="1" max="1" width="2.6328125" style="198" customWidth="1"/>
    <col min="2" max="2" width="1.26953125" style="198" customWidth="1"/>
    <col min="3" max="54" width="1.26953125" style="198"/>
    <col min="55" max="55" width="1.26953125" style="198" customWidth="1"/>
    <col min="56" max="83" width="1.26953125" style="198"/>
    <col min="84" max="84" width="1.36328125" style="198" customWidth="1"/>
    <col min="85" max="115" width="1.26953125" style="198"/>
    <col min="116" max="116" width="1.26953125" style="690"/>
    <col min="117" max="117" width="1.26953125" style="690" customWidth="1"/>
    <col min="118" max="118" width="8.08984375" style="45" bestFit="1" customWidth="1"/>
    <col min="119" max="122" width="1.26953125" style="45"/>
    <col min="123" max="123" width="1.26953125" style="45" customWidth="1"/>
    <col min="124" max="165" width="1.26953125" style="45"/>
    <col min="166" max="16384" width="1.26953125" style="198"/>
  </cols>
  <sheetData>
    <row r="1" spans="1:118" ht="7.5" customHeight="1">
      <c r="A1" s="879" t="s">
        <v>1521</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c r="BB1" s="879"/>
      <c r="BC1" s="879"/>
      <c r="BD1" s="879"/>
      <c r="BE1" s="879"/>
      <c r="BF1" s="879"/>
      <c r="BG1" s="879"/>
      <c r="BH1" s="879"/>
      <c r="BI1" s="879"/>
      <c r="BJ1" s="879"/>
      <c r="BK1" s="879"/>
      <c r="BL1" s="879"/>
      <c r="BM1" s="879"/>
      <c r="BN1" s="879"/>
      <c r="BO1" s="879"/>
      <c r="BP1" s="879"/>
      <c r="BQ1" s="879"/>
      <c r="BR1" s="879"/>
      <c r="BS1" s="879"/>
      <c r="BT1" s="879"/>
      <c r="BU1" s="879"/>
      <c r="BV1" s="879"/>
      <c r="BW1" s="879"/>
      <c r="BX1" s="879"/>
      <c r="BY1" s="879"/>
      <c r="BZ1" s="879"/>
      <c r="CA1" s="879"/>
      <c r="CB1" s="879"/>
      <c r="CC1" s="879"/>
      <c r="CD1" s="879"/>
      <c r="CE1" s="879"/>
      <c r="CF1" s="879"/>
      <c r="CG1" s="879"/>
      <c r="CH1" s="879"/>
      <c r="CI1" s="879"/>
      <c r="CJ1" s="879"/>
      <c r="CK1" s="879"/>
      <c r="CL1" s="879"/>
      <c r="CM1" s="879"/>
      <c r="CN1" s="879"/>
      <c r="CO1" s="879"/>
      <c r="CP1" s="879"/>
      <c r="CQ1" s="879"/>
      <c r="CR1" s="879"/>
      <c r="CS1" s="879"/>
      <c r="CT1" s="879"/>
      <c r="CU1" s="879"/>
      <c r="CV1" s="879"/>
      <c r="CW1" s="879"/>
      <c r="CX1" s="879"/>
      <c r="CY1" s="879"/>
      <c r="CZ1" s="879"/>
      <c r="DA1" s="879"/>
      <c r="DB1" s="879"/>
      <c r="DC1" s="879"/>
      <c r="DD1" s="879"/>
      <c r="DE1" s="879"/>
      <c r="DF1" s="879"/>
      <c r="DG1" s="879"/>
      <c r="DH1" s="879"/>
      <c r="DI1" s="879"/>
      <c r="DJ1" s="879"/>
      <c r="DK1" s="879"/>
      <c r="DL1" s="879"/>
      <c r="DM1" s="879"/>
      <c r="DN1" s="49"/>
    </row>
    <row r="2" spans="1:118" ht="7.5" customHeight="1">
      <c r="A2" s="879"/>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49"/>
    </row>
    <row r="3" spans="1:118" ht="7.5" customHeigh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49"/>
    </row>
    <row r="4" spans="1:118" ht="7.5" customHeight="1">
      <c r="A4" s="880" t="s">
        <v>1571</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80"/>
      <c r="BC4" s="880"/>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313"/>
      <c r="CV4" s="313"/>
      <c r="CW4" s="313"/>
      <c r="CX4" s="313"/>
      <c r="CY4" s="313"/>
      <c r="CZ4" s="313"/>
      <c r="DA4" s="313"/>
      <c r="DB4" s="313"/>
      <c r="DC4" s="313"/>
      <c r="DD4" s="313"/>
      <c r="DE4" s="313"/>
      <c r="DF4" s="313"/>
      <c r="DG4" s="313"/>
      <c r="DH4" s="313"/>
      <c r="DI4" s="313"/>
      <c r="DJ4" s="313"/>
      <c r="DK4" s="313"/>
      <c r="DL4" s="313"/>
      <c r="DM4" s="313"/>
      <c r="DN4" s="313"/>
    </row>
    <row r="5" spans="1:118" ht="7.5" customHeight="1">
      <c r="A5" s="880"/>
      <c r="B5" s="880"/>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313"/>
      <c r="CV5" s="313"/>
      <c r="CW5" s="313"/>
      <c r="CX5" s="313"/>
      <c r="CY5" s="313"/>
      <c r="CZ5" s="313"/>
      <c r="DA5" s="313"/>
      <c r="DB5" s="313"/>
      <c r="DC5" s="313"/>
      <c r="DD5" s="313"/>
      <c r="DE5" s="313"/>
      <c r="DF5" s="313"/>
      <c r="DG5" s="313"/>
      <c r="DH5" s="313"/>
      <c r="DI5" s="313"/>
      <c r="DJ5" s="313"/>
      <c r="DK5" s="313"/>
      <c r="DL5" s="313"/>
      <c r="DM5" s="313"/>
      <c r="DN5" s="313"/>
    </row>
    <row r="6" spans="1:118" ht="7.5" customHeight="1">
      <c r="A6" s="880"/>
      <c r="B6" s="880"/>
      <c r="C6" s="880"/>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313"/>
      <c r="CV6" s="313"/>
      <c r="CW6" s="313"/>
      <c r="CX6" s="313"/>
      <c r="CY6" s="313"/>
      <c r="CZ6" s="313"/>
      <c r="DA6" s="313"/>
      <c r="DB6" s="313"/>
      <c r="DC6" s="313"/>
      <c r="DD6" s="313"/>
      <c r="DE6" s="313"/>
      <c r="DF6" s="313"/>
      <c r="DG6" s="313"/>
      <c r="DH6" s="313"/>
      <c r="DI6" s="313"/>
      <c r="DJ6" s="313"/>
      <c r="DK6" s="313"/>
      <c r="DL6" s="313"/>
      <c r="DM6" s="313"/>
      <c r="DN6" s="313"/>
    </row>
    <row r="7" spans="1:118" ht="7.5" customHeight="1">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row>
    <row r="8" spans="1:118" ht="7.5" customHeight="1">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row>
    <row r="9" spans="1:118" ht="7.5" customHeight="1">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row>
    <row r="10" spans="1:118" ht="7.5" customHeight="1">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row>
    <row r="11" spans="1:118" ht="7.5" customHeight="1">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row>
    <row r="12" spans="1:118" ht="7.5" customHeight="1">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row>
    <row r="13" spans="1:118" ht="7.5" customHeight="1">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row>
    <row r="14" spans="1:118" ht="7.5" customHeight="1">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row>
    <row r="15" spans="1:118" ht="7.5" customHeight="1">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row>
    <row r="16" spans="1:118" ht="7.5" customHeight="1">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row>
    <row r="17" spans="1:120" ht="7.5" customHeight="1">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row>
    <row r="18" spans="1:120" ht="7.5" customHeight="1">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row>
    <row r="19" spans="1:120" ht="7.5" customHeight="1" thickBot="1">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row>
    <row r="20" spans="1:120" s="45" customFormat="1"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511</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c r="DM20" s="44"/>
    </row>
    <row r="21" spans="1:120"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c r="DM21" s="44"/>
    </row>
    <row r="22" spans="1:120" s="45" customFormat="1"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5" t="s">
        <v>1260</v>
      </c>
      <c r="CW22" s="846"/>
      <c r="CX22" s="846"/>
      <c r="CY22" s="846"/>
      <c r="CZ22" s="846"/>
      <c r="DA22" s="846"/>
      <c r="DB22" s="846"/>
      <c r="DC22" s="846"/>
      <c r="DD22" s="846"/>
      <c r="DE22" s="846"/>
      <c r="DF22" s="849"/>
      <c r="DG22" s="850"/>
      <c r="DH22" s="850"/>
      <c r="DI22" s="850"/>
      <c r="DJ22" s="850"/>
      <c r="DK22" s="851"/>
      <c r="DL22" s="47"/>
      <c r="DM22" s="44"/>
    </row>
    <row r="23" spans="1:120"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7"/>
      <c r="CW23" s="848"/>
      <c r="CX23" s="848"/>
      <c r="CY23" s="848"/>
      <c r="CZ23" s="848"/>
      <c r="DA23" s="848"/>
      <c r="DB23" s="848"/>
      <c r="DC23" s="848"/>
      <c r="DD23" s="848"/>
      <c r="DE23" s="848"/>
      <c r="DF23" s="852"/>
      <c r="DG23" s="853"/>
      <c r="DH23" s="853"/>
      <c r="DI23" s="853"/>
      <c r="DJ23" s="853"/>
      <c r="DK23" s="854"/>
      <c r="DL23" s="47"/>
      <c r="DM23" s="44"/>
    </row>
    <row r="24" spans="1:120" s="45" customFormat="1"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855"/>
      <c r="BJ24" s="856"/>
      <c r="BK24" s="547"/>
      <c r="BL24" s="547"/>
      <c r="BM24" s="548"/>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c r="DM24" s="44"/>
    </row>
    <row r="25" spans="1:120" s="45" customFormat="1" ht="7.5" customHeight="1" thickTop="1">
      <c r="A25" s="48"/>
      <c r="B25" s="807" t="s">
        <v>566</v>
      </c>
      <c r="C25" s="808"/>
      <c r="D25" s="808"/>
      <c r="E25" s="808"/>
      <c r="F25" s="809"/>
      <c r="G25" s="813"/>
      <c r="H25" s="814"/>
      <c r="I25" s="814"/>
      <c r="J25" s="814"/>
      <c r="K25" s="814"/>
      <c r="L25" s="814"/>
      <c r="M25" s="814"/>
      <c r="N25" s="814"/>
      <c r="O25" s="814"/>
      <c r="P25" s="814"/>
      <c r="Q25" s="814"/>
      <c r="R25" s="814"/>
      <c r="S25" s="814"/>
      <c r="T25" s="814"/>
      <c r="U25" s="814"/>
      <c r="V25" s="814"/>
      <c r="W25" s="814"/>
      <c r="X25" s="814"/>
      <c r="Y25" s="814"/>
      <c r="Z25" s="814"/>
      <c r="AA25" s="814"/>
      <c r="AB25" s="814"/>
      <c r="AC25" s="814"/>
      <c r="AD25" s="815"/>
      <c r="AE25" s="819" t="s">
        <v>170</v>
      </c>
      <c r="AF25" s="819"/>
      <c r="AG25" s="819"/>
      <c r="AH25" s="819"/>
      <c r="AI25" s="819"/>
      <c r="AJ25" s="821"/>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3"/>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c r="DM25" s="44"/>
    </row>
    <row r="26" spans="1:120" s="45" customFormat="1" ht="7.5" customHeight="1" thickBot="1">
      <c r="A26" s="48"/>
      <c r="B26" s="810"/>
      <c r="C26" s="811"/>
      <c r="D26" s="811"/>
      <c r="E26" s="811"/>
      <c r="F26" s="812"/>
      <c r="G26" s="816"/>
      <c r="H26" s="817"/>
      <c r="I26" s="817"/>
      <c r="J26" s="817"/>
      <c r="K26" s="817"/>
      <c r="L26" s="817"/>
      <c r="M26" s="817"/>
      <c r="N26" s="817"/>
      <c r="O26" s="817"/>
      <c r="P26" s="817"/>
      <c r="Q26" s="817"/>
      <c r="R26" s="817"/>
      <c r="S26" s="817"/>
      <c r="T26" s="817"/>
      <c r="U26" s="817"/>
      <c r="V26" s="817"/>
      <c r="W26" s="817"/>
      <c r="X26" s="817"/>
      <c r="Y26" s="817"/>
      <c r="Z26" s="817"/>
      <c r="AA26" s="817"/>
      <c r="AB26" s="817"/>
      <c r="AC26" s="817"/>
      <c r="AD26" s="818"/>
      <c r="AE26" s="820"/>
      <c r="AF26" s="820"/>
      <c r="AG26" s="820"/>
      <c r="AH26" s="820"/>
      <c r="AI26" s="820"/>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6"/>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8"/>
      <c r="DN26" s="49"/>
      <c r="DO26" s="49"/>
      <c r="DP26" s="49"/>
    </row>
    <row r="27" spans="1:120"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9"/>
      <c r="BJ27" s="550"/>
      <c r="BK27" s="550"/>
      <c r="BL27" s="550"/>
      <c r="BM27" s="551"/>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8"/>
      <c r="DN27" s="49"/>
      <c r="DO27" s="49"/>
      <c r="DP27" s="49"/>
    </row>
    <row r="28" spans="1:120" s="45" customFormat="1" ht="7.5" customHeight="1" thickTop="1">
      <c r="A28" s="48"/>
      <c r="B28" s="934" t="s">
        <v>792</v>
      </c>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6"/>
      <c r="AN28" s="940" t="s">
        <v>1149</v>
      </c>
      <c r="AO28" s="941"/>
      <c r="AP28" s="941"/>
      <c r="AQ28" s="942"/>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8"/>
      <c r="DN28" s="49"/>
      <c r="DO28" s="49"/>
      <c r="DP28" s="49"/>
    </row>
    <row r="29" spans="1:120" s="45" customFormat="1" ht="7.5" customHeight="1">
      <c r="A29" s="48"/>
      <c r="B29" s="937"/>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9"/>
      <c r="AN29" s="943"/>
      <c r="AO29" s="944"/>
      <c r="AP29" s="944"/>
      <c r="AQ29" s="945"/>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8"/>
      <c r="DN29" s="49"/>
      <c r="DO29" s="49"/>
      <c r="DP29" s="49"/>
    </row>
    <row r="30" spans="1:120" s="45" customFormat="1" ht="7.5" customHeight="1">
      <c r="A30" s="48"/>
      <c r="B30" s="866" t="s">
        <v>72</v>
      </c>
      <c r="C30" s="867"/>
      <c r="D30" s="867"/>
      <c r="E30" s="867"/>
      <c r="F30" s="868"/>
      <c r="G30" s="869"/>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1"/>
      <c r="BG30" s="48"/>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c r="DM30" s="44"/>
    </row>
    <row r="31" spans="1:120" s="45" customFormat="1" ht="7.5" customHeight="1" thickBot="1">
      <c r="A31" s="48"/>
      <c r="B31" s="910" t="s">
        <v>794</v>
      </c>
      <c r="C31" s="911"/>
      <c r="D31" s="911"/>
      <c r="E31" s="911"/>
      <c r="F31" s="912"/>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c r="DM31" s="44"/>
    </row>
    <row r="32" spans="1:120" s="45" customFormat="1" ht="7.5" customHeight="1" thickBot="1">
      <c r="A32" s="48"/>
      <c r="B32" s="913"/>
      <c r="C32" s="914"/>
      <c r="D32" s="914"/>
      <c r="E32" s="914"/>
      <c r="F32" s="915"/>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391"/>
      <c r="DK32" s="392"/>
      <c r="DL32" s="51"/>
      <c r="DM32" s="44"/>
    </row>
    <row r="33" spans="1:117" s="45" customFormat="1" ht="7.5" customHeight="1">
      <c r="A33" s="48"/>
      <c r="B33" s="857" t="s">
        <v>75</v>
      </c>
      <c r="C33" s="858"/>
      <c r="D33" s="858"/>
      <c r="E33" s="858"/>
      <c r="F33" s="859"/>
      <c r="G33" s="799" t="s">
        <v>73</v>
      </c>
      <c r="H33" s="800"/>
      <c r="I33" s="800"/>
      <c r="J33" s="800"/>
      <c r="K33" s="800"/>
      <c r="L33" s="801"/>
      <c r="M33" s="793"/>
      <c r="N33" s="794"/>
      <c r="O33" s="794"/>
      <c r="P33" s="794"/>
      <c r="Q33" s="794"/>
      <c r="R33" s="794"/>
      <c r="S33" s="794"/>
      <c r="T33" s="794"/>
      <c r="U33" s="794"/>
      <c r="V33" s="794"/>
      <c r="W33" s="795"/>
      <c r="X33" s="799" t="s">
        <v>11</v>
      </c>
      <c r="Y33" s="800"/>
      <c r="Z33" s="800"/>
      <c r="AA33" s="800"/>
      <c r="AB33" s="800"/>
      <c r="AC33" s="801"/>
      <c r="AD33" s="793"/>
      <c r="AE33" s="794"/>
      <c r="AF33" s="794"/>
      <c r="AG33" s="794"/>
      <c r="AH33" s="794"/>
      <c r="AI33" s="794"/>
      <c r="AJ33" s="794"/>
      <c r="AK33" s="794"/>
      <c r="AL33" s="794"/>
      <c r="AM33" s="794"/>
      <c r="AN33" s="795"/>
      <c r="AO33" s="799" t="s">
        <v>74</v>
      </c>
      <c r="AP33" s="800"/>
      <c r="AQ33" s="800"/>
      <c r="AR33" s="800"/>
      <c r="AS33" s="800"/>
      <c r="AT33" s="801"/>
      <c r="AU33" s="793"/>
      <c r="AV33" s="794"/>
      <c r="AW33" s="794"/>
      <c r="AX33" s="794"/>
      <c r="AY33" s="794"/>
      <c r="AZ33" s="794"/>
      <c r="BA33" s="794"/>
      <c r="BB33" s="794"/>
      <c r="BC33" s="794"/>
      <c r="BD33" s="794"/>
      <c r="BE33" s="794"/>
      <c r="BF33" s="805"/>
      <c r="BG33" s="48"/>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511</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c r="DM33" s="44"/>
    </row>
    <row r="34" spans="1:117" s="45" customFormat="1" ht="7.5" customHeight="1">
      <c r="A34" s="48"/>
      <c r="B34" s="860"/>
      <c r="C34" s="861"/>
      <c r="D34" s="861"/>
      <c r="E34" s="861"/>
      <c r="F34" s="862"/>
      <c r="G34" s="802"/>
      <c r="H34" s="803"/>
      <c r="I34" s="803"/>
      <c r="J34" s="803"/>
      <c r="K34" s="803"/>
      <c r="L34" s="804"/>
      <c r="M34" s="796"/>
      <c r="N34" s="797"/>
      <c r="O34" s="797"/>
      <c r="P34" s="797"/>
      <c r="Q34" s="797"/>
      <c r="R34" s="797"/>
      <c r="S34" s="797"/>
      <c r="T34" s="797"/>
      <c r="U34" s="797"/>
      <c r="V34" s="797"/>
      <c r="W34" s="798"/>
      <c r="X34" s="802"/>
      <c r="Y34" s="803"/>
      <c r="Z34" s="803"/>
      <c r="AA34" s="803"/>
      <c r="AB34" s="803"/>
      <c r="AC34" s="804"/>
      <c r="AD34" s="796"/>
      <c r="AE34" s="797"/>
      <c r="AF34" s="797"/>
      <c r="AG34" s="797"/>
      <c r="AH34" s="797"/>
      <c r="AI34" s="797"/>
      <c r="AJ34" s="797"/>
      <c r="AK34" s="797"/>
      <c r="AL34" s="797"/>
      <c r="AM34" s="797"/>
      <c r="AN34" s="798"/>
      <c r="AO34" s="802"/>
      <c r="AP34" s="803"/>
      <c r="AQ34" s="803"/>
      <c r="AR34" s="803"/>
      <c r="AS34" s="803"/>
      <c r="AT34" s="804"/>
      <c r="AU34" s="796"/>
      <c r="AV34" s="797"/>
      <c r="AW34" s="797"/>
      <c r="AX34" s="797"/>
      <c r="AY34" s="797"/>
      <c r="AZ34" s="797"/>
      <c r="BA34" s="797"/>
      <c r="BB34" s="797"/>
      <c r="BC34" s="797"/>
      <c r="BD34" s="797"/>
      <c r="BE34" s="797"/>
      <c r="BF34" s="806"/>
      <c r="BG34" s="48"/>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c r="DM34" s="44"/>
    </row>
    <row r="35" spans="1:117" s="45" customFormat="1" ht="7.5" customHeight="1">
      <c r="A35" s="48"/>
      <c r="B35" s="860"/>
      <c r="C35" s="861"/>
      <c r="D35" s="861"/>
      <c r="E35" s="861"/>
      <c r="F35" s="862"/>
      <c r="G35" s="799" t="s">
        <v>76</v>
      </c>
      <c r="H35" s="800"/>
      <c r="I35" s="800"/>
      <c r="J35" s="800"/>
      <c r="K35" s="800"/>
      <c r="L35" s="801"/>
      <c r="M35" s="793"/>
      <c r="N35" s="794"/>
      <c r="O35" s="794"/>
      <c r="P35" s="794"/>
      <c r="Q35" s="794"/>
      <c r="R35" s="794"/>
      <c r="S35" s="794"/>
      <c r="T35" s="794"/>
      <c r="U35" s="794"/>
      <c r="V35" s="794"/>
      <c r="W35" s="794"/>
      <c r="X35" s="794"/>
      <c r="Y35" s="794"/>
      <c r="Z35" s="794"/>
      <c r="AA35" s="794"/>
      <c r="AB35" s="794"/>
      <c r="AC35" s="794"/>
      <c r="AD35" s="794"/>
      <c r="AE35" s="794"/>
      <c r="AF35" s="795"/>
      <c r="AG35" s="799" t="s">
        <v>77</v>
      </c>
      <c r="AH35" s="800"/>
      <c r="AI35" s="800"/>
      <c r="AJ35" s="800"/>
      <c r="AK35" s="800"/>
      <c r="AL35" s="801"/>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c r="DM35" s="44"/>
    </row>
    <row r="36" spans="1:117" s="45" customFormat="1" ht="7.5" customHeight="1">
      <c r="A36" s="48"/>
      <c r="B36" s="863"/>
      <c r="C36" s="864"/>
      <c r="D36" s="864"/>
      <c r="E36" s="864"/>
      <c r="F36" s="865"/>
      <c r="G36" s="802"/>
      <c r="H36" s="803"/>
      <c r="I36" s="803"/>
      <c r="J36" s="803"/>
      <c r="K36" s="803"/>
      <c r="L36" s="804"/>
      <c r="M36" s="796"/>
      <c r="N36" s="797"/>
      <c r="O36" s="797"/>
      <c r="P36" s="797"/>
      <c r="Q36" s="797"/>
      <c r="R36" s="797"/>
      <c r="S36" s="797"/>
      <c r="T36" s="797"/>
      <c r="U36" s="797"/>
      <c r="V36" s="797"/>
      <c r="W36" s="797"/>
      <c r="X36" s="797"/>
      <c r="Y36" s="797"/>
      <c r="Z36" s="797"/>
      <c r="AA36" s="797"/>
      <c r="AB36" s="797"/>
      <c r="AC36" s="797"/>
      <c r="AD36" s="797"/>
      <c r="AE36" s="797"/>
      <c r="AF36" s="798"/>
      <c r="AG36" s="802"/>
      <c r="AH36" s="803"/>
      <c r="AI36" s="803"/>
      <c r="AJ36" s="803"/>
      <c r="AK36" s="803"/>
      <c r="AL36" s="804"/>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c r="DM36" s="44"/>
    </row>
    <row r="37" spans="1:117" s="45" customFormat="1" ht="7.5" customHeight="1">
      <c r="A37" s="48"/>
      <c r="B37" s="1012" t="s">
        <v>795</v>
      </c>
      <c r="C37" s="1013"/>
      <c r="D37" s="1013"/>
      <c r="E37" s="1013"/>
      <c r="F37" s="1014"/>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1030" t="s">
        <v>72</v>
      </c>
      <c r="AC37" s="1030"/>
      <c r="AD37" s="1030"/>
      <c r="AE37" s="1030"/>
      <c r="AF37" s="1031"/>
      <c r="AG37" s="1032"/>
      <c r="AH37" s="1033"/>
      <c r="AI37" s="1033"/>
      <c r="AJ37" s="1033"/>
      <c r="AK37" s="1033"/>
      <c r="AL37" s="1033"/>
      <c r="AM37" s="1033"/>
      <c r="AN37" s="1033"/>
      <c r="AO37" s="1033"/>
      <c r="AP37" s="1033"/>
      <c r="AQ37" s="1033"/>
      <c r="AR37" s="1033"/>
      <c r="AS37" s="1033"/>
      <c r="AT37" s="1050"/>
      <c r="AU37" s="1033"/>
      <c r="AV37" s="1033"/>
      <c r="AW37" s="1033"/>
      <c r="AX37" s="1033"/>
      <c r="AY37" s="1033"/>
      <c r="AZ37" s="1033"/>
      <c r="BA37" s="1033"/>
      <c r="BB37" s="1033"/>
      <c r="BC37" s="1033"/>
      <c r="BD37" s="1033"/>
      <c r="BE37" s="1033"/>
      <c r="BF37" s="1051"/>
      <c r="BG37" s="48"/>
      <c r="BH37" s="48"/>
      <c r="BI37" s="855"/>
      <c r="BJ37" s="856"/>
      <c r="BK37" s="547"/>
      <c r="BL37" s="547"/>
      <c r="BM37" s="548"/>
      <c r="BN37" s="969" t="s">
        <v>73</v>
      </c>
      <c r="BO37" s="970"/>
      <c r="BP37" s="970"/>
      <c r="BQ37" s="970"/>
      <c r="BR37" s="970"/>
      <c r="BS37" s="971"/>
      <c r="BT37" s="793"/>
      <c r="BU37" s="794"/>
      <c r="BV37" s="794"/>
      <c r="BW37" s="794"/>
      <c r="BX37" s="794"/>
      <c r="BY37" s="794"/>
      <c r="BZ37" s="794"/>
      <c r="CA37" s="794"/>
      <c r="CB37" s="794"/>
      <c r="CC37" s="794"/>
      <c r="CD37" s="795"/>
      <c r="CE37" s="969" t="s">
        <v>11</v>
      </c>
      <c r="CF37" s="970"/>
      <c r="CG37" s="970"/>
      <c r="CH37" s="970"/>
      <c r="CI37" s="970"/>
      <c r="CJ37" s="971"/>
      <c r="CK37" s="793"/>
      <c r="CL37" s="794"/>
      <c r="CM37" s="794"/>
      <c r="CN37" s="794"/>
      <c r="CO37" s="794"/>
      <c r="CP37" s="794"/>
      <c r="CQ37" s="794"/>
      <c r="CR37" s="794"/>
      <c r="CS37" s="794"/>
      <c r="CT37" s="794"/>
      <c r="CU37" s="795"/>
      <c r="CV37" s="969" t="s">
        <v>74</v>
      </c>
      <c r="CW37" s="970"/>
      <c r="CX37" s="970"/>
      <c r="CY37" s="970"/>
      <c r="CZ37" s="970"/>
      <c r="DA37" s="971"/>
      <c r="DB37" s="793"/>
      <c r="DC37" s="794"/>
      <c r="DD37" s="794"/>
      <c r="DE37" s="794"/>
      <c r="DF37" s="794"/>
      <c r="DG37" s="794"/>
      <c r="DH37" s="794"/>
      <c r="DI37" s="794"/>
      <c r="DJ37" s="794"/>
      <c r="DK37" s="805"/>
      <c r="DL37" s="44"/>
      <c r="DM37" s="44"/>
    </row>
    <row r="38" spans="1:117" s="45" customFormat="1" ht="7.5" customHeight="1">
      <c r="A38" s="48"/>
      <c r="B38" s="1015"/>
      <c r="C38" s="1016"/>
      <c r="D38" s="1016"/>
      <c r="E38" s="1016"/>
      <c r="F38" s="1017"/>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1052" t="s">
        <v>797</v>
      </c>
      <c r="AC38" s="1053"/>
      <c r="AD38" s="1053"/>
      <c r="AE38" s="1053"/>
      <c r="AF38" s="1054"/>
      <c r="AG38" s="1024"/>
      <c r="AH38" s="1025"/>
      <c r="AI38" s="1025"/>
      <c r="AJ38" s="1025"/>
      <c r="AK38" s="1025"/>
      <c r="AL38" s="1025"/>
      <c r="AM38" s="1025"/>
      <c r="AN38" s="1025"/>
      <c r="AO38" s="1025"/>
      <c r="AP38" s="1025"/>
      <c r="AQ38" s="1025"/>
      <c r="AR38" s="1025"/>
      <c r="AS38" s="1025"/>
      <c r="AT38" s="1056"/>
      <c r="AU38" s="1057"/>
      <c r="AV38" s="1057"/>
      <c r="AW38" s="1057"/>
      <c r="AX38" s="1057"/>
      <c r="AY38" s="1057"/>
      <c r="AZ38" s="1057"/>
      <c r="BA38" s="1057"/>
      <c r="BB38" s="1057"/>
      <c r="BC38" s="1057"/>
      <c r="BD38" s="1057"/>
      <c r="BE38" s="1057"/>
      <c r="BF38" s="1058"/>
      <c r="BG38" s="48"/>
      <c r="BH38" s="48"/>
      <c r="BI38" s="957" t="s">
        <v>75</v>
      </c>
      <c r="BJ38" s="958"/>
      <c r="BK38" s="958"/>
      <c r="BL38" s="958"/>
      <c r="BM38" s="959"/>
      <c r="BN38" s="972"/>
      <c r="BO38" s="973"/>
      <c r="BP38" s="973"/>
      <c r="BQ38" s="973"/>
      <c r="BR38" s="973"/>
      <c r="BS38" s="974"/>
      <c r="BT38" s="796"/>
      <c r="BU38" s="797"/>
      <c r="BV38" s="797"/>
      <c r="BW38" s="797"/>
      <c r="BX38" s="797"/>
      <c r="BY38" s="797"/>
      <c r="BZ38" s="797"/>
      <c r="CA38" s="797"/>
      <c r="CB38" s="797"/>
      <c r="CC38" s="797"/>
      <c r="CD38" s="798"/>
      <c r="CE38" s="972"/>
      <c r="CF38" s="973"/>
      <c r="CG38" s="973"/>
      <c r="CH38" s="973"/>
      <c r="CI38" s="973"/>
      <c r="CJ38" s="974"/>
      <c r="CK38" s="796"/>
      <c r="CL38" s="797"/>
      <c r="CM38" s="797"/>
      <c r="CN38" s="797"/>
      <c r="CO38" s="797"/>
      <c r="CP38" s="797"/>
      <c r="CQ38" s="797"/>
      <c r="CR38" s="797"/>
      <c r="CS38" s="797"/>
      <c r="CT38" s="797"/>
      <c r="CU38" s="798"/>
      <c r="CV38" s="972"/>
      <c r="CW38" s="973"/>
      <c r="CX38" s="973"/>
      <c r="CY38" s="973"/>
      <c r="CZ38" s="973"/>
      <c r="DA38" s="974"/>
      <c r="DB38" s="796"/>
      <c r="DC38" s="797"/>
      <c r="DD38" s="797"/>
      <c r="DE38" s="797"/>
      <c r="DF38" s="797"/>
      <c r="DG38" s="797"/>
      <c r="DH38" s="797"/>
      <c r="DI38" s="797"/>
      <c r="DJ38" s="797"/>
      <c r="DK38" s="806"/>
      <c r="DL38" s="44"/>
      <c r="DM38" s="44"/>
    </row>
    <row r="39" spans="1:117" s="45" customFormat="1" ht="7.5" customHeight="1">
      <c r="A39" s="48"/>
      <c r="B39" s="1018"/>
      <c r="C39" s="1019"/>
      <c r="D39" s="1019"/>
      <c r="E39" s="1019"/>
      <c r="F39" s="1020"/>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1055"/>
      <c r="AC39" s="1019"/>
      <c r="AD39" s="1019"/>
      <c r="AE39" s="1019"/>
      <c r="AF39" s="1020"/>
      <c r="AG39" s="1027"/>
      <c r="AH39" s="1028"/>
      <c r="AI39" s="1028"/>
      <c r="AJ39" s="1028"/>
      <c r="AK39" s="1028"/>
      <c r="AL39" s="1028"/>
      <c r="AM39" s="1028"/>
      <c r="AN39" s="1028"/>
      <c r="AO39" s="1028"/>
      <c r="AP39" s="1028"/>
      <c r="AQ39" s="1028"/>
      <c r="AR39" s="1028"/>
      <c r="AS39" s="1028"/>
      <c r="AT39" s="1059"/>
      <c r="AU39" s="1028"/>
      <c r="AV39" s="1028"/>
      <c r="AW39" s="1028"/>
      <c r="AX39" s="1028"/>
      <c r="AY39" s="1028"/>
      <c r="AZ39" s="1028"/>
      <c r="BA39" s="1028"/>
      <c r="BB39" s="1028"/>
      <c r="BC39" s="1028"/>
      <c r="BD39" s="1028"/>
      <c r="BE39" s="1028"/>
      <c r="BF39" s="1060"/>
      <c r="BG39" s="48"/>
      <c r="BH39" s="48"/>
      <c r="BI39" s="957"/>
      <c r="BJ39" s="958"/>
      <c r="BK39" s="958"/>
      <c r="BL39" s="958"/>
      <c r="BM39" s="959"/>
      <c r="BN39" s="969" t="s">
        <v>76</v>
      </c>
      <c r="BO39" s="970"/>
      <c r="BP39" s="970"/>
      <c r="BQ39" s="970"/>
      <c r="BR39" s="970"/>
      <c r="BS39" s="971"/>
      <c r="BT39" s="793"/>
      <c r="BU39" s="794"/>
      <c r="BV39" s="794"/>
      <c r="BW39" s="794"/>
      <c r="BX39" s="794"/>
      <c r="BY39" s="794"/>
      <c r="BZ39" s="794"/>
      <c r="CA39" s="794"/>
      <c r="CB39" s="794"/>
      <c r="CC39" s="794"/>
      <c r="CD39" s="794"/>
      <c r="CE39" s="794"/>
      <c r="CF39" s="794"/>
      <c r="CG39" s="794"/>
      <c r="CH39" s="794"/>
      <c r="CI39" s="794"/>
      <c r="CJ39" s="794"/>
      <c r="CK39" s="794"/>
      <c r="CL39" s="794"/>
      <c r="CM39" s="795"/>
      <c r="CN39" s="969" t="s">
        <v>77</v>
      </c>
      <c r="CO39" s="970"/>
      <c r="CP39" s="970"/>
      <c r="CQ39" s="970"/>
      <c r="CR39" s="970"/>
      <c r="CS39" s="971"/>
      <c r="CT39" s="928"/>
      <c r="CU39" s="929"/>
      <c r="CV39" s="929"/>
      <c r="CW39" s="929"/>
      <c r="CX39" s="929"/>
      <c r="CY39" s="929"/>
      <c r="CZ39" s="929"/>
      <c r="DA39" s="929"/>
      <c r="DB39" s="929"/>
      <c r="DC39" s="929"/>
      <c r="DD39" s="929"/>
      <c r="DE39" s="929"/>
      <c r="DF39" s="929"/>
      <c r="DG39" s="929"/>
      <c r="DH39" s="929"/>
      <c r="DI39" s="929"/>
      <c r="DJ39" s="929"/>
      <c r="DK39" s="930"/>
      <c r="DL39" s="44"/>
      <c r="DM39" s="44"/>
    </row>
    <row r="40" spans="1:117" s="45" customFormat="1" ht="7.5" customHeight="1">
      <c r="A40" s="48"/>
      <c r="B40" s="1012" t="s">
        <v>570</v>
      </c>
      <c r="C40" s="1013"/>
      <c r="D40" s="1013"/>
      <c r="E40" s="1013"/>
      <c r="F40" s="1014"/>
      <c r="G40" s="1037"/>
      <c r="H40" s="1038"/>
      <c r="I40" s="1038"/>
      <c r="J40" s="1038"/>
      <c r="K40" s="1038"/>
      <c r="L40" s="1038"/>
      <c r="M40" s="1038"/>
      <c r="N40" s="1038"/>
      <c r="O40" s="1038"/>
      <c r="P40" s="1038"/>
      <c r="Q40" s="1038"/>
      <c r="R40" s="1038"/>
      <c r="S40" s="1038"/>
      <c r="T40" s="1038"/>
      <c r="U40" s="1038"/>
      <c r="V40" s="1038"/>
      <c r="W40" s="1038"/>
      <c r="X40" s="1038"/>
      <c r="Y40" s="1038"/>
      <c r="Z40" s="1038"/>
      <c r="AA40" s="1039"/>
      <c r="AB40" s="799" t="s">
        <v>569</v>
      </c>
      <c r="AC40" s="1013"/>
      <c r="AD40" s="1013"/>
      <c r="AE40" s="1013"/>
      <c r="AF40" s="1014"/>
      <c r="AG40" s="1044"/>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5"/>
      <c r="BC40" s="1045"/>
      <c r="BD40" s="1045"/>
      <c r="BE40" s="1045"/>
      <c r="BF40" s="1046"/>
      <c r="BG40" s="48"/>
      <c r="BH40" s="48"/>
      <c r="BI40" s="549"/>
      <c r="BJ40" s="550"/>
      <c r="BK40" s="550"/>
      <c r="BL40" s="550"/>
      <c r="BM40" s="551"/>
      <c r="BN40" s="972"/>
      <c r="BO40" s="973"/>
      <c r="BP40" s="973"/>
      <c r="BQ40" s="973"/>
      <c r="BR40" s="973"/>
      <c r="BS40" s="974"/>
      <c r="BT40" s="796"/>
      <c r="BU40" s="797"/>
      <c r="BV40" s="797"/>
      <c r="BW40" s="797"/>
      <c r="BX40" s="797"/>
      <c r="BY40" s="797"/>
      <c r="BZ40" s="797"/>
      <c r="CA40" s="797"/>
      <c r="CB40" s="797"/>
      <c r="CC40" s="797"/>
      <c r="CD40" s="797"/>
      <c r="CE40" s="797"/>
      <c r="CF40" s="797"/>
      <c r="CG40" s="797"/>
      <c r="CH40" s="797"/>
      <c r="CI40" s="797"/>
      <c r="CJ40" s="797"/>
      <c r="CK40" s="797"/>
      <c r="CL40" s="797"/>
      <c r="CM40" s="798"/>
      <c r="CN40" s="972"/>
      <c r="CO40" s="973"/>
      <c r="CP40" s="973"/>
      <c r="CQ40" s="973"/>
      <c r="CR40" s="973"/>
      <c r="CS40" s="974"/>
      <c r="CT40" s="931"/>
      <c r="CU40" s="932"/>
      <c r="CV40" s="932"/>
      <c r="CW40" s="932"/>
      <c r="CX40" s="932"/>
      <c r="CY40" s="932"/>
      <c r="CZ40" s="932"/>
      <c r="DA40" s="932"/>
      <c r="DB40" s="932"/>
      <c r="DC40" s="932"/>
      <c r="DD40" s="932"/>
      <c r="DE40" s="932"/>
      <c r="DF40" s="932"/>
      <c r="DG40" s="932"/>
      <c r="DH40" s="932"/>
      <c r="DI40" s="932"/>
      <c r="DJ40" s="932"/>
      <c r="DK40" s="933"/>
      <c r="DL40" s="44"/>
      <c r="DM40" s="44"/>
    </row>
    <row r="41" spans="1:117" s="45" customFormat="1" ht="7.5" customHeight="1" thickBot="1">
      <c r="A41" s="48"/>
      <c r="B41" s="1034"/>
      <c r="C41" s="1035"/>
      <c r="D41" s="1035"/>
      <c r="E41" s="1035"/>
      <c r="F41" s="1036"/>
      <c r="G41" s="1040"/>
      <c r="H41" s="1041"/>
      <c r="I41" s="1041"/>
      <c r="J41" s="1041"/>
      <c r="K41" s="1041"/>
      <c r="L41" s="1041"/>
      <c r="M41" s="1041"/>
      <c r="N41" s="1041"/>
      <c r="O41" s="1041"/>
      <c r="P41" s="1041"/>
      <c r="Q41" s="1041"/>
      <c r="R41" s="1041"/>
      <c r="S41" s="1041"/>
      <c r="T41" s="1041"/>
      <c r="U41" s="1041"/>
      <c r="V41" s="1041"/>
      <c r="W41" s="1041"/>
      <c r="X41" s="1041"/>
      <c r="Y41" s="1041"/>
      <c r="Z41" s="1041"/>
      <c r="AA41" s="1042"/>
      <c r="AB41" s="1043"/>
      <c r="AC41" s="1035"/>
      <c r="AD41" s="1035"/>
      <c r="AE41" s="1035"/>
      <c r="AF41" s="1036"/>
      <c r="AG41" s="1047"/>
      <c r="AH41" s="1048"/>
      <c r="AI41" s="1048"/>
      <c r="AJ41" s="1048"/>
      <c r="AK41" s="1048"/>
      <c r="AL41" s="1048"/>
      <c r="AM41" s="1048"/>
      <c r="AN41" s="1048"/>
      <c r="AO41" s="1048"/>
      <c r="AP41" s="1048"/>
      <c r="AQ41" s="1048"/>
      <c r="AR41" s="1048"/>
      <c r="AS41" s="1048"/>
      <c r="AT41" s="1048"/>
      <c r="AU41" s="1048"/>
      <c r="AV41" s="1048"/>
      <c r="AW41" s="1048"/>
      <c r="AX41" s="1048"/>
      <c r="AY41" s="1048"/>
      <c r="AZ41" s="1048"/>
      <c r="BA41" s="1048"/>
      <c r="BB41" s="1048"/>
      <c r="BC41" s="1048"/>
      <c r="BD41" s="1048"/>
      <c r="BE41" s="1048"/>
      <c r="BF41" s="1049"/>
      <c r="BG41" s="48"/>
      <c r="BH41" s="48"/>
      <c r="BI41" s="960" t="s">
        <v>567</v>
      </c>
      <c r="BJ41" s="961"/>
      <c r="BK41" s="961"/>
      <c r="BL41" s="961"/>
      <c r="BM41" s="962"/>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1002" t="s">
        <v>266</v>
      </c>
      <c r="CL41" s="961"/>
      <c r="CM41" s="961"/>
      <c r="CN41" s="961"/>
      <c r="CO41" s="962"/>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c r="DM41" s="44"/>
    </row>
    <row r="42" spans="1:117" s="45" customFormat="1" ht="7.5" customHeight="1" thickTop="1">
      <c r="A42" s="683"/>
      <c r="B42" s="1003" t="s">
        <v>1567</v>
      </c>
      <c r="C42" s="1004"/>
      <c r="D42" s="1004"/>
      <c r="E42" s="1004"/>
      <c r="F42" s="1005"/>
      <c r="G42" s="982" t="s">
        <v>1575</v>
      </c>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c r="AU42" s="983"/>
      <c r="AV42" s="983"/>
      <c r="AW42" s="983"/>
      <c r="AX42" s="983"/>
      <c r="AY42" s="983"/>
      <c r="AZ42" s="983"/>
      <c r="BA42" s="983"/>
      <c r="BB42" s="983"/>
      <c r="BC42" s="983"/>
      <c r="BD42" s="983"/>
      <c r="BE42" s="983"/>
      <c r="BF42" s="983"/>
      <c r="BG42" s="48"/>
      <c r="BH42" s="48"/>
      <c r="BI42" s="960"/>
      <c r="BJ42" s="961"/>
      <c r="BK42" s="961"/>
      <c r="BL42" s="961"/>
      <c r="BM42" s="962"/>
      <c r="BN42" s="950"/>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1002"/>
      <c r="CL42" s="961"/>
      <c r="CM42" s="961"/>
      <c r="CN42" s="961"/>
      <c r="CO42" s="962"/>
      <c r="CP42" s="954"/>
      <c r="CQ42" s="955"/>
      <c r="CR42" s="955"/>
      <c r="CS42" s="955"/>
      <c r="CT42" s="955"/>
      <c r="CU42" s="955"/>
      <c r="CV42" s="955"/>
      <c r="CW42" s="955"/>
      <c r="CX42" s="955"/>
      <c r="CY42" s="955"/>
      <c r="CZ42" s="955"/>
      <c r="DA42" s="955"/>
      <c r="DB42" s="955"/>
      <c r="DC42" s="955"/>
      <c r="DD42" s="955"/>
      <c r="DE42" s="955"/>
      <c r="DF42" s="955"/>
      <c r="DG42" s="955"/>
      <c r="DH42" s="955"/>
      <c r="DI42" s="955"/>
      <c r="DJ42" s="955"/>
      <c r="DK42" s="956"/>
      <c r="DL42" s="50"/>
      <c r="DM42" s="44"/>
    </row>
    <row r="43" spans="1:117" s="45" customFormat="1" ht="7.5" customHeight="1">
      <c r="A43" s="683"/>
      <c r="B43" s="1006"/>
      <c r="C43" s="1007"/>
      <c r="D43" s="1007"/>
      <c r="E43" s="1007"/>
      <c r="F43" s="1008"/>
      <c r="G43" s="984"/>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c r="AU43" s="985"/>
      <c r="AV43" s="985"/>
      <c r="AW43" s="985"/>
      <c r="AX43" s="985"/>
      <c r="AY43" s="985"/>
      <c r="AZ43" s="985"/>
      <c r="BA43" s="985"/>
      <c r="BB43" s="985"/>
      <c r="BC43" s="985"/>
      <c r="BD43" s="985"/>
      <c r="BE43" s="985"/>
      <c r="BF43" s="985"/>
      <c r="BG43" s="685"/>
      <c r="BH43" s="48"/>
      <c r="BI43" s="835" t="s">
        <v>570</v>
      </c>
      <c r="BJ43" s="836"/>
      <c r="BK43" s="836"/>
      <c r="BL43" s="836"/>
      <c r="BM43" s="837"/>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902" t="s">
        <v>569</v>
      </c>
      <c r="CL43" s="836"/>
      <c r="CM43" s="836"/>
      <c r="CN43" s="836"/>
      <c r="CO43" s="837"/>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c r="DM43" s="44"/>
    </row>
    <row r="44" spans="1:117" s="45" customFormat="1" ht="7.5" customHeight="1" thickBot="1">
      <c r="A44" s="684"/>
      <c r="B44" s="1006"/>
      <c r="C44" s="1007"/>
      <c r="D44" s="1007"/>
      <c r="E44" s="1007"/>
      <c r="F44" s="1008"/>
      <c r="G44" s="984"/>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c r="AU44" s="985"/>
      <c r="AV44" s="985"/>
      <c r="AW44" s="985"/>
      <c r="AX44" s="985"/>
      <c r="AY44" s="985"/>
      <c r="AZ44" s="985"/>
      <c r="BA44" s="985"/>
      <c r="BB44" s="985"/>
      <c r="BC44" s="985"/>
      <c r="BD44" s="985"/>
      <c r="BE44" s="985"/>
      <c r="BF44" s="985"/>
      <c r="BG44" s="686"/>
      <c r="BI44" s="986"/>
      <c r="BJ44" s="987"/>
      <c r="BK44" s="987"/>
      <c r="BL44" s="987"/>
      <c r="BM44" s="9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995"/>
      <c r="CL44" s="987"/>
      <c r="CM44" s="987"/>
      <c r="CN44" s="987"/>
      <c r="CO44" s="9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c r="DM44" s="44"/>
    </row>
    <row r="45" spans="1:117" s="45" customFormat="1" ht="7.5" customHeight="1" thickTop="1">
      <c r="A45" s="683"/>
      <c r="B45" s="1006"/>
      <c r="C45" s="1007"/>
      <c r="D45" s="1007"/>
      <c r="E45" s="1007"/>
      <c r="F45" s="1008"/>
      <c r="G45" s="984"/>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985"/>
      <c r="AR45" s="985"/>
      <c r="AS45" s="985"/>
      <c r="AT45" s="985"/>
      <c r="AU45" s="985"/>
      <c r="AV45" s="985"/>
      <c r="AW45" s="985"/>
      <c r="AX45" s="985"/>
      <c r="AY45" s="985"/>
      <c r="AZ45" s="985"/>
      <c r="BA45" s="985"/>
      <c r="BB45" s="985"/>
      <c r="BC45" s="985"/>
      <c r="BD45" s="985"/>
      <c r="BE45" s="985"/>
      <c r="BF45" s="985"/>
      <c r="BG45" s="685"/>
      <c r="BH45" s="48"/>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334"/>
      <c r="DD45" s="334"/>
      <c r="DE45" s="334"/>
      <c r="DF45" s="334"/>
      <c r="DG45" s="334"/>
      <c r="DH45" s="334"/>
      <c r="DI45" s="334"/>
      <c r="DJ45" s="334"/>
      <c r="DK45" s="334"/>
      <c r="DL45" s="52"/>
      <c r="DM45" s="44"/>
    </row>
    <row r="46" spans="1:117" s="45" customFormat="1" ht="7.5" customHeight="1">
      <c r="A46" s="683"/>
      <c r="B46" s="1006"/>
      <c r="C46" s="1007"/>
      <c r="D46" s="1007"/>
      <c r="E46" s="1007"/>
      <c r="F46" s="1008"/>
      <c r="G46" s="984"/>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c r="AG46" s="985"/>
      <c r="AH46" s="985"/>
      <c r="AI46" s="985"/>
      <c r="AJ46" s="985"/>
      <c r="AK46" s="985"/>
      <c r="AL46" s="985"/>
      <c r="AM46" s="985"/>
      <c r="AN46" s="985"/>
      <c r="AO46" s="985"/>
      <c r="AP46" s="985"/>
      <c r="AQ46" s="985"/>
      <c r="AR46" s="985"/>
      <c r="AS46" s="985"/>
      <c r="AT46" s="985"/>
      <c r="AU46" s="985"/>
      <c r="AV46" s="985"/>
      <c r="AW46" s="985"/>
      <c r="AX46" s="985"/>
      <c r="AY46" s="985"/>
      <c r="AZ46" s="985"/>
      <c r="BA46" s="985"/>
      <c r="BB46" s="985"/>
      <c r="BC46" s="985"/>
      <c r="BD46" s="985"/>
      <c r="BE46" s="985"/>
      <c r="BF46" s="985"/>
      <c r="BG46" s="685"/>
      <c r="BH46" s="48"/>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334"/>
      <c r="DD46" s="334"/>
      <c r="DE46" s="334"/>
      <c r="DF46" s="334"/>
      <c r="DG46" s="334"/>
      <c r="DH46" s="334"/>
      <c r="DI46" s="334"/>
      <c r="DJ46" s="334"/>
      <c r="DK46" s="334"/>
      <c r="DL46" s="52"/>
      <c r="DM46" s="44"/>
    </row>
    <row r="47" spans="1:117" s="45" customFormat="1" ht="7.5" customHeight="1">
      <c r="A47" s="683"/>
      <c r="B47" s="1006"/>
      <c r="C47" s="1007"/>
      <c r="D47" s="1007"/>
      <c r="E47" s="1007"/>
      <c r="F47" s="1008"/>
      <c r="G47" s="984"/>
      <c r="H47" s="985"/>
      <c r="I47" s="985"/>
      <c r="J47" s="985"/>
      <c r="K47" s="985"/>
      <c r="L47" s="985"/>
      <c r="M47" s="985"/>
      <c r="N47" s="985"/>
      <c r="O47" s="985"/>
      <c r="P47" s="985"/>
      <c r="Q47" s="985"/>
      <c r="R47" s="985"/>
      <c r="S47" s="985"/>
      <c r="T47" s="985"/>
      <c r="U47" s="985"/>
      <c r="V47" s="985"/>
      <c r="W47" s="985"/>
      <c r="X47" s="985"/>
      <c r="Y47" s="985"/>
      <c r="Z47" s="985"/>
      <c r="AA47" s="985"/>
      <c r="AB47" s="985"/>
      <c r="AC47" s="985"/>
      <c r="AD47" s="985"/>
      <c r="AE47" s="985"/>
      <c r="AF47" s="985"/>
      <c r="AG47" s="985"/>
      <c r="AH47" s="985"/>
      <c r="AI47" s="985"/>
      <c r="AJ47" s="985"/>
      <c r="AK47" s="985"/>
      <c r="AL47" s="985"/>
      <c r="AM47" s="985"/>
      <c r="AN47" s="985"/>
      <c r="AO47" s="985"/>
      <c r="AP47" s="985"/>
      <c r="AQ47" s="985"/>
      <c r="AR47" s="985"/>
      <c r="AS47" s="985"/>
      <c r="AT47" s="985"/>
      <c r="AU47" s="985"/>
      <c r="AV47" s="985"/>
      <c r="AW47" s="985"/>
      <c r="AX47" s="985"/>
      <c r="AY47" s="985"/>
      <c r="AZ47" s="985"/>
      <c r="BA47" s="985"/>
      <c r="BB47" s="985"/>
      <c r="BC47" s="985"/>
      <c r="BD47" s="985"/>
      <c r="BE47" s="985"/>
      <c r="BF47" s="985"/>
      <c r="BG47" s="685"/>
      <c r="BH47" s="48"/>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334"/>
      <c r="DD47" s="334"/>
      <c r="DE47" s="334"/>
      <c r="DF47" s="334"/>
      <c r="DG47" s="334"/>
      <c r="DH47" s="334"/>
      <c r="DI47" s="334"/>
      <c r="DJ47" s="334"/>
      <c r="DK47" s="334"/>
      <c r="DL47" s="52"/>
      <c r="DM47" s="44"/>
    </row>
    <row r="48" spans="1:117" s="45" customFormat="1" ht="7.5" customHeight="1">
      <c r="A48" s="683"/>
      <c r="B48" s="1006"/>
      <c r="C48" s="1007"/>
      <c r="D48" s="1007"/>
      <c r="E48" s="1007"/>
      <c r="F48" s="1008"/>
      <c r="G48" s="984"/>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c r="AU48" s="985"/>
      <c r="AV48" s="985"/>
      <c r="AW48" s="985"/>
      <c r="AX48" s="985"/>
      <c r="AY48" s="985"/>
      <c r="AZ48" s="985"/>
      <c r="BA48" s="985"/>
      <c r="BB48" s="985"/>
      <c r="BC48" s="985"/>
      <c r="BD48" s="985"/>
      <c r="BE48" s="985"/>
      <c r="BF48" s="985"/>
      <c r="BG48" s="685"/>
      <c r="BH48" s="48"/>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334"/>
      <c r="DD48" s="334"/>
      <c r="DE48" s="334"/>
      <c r="DF48" s="334"/>
      <c r="DG48" s="334"/>
      <c r="DH48" s="334"/>
      <c r="DI48" s="334"/>
      <c r="DJ48" s="334"/>
      <c r="DK48" s="334"/>
      <c r="DL48" s="52"/>
      <c r="DM48" s="44"/>
    </row>
    <row r="49" spans="1:157" s="45" customFormat="1" ht="7.5" customHeight="1">
      <c r="A49" s="683"/>
      <c r="B49" s="1006"/>
      <c r="C49" s="1007"/>
      <c r="D49" s="1007"/>
      <c r="E49" s="1007"/>
      <c r="F49" s="1008"/>
      <c r="G49" s="984"/>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c r="AU49" s="985"/>
      <c r="AV49" s="985"/>
      <c r="AW49" s="985"/>
      <c r="AX49" s="985"/>
      <c r="AY49" s="985"/>
      <c r="AZ49" s="985"/>
      <c r="BA49" s="985"/>
      <c r="BB49" s="985"/>
      <c r="BC49" s="985"/>
      <c r="BD49" s="985"/>
      <c r="BE49" s="985"/>
      <c r="BF49" s="985"/>
      <c r="BG49" s="685"/>
      <c r="BH49" s="48"/>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334"/>
      <c r="DD49" s="334"/>
      <c r="DE49" s="334"/>
      <c r="DF49" s="334"/>
      <c r="DG49" s="334"/>
      <c r="DH49" s="334"/>
      <c r="DI49" s="334"/>
      <c r="DJ49" s="334"/>
      <c r="DK49" s="334"/>
      <c r="DL49" s="52"/>
      <c r="DM49" s="44"/>
    </row>
    <row r="50" spans="1:157" s="45" customFormat="1" ht="7.5" customHeight="1">
      <c r="A50" s="683"/>
      <c r="B50" s="1006"/>
      <c r="C50" s="1007"/>
      <c r="D50" s="1007"/>
      <c r="E50" s="1007"/>
      <c r="F50" s="1008"/>
      <c r="G50" s="984"/>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c r="AL50" s="985"/>
      <c r="AM50" s="985"/>
      <c r="AN50" s="985"/>
      <c r="AO50" s="985"/>
      <c r="AP50" s="985"/>
      <c r="AQ50" s="985"/>
      <c r="AR50" s="985"/>
      <c r="AS50" s="985"/>
      <c r="AT50" s="985"/>
      <c r="AU50" s="985"/>
      <c r="AV50" s="985"/>
      <c r="AW50" s="985"/>
      <c r="AX50" s="985"/>
      <c r="AY50" s="985"/>
      <c r="AZ50" s="985"/>
      <c r="BA50" s="985"/>
      <c r="BB50" s="985"/>
      <c r="BC50" s="985"/>
      <c r="BD50" s="985"/>
      <c r="BE50" s="985"/>
      <c r="BF50" s="985"/>
      <c r="BG50" s="685"/>
      <c r="BH50" s="48"/>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334"/>
      <c r="DD50" s="334"/>
      <c r="DE50" s="334"/>
      <c r="DF50" s="334"/>
      <c r="DG50" s="334"/>
      <c r="DH50" s="334"/>
      <c r="DI50" s="334"/>
      <c r="DJ50" s="334"/>
      <c r="DK50" s="334"/>
      <c r="DL50" s="52"/>
      <c r="DM50" s="44"/>
    </row>
    <row r="51" spans="1:157" s="45" customFormat="1" ht="7.5" customHeight="1">
      <c r="A51" s="683"/>
      <c r="B51" s="1006"/>
      <c r="C51" s="1007"/>
      <c r="D51" s="1007"/>
      <c r="E51" s="1007"/>
      <c r="F51" s="1008"/>
      <c r="G51" s="1061" t="s">
        <v>1568</v>
      </c>
      <c r="H51" s="1062"/>
      <c r="I51" s="1062"/>
      <c r="J51" s="1062"/>
      <c r="K51" s="1062"/>
      <c r="L51" s="1062"/>
      <c r="M51" s="1062"/>
      <c r="N51" s="1062"/>
      <c r="O51" s="1062"/>
      <c r="P51" s="1062"/>
      <c r="Q51" s="1062"/>
      <c r="R51" s="1062"/>
      <c r="S51" s="1062"/>
      <c r="T51" s="1062"/>
      <c r="U51" s="1062"/>
      <c r="V51" s="1062"/>
      <c r="W51" s="1062"/>
      <c r="X51" s="1062"/>
      <c r="Y51" s="1062"/>
      <c r="Z51" s="1062"/>
      <c r="AA51" s="1062"/>
      <c r="AB51" s="1062"/>
      <c r="AC51" s="1065" t="s">
        <v>1569</v>
      </c>
      <c r="AD51" s="1065"/>
      <c r="AE51" s="1065"/>
      <c r="AF51" s="1065"/>
      <c r="AG51" s="1065"/>
      <c r="AH51" s="1065"/>
      <c r="AI51" s="1065"/>
      <c r="AJ51" s="1065"/>
      <c r="AK51" s="1065"/>
      <c r="AL51" s="1065"/>
      <c r="AM51" s="1065"/>
      <c r="AN51" s="1065"/>
      <c r="AO51" s="1065"/>
      <c r="AP51" s="1065"/>
      <c r="AQ51" s="1065"/>
      <c r="AR51" s="1065"/>
      <c r="AS51" s="1065"/>
      <c r="AT51" s="1065"/>
      <c r="AU51" s="1065"/>
      <c r="AV51" s="1065"/>
      <c r="AW51" s="1065"/>
      <c r="AX51" s="1065"/>
      <c r="AY51" s="1065"/>
      <c r="AZ51" s="1065"/>
      <c r="BA51" s="1065"/>
      <c r="BB51" s="1065"/>
      <c r="BC51" s="1065"/>
      <c r="BD51" s="1065"/>
      <c r="BE51" s="1065"/>
      <c r="BF51" s="1066"/>
      <c r="BG51" s="685"/>
      <c r="BH51" s="48"/>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334"/>
      <c r="DD51" s="334"/>
      <c r="DE51" s="334"/>
      <c r="DF51" s="334"/>
      <c r="DG51" s="334"/>
      <c r="DH51" s="334"/>
      <c r="DI51" s="334"/>
      <c r="DJ51" s="334"/>
      <c r="DK51" s="334"/>
      <c r="DL51" s="52"/>
      <c r="DM51" s="44"/>
    </row>
    <row r="52" spans="1:157" s="45" customFormat="1" ht="7.5" customHeight="1" thickBot="1">
      <c r="A52" s="683"/>
      <c r="B52" s="1009"/>
      <c r="C52" s="1010"/>
      <c r="D52" s="1010"/>
      <c r="E52" s="1010"/>
      <c r="F52" s="1011"/>
      <c r="G52" s="1063"/>
      <c r="H52" s="1064"/>
      <c r="I52" s="1064"/>
      <c r="J52" s="1064"/>
      <c r="K52" s="1064"/>
      <c r="L52" s="1064"/>
      <c r="M52" s="1064"/>
      <c r="N52" s="1064"/>
      <c r="O52" s="1064"/>
      <c r="P52" s="1064"/>
      <c r="Q52" s="1064"/>
      <c r="R52" s="1064"/>
      <c r="S52" s="1064"/>
      <c r="T52" s="1064"/>
      <c r="U52" s="1064"/>
      <c r="V52" s="1064"/>
      <c r="W52" s="1064"/>
      <c r="X52" s="1064"/>
      <c r="Y52" s="1064"/>
      <c r="Z52" s="1064"/>
      <c r="AA52" s="1064"/>
      <c r="AB52" s="1064"/>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8"/>
      <c r="BG52" s="685"/>
      <c r="BH52" s="48"/>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334"/>
      <c r="DD52" s="334"/>
      <c r="DE52" s="334"/>
      <c r="DF52" s="334"/>
      <c r="DG52" s="334"/>
      <c r="DH52" s="334"/>
      <c r="DI52" s="334"/>
      <c r="DJ52" s="334"/>
      <c r="DK52" s="334"/>
      <c r="DL52" s="52"/>
      <c r="DM52" s="44"/>
    </row>
    <row r="53" spans="1:157" s="45" customFormat="1" ht="7.5" customHeight="1" thickTop="1">
      <c r="A53" s="48"/>
      <c r="B53" s="682"/>
      <c r="C53" s="682"/>
      <c r="D53" s="682"/>
      <c r="E53" s="682"/>
      <c r="F53" s="682"/>
      <c r="G53" s="687"/>
      <c r="H53" s="687"/>
      <c r="I53" s="687"/>
      <c r="J53" s="687"/>
      <c r="K53" s="687"/>
      <c r="L53" s="687"/>
      <c r="M53" s="687"/>
      <c r="N53" s="687"/>
      <c r="O53" s="687"/>
      <c r="P53" s="687"/>
      <c r="Q53" s="687"/>
      <c r="R53" s="687"/>
      <c r="S53" s="687"/>
      <c r="T53" s="687"/>
      <c r="U53" s="687"/>
      <c r="V53" s="687"/>
      <c r="W53" s="687"/>
      <c r="X53" s="687"/>
      <c r="Y53" s="687"/>
      <c r="Z53" s="687"/>
      <c r="AA53" s="687"/>
      <c r="AB53" s="687"/>
      <c r="AC53" s="687"/>
      <c r="AD53" s="687"/>
      <c r="AE53" s="687"/>
      <c r="AF53" s="687"/>
      <c r="AG53" s="687"/>
      <c r="AH53" s="687"/>
      <c r="AI53" s="687"/>
      <c r="AJ53" s="687"/>
      <c r="AK53" s="687"/>
      <c r="AL53" s="687"/>
      <c r="AM53" s="687"/>
      <c r="AN53" s="687"/>
      <c r="AO53" s="687"/>
      <c r="AP53" s="687"/>
      <c r="AQ53" s="687"/>
      <c r="AR53" s="687"/>
      <c r="AS53" s="687"/>
      <c r="AT53" s="687"/>
      <c r="AU53" s="687"/>
      <c r="AV53" s="687"/>
      <c r="AW53" s="687"/>
      <c r="AX53" s="687"/>
      <c r="AY53" s="687"/>
      <c r="AZ53" s="687"/>
      <c r="BA53" s="687"/>
      <c r="BB53" s="687"/>
      <c r="BC53" s="687"/>
      <c r="BD53" s="687"/>
      <c r="BE53" s="688"/>
      <c r="BF53" s="688"/>
      <c r="BG53" s="48"/>
      <c r="BH53" s="48"/>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334"/>
      <c r="DD53" s="334"/>
      <c r="DE53" s="334"/>
      <c r="DF53" s="334"/>
      <c r="DG53" s="334"/>
      <c r="DH53" s="334"/>
      <c r="DI53" s="334"/>
      <c r="DJ53" s="334"/>
      <c r="DK53" s="334"/>
      <c r="DL53" s="52"/>
      <c r="DM53" s="44"/>
    </row>
    <row r="54" spans="1:157" s="45" customFormat="1" ht="7.5" customHeight="1" thickBot="1">
      <c r="A54" s="48"/>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682"/>
      <c r="AM54" s="682"/>
      <c r="AN54" s="682"/>
      <c r="AO54" s="682"/>
      <c r="AP54" s="682"/>
      <c r="AQ54" s="682"/>
      <c r="AR54" s="682"/>
      <c r="AS54" s="682"/>
      <c r="AT54" s="682"/>
      <c r="AU54" s="682"/>
      <c r="AV54" s="682"/>
      <c r="AW54" s="682"/>
      <c r="AX54" s="682"/>
      <c r="AY54" s="682"/>
      <c r="AZ54" s="682"/>
      <c r="BA54" s="682"/>
      <c r="BB54" s="682"/>
      <c r="BC54" s="682"/>
      <c r="BD54" s="682"/>
      <c r="BE54" s="44"/>
      <c r="BF54" s="44"/>
      <c r="BG54" s="48"/>
      <c r="BH54" s="48"/>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334"/>
      <c r="DD54" s="334"/>
      <c r="DE54" s="334"/>
      <c r="DF54" s="334"/>
      <c r="DG54" s="334"/>
      <c r="DH54" s="334"/>
      <c r="DI54" s="334"/>
      <c r="DJ54" s="334"/>
      <c r="DK54" s="334"/>
      <c r="DL54" s="52"/>
      <c r="DM54" s="44"/>
    </row>
    <row r="55" spans="1:157" s="45" customFormat="1" ht="7.5" customHeight="1" thickTop="1" thickBot="1">
      <c r="A55" s="48"/>
      <c r="B55" s="934" t="s">
        <v>793</v>
      </c>
      <c r="C55" s="935"/>
      <c r="D55" s="935"/>
      <c r="E55" s="935"/>
      <c r="F55" s="935"/>
      <c r="G55" s="935"/>
      <c r="H55" s="935"/>
      <c r="I55" s="935"/>
      <c r="J55" s="935"/>
      <c r="K55" s="935"/>
      <c r="L55" s="935"/>
      <c r="M55" s="935"/>
      <c r="N55" s="935"/>
      <c r="O55" s="935"/>
      <c r="P55" s="935"/>
      <c r="Q55" s="935"/>
      <c r="R55" s="935"/>
      <c r="S55" s="935"/>
      <c r="T55" s="935"/>
      <c r="U55" s="935"/>
      <c r="V55" s="935"/>
      <c r="W55" s="935"/>
      <c r="X55" s="935"/>
      <c r="Y55" s="935"/>
      <c r="Z55" s="935"/>
      <c r="AA55" s="935"/>
      <c r="AB55" s="935"/>
      <c r="AC55" s="935"/>
      <c r="AD55" s="935"/>
      <c r="AE55" s="935"/>
      <c r="AF55" s="935"/>
      <c r="AG55" s="935"/>
      <c r="AH55" s="935"/>
      <c r="AI55" s="935"/>
      <c r="AJ55" s="935"/>
      <c r="AK55" s="935"/>
      <c r="AL55" s="1069"/>
      <c r="AM55" s="1070"/>
      <c r="AN55" s="1070"/>
      <c r="AO55" s="1070"/>
      <c r="AP55" s="1070"/>
      <c r="AQ55" s="1070"/>
      <c r="AR55" s="1070"/>
      <c r="AS55" s="1070"/>
      <c r="AT55" s="1070"/>
      <c r="AU55" s="1070"/>
      <c r="AV55" s="1070"/>
      <c r="AW55" s="1070"/>
      <c r="AX55" s="1070"/>
      <c r="AY55" s="1070"/>
      <c r="AZ55" s="1070"/>
      <c r="BA55" s="1070"/>
      <c r="BB55" s="1070"/>
      <c r="BC55" s="1070"/>
      <c r="BD55" s="1070"/>
      <c r="BE55" s="1070"/>
      <c r="BF55" s="1071"/>
      <c r="BG55" s="48"/>
      <c r="BH55" s="48"/>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334"/>
      <c r="DD55" s="334"/>
      <c r="DE55" s="334"/>
      <c r="DF55" s="334"/>
      <c r="DG55" s="334"/>
      <c r="DH55" s="334"/>
      <c r="DI55" s="334"/>
      <c r="DJ55" s="334"/>
      <c r="DK55" s="334"/>
      <c r="DL55" s="44"/>
      <c r="DM55" s="44"/>
    </row>
    <row r="56" spans="1:157" s="45" customFormat="1" ht="7.5" customHeight="1" thickTop="1">
      <c r="A56" s="48"/>
      <c r="B56" s="937"/>
      <c r="C56" s="938"/>
      <c r="D56" s="938"/>
      <c r="E56" s="938"/>
      <c r="F56" s="938"/>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8"/>
      <c r="AL56" s="1072"/>
      <c r="AM56" s="1073"/>
      <c r="AN56" s="1073"/>
      <c r="AO56" s="1073"/>
      <c r="AP56" s="1073"/>
      <c r="AQ56" s="1073"/>
      <c r="AR56" s="1073"/>
      <c r="AS56" s="1073"/>
      <c r="AT56" s="1073"/>
      <c r="AU56" s="1073"/>
      <c r="AV56" s="1073"/>
      <c r="AW56" s="1073"/>
      <c r="AX56" s="1073"/>
      <c r="AY56" s="1073"/>
      <c r="AZ56" s="1073"/>
      <c r="BA56" s="1073"/>
      <c r="BB56" s="1073"/>
      <c r="BC56" s="1073"/>
      <c r="BD56" s="1073"/>
      <c r="BE56" s="1073"/>
      <c r="BF56" s="1074"/>
      <c r="BG56" s="48"/>
      <c r="BH56" s="48"/>
      <c r="BI56" s="1075" t="s">
        <v>572</v>
      </c>
      <c r="BJ56" s="1076"/>
      <c r="BK56" s="1076"/>
      <c r="BL56" s="1076"/>
      <c r="BM56" s="1076"/>
      <c r="BN56" s="1076"/>
      <c r="BO56" s="1076"/>
      <c r="BP56" s="1076"/>
      <c r="BQ56" s="1076"/>
      <c r="BR56" s="1076"/>
      <c r="BS56" s="1076"/>
      <c r="BT56" s="1076"/>
      <c r="BU56" s="1076"/>
      <c r="BV56" s="1076"/>
      <c r="BW56" s="1076"/>
      <c r="BX56" s="1076"/>
      <c r="BY56" s="1076"/>
      <c r="BZ56" s="1076"/>
      <c r="CA56" s="1076"/>
      <c r="CB56" s="1076"/>
      <c r="CC56" s="1076"/>
      <c r="CD56" s="1076"/>
      <c r="CE56" s="1076"/>
      <c r="CF56" s="1076"/>
      <c r="CG56" s="1076"/>
      <c r="CH56" s="1076"/>
      <c r="CI56" s="1076"/>
      <c r="CJ56" s="1076"/>
      <c r="CK56" s="1076"/>
      <c r="CL56" s="1076"/>
      <c r="CM56" s="1076"/>
      <c r="CN56" s="1076"/>
      <c r="CO56" s="1076"/>
      <c r="CP56" s="1076"/>
      <c r="CQ56" s="1076"/>
      <c r="CR56" s="1076"/>
      <c r="CS56" s="1076"/>
      <c r="CT56" s="1076"/>
      <c r="CU56" s="1076"/>
      <c r="CV56" s="1076"/>
      <c r="CW56" s="1076"/>
      <c r="CX56" s="1076"/>
      <c r="CY56" s="1076"/>
      <c r="CZ56" s="1076"/>
      <c r="DA56" s="1076"/>
      <c r="DB56" s="1077"/>
      <c r="DC56" s="1081" t="s">
        <v>263</v>
      </c>
      <c r="DD56" s="1082"/>
      <c r="DE56" s="1082"/>
      <c r="DF56" s="1082"/>
      <c r="DG56" s="1082"/>
      <c r="DH56" s="1082"/>
      <c r="DI56" s="1082"/>
      <c r="DJ56" s="1082"/>
      <c r="DK56" s="1083"/>
      <c r="DL56" s="44"/>
      <c r="DM56" s="44"/>
    </row>
    <row r="57" spans="1:157" s="45" customFormat="1" ht="7.5" customHeight="1">
      <c r="A57" s="48"/>
      <c r="B57" s="1090" t="s">
        <v>72</v>
      </c>
      <c r="C57" s="1091"/>
      <c r="D57" s="1091"/>
      <c r="E57" s="1091"/>
      <c r="F57" s="1092"/>
      <c r="G57" s="869"/>
      <c r="H57" s="870"/>
      <c r="I57" s="870"/>
      <c r="J57" s="870"/>
      <c r="K57" s="870"/>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870"/>
      <c r="AS57" s="870"/>
      <c r="AT57" s="870"/>
      <c r="AU57" s="870"/>
      <c r="AV57" s="870"/>
      <c r="AW57" s="870"/>
      <c r="AX57" s="870"/>
      <c r="AY57" s="870"/>
      <c r="AZ57" s="870"/>
      <c r="BA57" s="870"/>
      <c r="BB57" s="870"/>
      <c r="BC57" s="870"/>
      <c r="BD57" s="870"/>
      <c r="BE57" s="870"/>
      <c r="BF57" s="871"/>
      <c r="BG57" s="48"/>
      <c r="BH57" s="48"/>
      <c r="BI57" s="1078"/>
      <c r="BJ57" s="1079"/>
      <c r="BK57" s="1079"/>
      <c r="BL57" s="1079"/>
      <c r="BM57" s="1079"/>
      <c r="BN57" s="1079"/>
      <c r="BO57" s="1079"/>
      <c r="BP57" s="1079"/>
      <c r="BQ57" s="1079"/>
      <c r="BR57" s="1079"/>
      <c r="BS57" s="1079"/>
      <c r="BT57" s="1079"/>
      <c r="BU57" s="1079"/>
      <c r="BV57" s="1079"/>
      <c r="BW57" s="1079"/>
      <c r="BX57" s="1079"/>
      <c r="BY57" s="1079"/>
      <c r="BZ57" s="1079"/>
      <c r="CA57" s="1079"/>
      <c r="CB57" s="1079"/>
      <c r="CC57" s="1079"/>
      <c r="CD57" s="1079"/>
      <c r="CE57" s="1079"/>
      <c r="CF57" s="1079"/>
      <c r="CG57" s="1079"/>
      <c r="CH57" s="1079"/>
      <c r="CI57" s="1079"/>
      <c r="CJ57" s="1079"/>
      <c r="CK57" s="1079"/>
      <c r="CL57" s="1079"/>
      <c r="CM57" s="1079"/>
      <c r="CN57" s="1079"/>
      <c r="CO57" s="1079"/>
      <c r="CP57" s="1079"/>
      <c r="CQ57" s="1079"/>
      <c r="CR57" s="1079"/>
      <c r="CS57" s="1079"/>
      <c r="CT57" s="1079"/>
      <c r="CU57" s="1079"/>
      <c r="CV57" s="1079"/>
      <c r="CW57" s="1079"/>
      <c r="CX57" s="1079"/>
      <c r="CY57" s="1079"/>
      <c r="CZ57" s="1079"/>
      <c r="DA57" s="1079"/>
      <c r="DB57" s="1080"/>
      <c r="DC57" s="1084"/>
      <c r="DD57" s="1085"/>
      <c r="DE57" s="1085"/>
      <c r="DF57" s="1085"/>
      <c r="DG57" s="1085"/>
      <c r="DH57" s="1085"/>
      <c r="DI57" s="1085"/>
      <c r="DJ57" s="1085"/>
      <c r="DK57" s="1086"/>
      <c r="DL57" s="44"/>
      <c r="DM57" s="44"/>
    </row>
    <row r="58" spans="1:157" s="45" customFormat="1" ht="7.5" customHeight="1">
      <c r="A58" s="48"/>
      <c r="B58" s="1093" t="s">
        <v>794</v>
      </c>
      <c r="C58" s="1094"/>
      <c r="D58" s="1094"/>
      <c r="E58" s="1094"/>
      <c r="F58" s="1095"/>
      <c r="G58" s="1099" t="s">
        <v>1605</v>
      </c>
      <c r="H58" s="923"/>
      <c r="I58" s="923"/>
      <c r="J58" s="923"/>
      <c r="K58" s="923"/>
      <c r="L58" s="923"/>
      <c r="M58" s="923"/>
      <c r="N58" s="923"/>
      <c r="O58" s="923"/>
      <c r="P58" s="923"/>
      <c r="Q58" s="923"/>
      <c r="R58" s="923"/>
      <c r="S58" s="923"/>
      <c r="T58" s="923"/>
      <c r="U58" s="923"/>
      <c r="V58" s="923"/>
      <c r="W58" s="923"/>
      <c r="X58" s="923"/>
      <c r="Y58" s="923"/>
      <c r="Z58" s="923"/>
      <c r="AA58" s="923"/>
      <c r="AB58" s="923"/>
      <c r="AC58" s="923"/>
      <c r="AD58" s="923"/>
      <c r="AE58" s="923"/>
      <c r="AF58" s="923"/>
      <c r="AG58" s="923"/>
      <c r="AH58" s="923"/>
      <c r="AI58" s="923"/>
      <c r="AJ58" s="923"/>
      <c r="AK58" s="923"/>
      <c r="AL58" s="923"/>
      <c r="AM58" s="923"/>
      <c r="AN58" s="1100"/>
      <c r="AO58" s="1103" t="s">
        <v>1260</v>
      </c>
      <c r="AP58" s="1103"/>
      <c r="AQ58" s="1103"/>
      <c r="AR58" s="1103"/>
      <c r="AS58" s="1103"/>
      <c r="AT58" s="1103"/>
      <c r="AU58" s="1103"/>
      <c r="AV58" s="1103"/>
      <c r="AW58" s="1103"/>
      <c r="AX58" s="1103"/>
      <c r="AY58" s="1103"/>
      <c r="AZ58" s="1104"/>
      <c r="BA58" s="1107"/>
      <c r="BB58" s="1107"/>
      <c r="BC58" s="1107"/>
      <c r="BD58" s="1107"/>
      <c r="BE58" s="1107"/>
      <c r="BF58" s="1108"/>
      <c r="BG58" s="48"/>
      <c r="BH58" s="48"/>
      <c r="BI58" s="1111"/>
      <c r="BJ58" s="1112"/>
      <c r="BK58" s="1112"/>
      <c r="BL58" s="1112"/>
      <c r="BM58" s="1112"/>
      <c r="BN58" s="1112"/>
      <c r="BO58" s="1112"/>
      <c r="BP58" s="1112"/>
      <c r="BQ58" s="1112"/>
      <c r="BR58" s="1112"/>
      <c r="BS58" s="1112"/>
      <c r="BT58" s="1112"/>
      <c r="BU58" s="1112"/>
      <c r="BV58" s="1112"/>
      <c r="BW58" s="1112"/>
      <c r="BX58" s="1112"/>
      <c r="BY58" s="1112"/>
      <c r="BZ58" s="1112"/>
      <c r="CA58" s="1112"/>
      <c r="CB58" s="1112"/>
      <c r="CC58" s="1112"/>
      <c r="CD58" s="1112"/>
      <c r="CE58" s="1112"/>
      <c r="CF58" s="1112"/>
      <c r="CG58" s="1112"/>
      <c r="CH58" s="1112"/>
      <c r="CI58" s="1112"/>
      <c r="CJ58" s="1112"/>
      <c r="CK58" s="1112"/>
      <c r="CL58" s="1112"/>
      <c r="CM58" s="1112"/>
      <c r="CN58" s="1112"/>
      <c r="CO58" s="1112"/>
      <c r="CP58" s="1112"/>
      <c r="CQ58" s="1112"/>
      <c r="CR58" s="1112"/>
      <c r="CS58" s="1112"/>
      <c r="CT58" s="1112"/>
      <c r="CU58" s="1112"/>
      <c r="CV58" s="1112"/>
      <c r="CW58" s="1112"/>
      <c r="CX58" s="1112"/>
      <c r="CY58" s="1112"/>
      <c r="CZ58" s="1112"/>
      <c r="DA58" s="1112"/>
      <c r="DB58" s="1115"/>
      <c r="DC58" s="1084"/>
      <c r="DD58" s="1085"/>
      <c r="DE58" s="1085"/>
      <c r="DF58" s="1085"/>
      <c r="DG58" s="1085"/>
      <c r="DH58" s="1085"/>
      <c r="DI58" s="1085"/>
      <c r="DJ58" s="1085"/>
      <c r="DK58" s="1086"/>
      <c r="DL58" s="44"/>
      <c r="DM58" s="48"/>
      <c r="DN58" s="49"/>
      <c r="DO58" s="49"/>
      <c r="DP58" s="274"/>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row>
    <row r="59" spans="1:157" s="45" customFormat="1" ht="7.5" customHeight="1" thickBot="1">
      <c r="A59" s="48"/>
      <c r="B59" s="1096"/>
      <c r="C59" s="1097"/>
      <c r="D59" s="1097"/>
      <c r="E59" s="1097"/>
      <c r="F59" s="1098"/>
      <c r="G59" s="1101"/>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1102"/>
      <c r="AO59" s="1105"/>
      <c r="AP59" s="1105"/>
      <c r="AQ59" s="1105"/>
      <c r="AR59" s="1105"/>
      <c r="AS59" s="1105"/>
      <c r="AT59" s="1105"/>
      <c r="AU59" s="1105"/>
      <c r="AV59" s="1105"/>
      <c r="AW59" s="1105"/>
      <c r="AX59" s="1105"/>
      <c r="AY59" s="1105"/>
      <c r="AZ59" s="1106"/>
      <c r="BA59" s="1109"/>
      <c r="BB59" s="1109"/>
      <c r="BC59" s="1109"/>
      <c r="BD59" s="1109"/>
      <c r="BE59" s="1109"/>
      <c r="BF59" s="1110"/>
      <c r="BG59" s="48"/>
      <c r="BH59" s="48"/>
      <c r="BI59" s="1113"/>
      <c r="BJ59" s="1114"/>
      <c r="BK59" s="1114"/>
      <c r="BL59" s="1114"/>
      <c r="BM59" s="1114"/>
      <c r="BN59" s="1114"/>
      <c r="BO59" s="1114"/>
      <c r="BP59" s="1114"/>
      <c r="BQ59" s="1114"/>
      <c r="BR59" s="1114"/>
      <c r="BS59" s="1114"/>
      <c r="BT59" s="1114"/>
      <c r="BU59" s="1114"/>
      <c r="BV59" s="1114"/>
      <c r="BW59" s="1114"/>
      <c r="BX59" s="1114"/>
      <c r="BY59" s="1114"/>
      <c r="BZ59" s="1114"/>
      <c r="CA59" s="1114"/>
      <c r="CB59" s="1114"/>
      <c r="CC59" s="1114"/>
      <c r="CD59" s="1114"/>
      <c r="CE59" s="1114"/>
      <c r="CF59" s="1114"/>
      <c r="CG59" s="1114"/>
      <c r="CH59" s="1114"/>
      <c r="CI59" s="1114"/>
      <c r="CJ59" s="1114"/>
      <c r="CK59" s="1114"/>
      <c r="CL59" s="1114"/>
      <c r="CM59" s="1114"/>
      <c r="CN59" s="1114"/>
      <c r="CO59" s="1114"/>
      <c r="CP59" s="1114"/>
      <c r="CQ59" s="1114"/>
      <c r="CR59" s="1114"/>
      <c r="CS59" s="1114"/>
      <c r="CT59" s="1114"/>
      <c r="CU59" s="1114"/>
      <c r="CV59" s="1114"/>
      <c r="CW59" s="1114"/>
      <c r="CX59" s="1114"/>
      <c r="CY59" s="1114"/>
      <c r="CZ59" s="1114"/>
      <c r="DA59" s="1114"/>
      <c r="DB59" s="1116"/>
      <c r="DC59" s="1087"/>
      <c r="DD59" s="1088"/>
      <c r="DE59" s="1088"/>
      <c r="DF59" s="1088"/>
      <c r="DG59" s="1088"/>
      <c r="DH59" s="1088"/>
      <c r="DI59" s="1088"/>
      <c r="DJ59" s="1088"/>
      <c r="DK59" s="1089"/>
      <c r="DL59" s="44"/>
      <c r="DM59" s="48"/>
      <c r="DN59" s="49"/>
      <c r="DO59" s="49"/>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row>
    <row r="60" spans="1:157" s="45" customFormat="1" ht="7.5" customHeight="1">
      <c r="A60" s="48"/>
      <c r="B60" s="1117" t="s">
        <v>75</v>
      </c>
      <c r="C60" s="1118"/>
      <c r="D60" s="1118"/>
      <c r="E60" s="1118"/>
      <c r="F60" s="1119"/>
      <c r="G60" s="799" t="s">
        <v>73</v>
      </c>
      <c r="H60" s="800"/>
      <c r="I60" s="800"/>
      <c r="J60" s="800"/>
      <c r="K60" s="800"/>
      <c r="L60" s="801"/>
      <c r="M60" s="793" t="s">
        <v>1607</v>
      </c>
      <c r="N60" s="794"/>
      <c r="O60" s="794"/>
      <c r="P60" s="794"/>
      <c r="Q60" s="794"/>
      <c r="R60" s="794"/>
      <c r="S60" s="794"/>
      <c r="T60" s="794"/>
      <c r="U60" s="794"/>
      <c r="V60" s="794"/>
      <c r="W60" s="795"/>
      <c r="X60" s="799" t="s">
        <v>11</v>
      </c>
      <c r="Y60" s="800"/>
      <c r="Z60" s="800"/>
      <c r="AA60" s="800"/>
      <c r="AB60" s="800"/>
      <c r="AC60" s="801"/>
      <c r="AD60" s="793" t="s">
        <v>313</v>
      </c>
      <c r="AE60" s="794"/>
      <c r="AF60" s="794"/>
      <c r="AG60" s="794"/>
      <c r="AH60" s="794"/>
      <c r="AI60" s="794"/>
      <c r="AJ60" s="794"/>
      <c r="AK60" s="794"/>
      <c r="AL60" s="794"/>
      <c r="AM60" s="794"/>
      <c r="AN60" s="795"/>
      <c r="AO60" s="799" t="s">
        <v>74</v>
      </c>
      <c r="AP60" s="800"/>
      <c r="AQ60" s="800"/>
      <c r="AR60" s="800"/>
      <c r="AS60" s="800"/>
      <c r="AT60" s="801"/>
      <c r="AU60" s="793" t="s">
        <v>1609</v>
      </c>
      <c r="AV60" s="794"/>
      <c r="AW60" s="794"/>
      <c r="AX60" s="794"/>
      <c r="AY60" s="794"/>
      <c r="AZ60" s="794"/>
      <c r="BA60" s="794"/>
      <c r="BB60" s="794"/>
      <c r="BC60" s="794"/>
      <c r="BD60" s="794"/>
      <c r="BE60" s="794"/>
      <c r="BF60" s="805"/>
      <c r="BG60" s="48"/>
      <c r="BH60" s="48"/>
      <c r="BI60" s="1126" t="s">
        <v>664</v>
      </c>
      <c r="BJ60" s="1127"/>
      <c r="BK60" s="1127"/>
      <c r="BL60" s="1127"/>
      <c r="BM60" s="1127"/>
      <c r="BN60" s="1127"/>
      <c r="BO60" s="1127"/>
      <c r="BP60" s="1127"/>
      <c r="BQ60" s="1127"/>
      <c r="BR60" s="1127"/>
      <c r="BS60" s="1127"/>
      <c r="BT60" s="1127"/>
      <c r="BU60" s="1127"/>
      <c r="BV60" s="1127"/>
      <c r="BW60" s="1127"/>
      <c r="BX60" s="1127"/>
      <c r="BY60" s="1127"/>
      <c r="BZ60" s="1127"/>
      <c r="CA60" s="1127"/>
      <c r="CB60" s="1127"/>
      <c r="CC60" s="1127"/>
      <c r="CD60" s="1127"/>
      <c r="CE60" s="1127"/>
      <c r="CF60" s="1127"/>
      <c r="CG60" s="1127"/>
      <c r="CH60" s="1127"/>
      <c r="CI60" s="1127"/>
      <c r="CJ60" s="1127"/>
      <c r="CK60" s="1127"/>
      <c r="CL60" s="1127"/>
      <c r="CM60" s="1127"/>
      <c r="CN60" s="1127"/>
      <c r="CO60" s="1127"/>
      <c r="CP60" s="1127"/>
      <c r="CQ60" s="1127"/>
      <c r="CR60" s="1127"/>
      <c r="CS60" s="1127"/>
      <c r="CT60" s="1127"/>
      <c r="CU60" s="1127"/>
      <c r="CV60" s="1127"/>
      <c r="CW60" s="1127"/>
      <c r="CX60" s="1127"/>
      <c r="CY60" s="1127"/>
      <c r="CZ60" s="1127"/>
      <c r="DA60" s="1127"/>
      <c r="DB60" s="1128"/>
      <c r="DC60" s="1132"/>
      <c r="DD60" s="1133"/>
      <c r="DE60" s="1133"/>
      <c r="DF60" s="1133"/>
      <c r="DG60" s="1133"/>
      <c r="DH60" s="1133"/>
      <c r="DI60" s="1133"/>
      <c r="DJ60" s="1133"/>
      <c r="DK60" s="1134"/>
      <c r="DL60" s="50"/>
      <c r="DM60" s="48"/>
      <c r="DN60" s="49"/>
      <c r="DO60" s="49"/>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row>
    <row r="61" spans="1:157" s="45" customFormat="1" ht="7.5" customHeight="1">
      <c r="A61" s="48"/>
      <c r="B61" s="1120"/>
      <c r="C61" s="1121"/>
      <c r="D61" s="1121"/>
      <c r="E61" s="1121"/>
      <c r="F61" s="1122"/>
      <c r="G61" s="802"/>
      <c r="H61" s="803"/>
      <c r="I61" s="803"/>
      <c r="J61" s="803"/>
      <c r="K61" s="803"/>
      <c r="L61" s="804"/>
      <c r="M61" s="796"/>
      <c r="N61" s="797"/>
      <c r="O61" s="797"/>
      <c r="P61" s="797"/>
      <c r="Q61" s="797"/>
      <c r="R61" s="797"/>
      <c r="S61" s="797"/>
      <c r="T61" s="797"/>
      <c r="U61" s="797"/>
      <c r="V61" s="797"/>
      <c r="W61" s="798"/>
      <c r="X61" s="802"/>
      <c r="Y61" s="803"/>
      <c r="Z61" s="803"/>
      <c r="AA61" s="803"/>
      <c r="AB61" s="803"/>
      <c r="AC61" s="804"/>
      <c r="AD61" s="796"/>
      <c r="AE61" s="797"/>
      <c r="AF61" s="797"/>
      <c r="AG61" s="797"/>
      <c r="AH61" s="797"/>
      <c r="AI61" s="797"/>
      <c r="AJ61" s="797"/>
      <c r="AK61" s="797"/>
      <c r="AL61" s="797"/>
      <c r="AM61" s="797"/>
      <c r="AN61" s="798"/>
      <c r="AO61" s="802"/>
      <c r="AP61" s="803"/>
      <c r="AQ61" s="803"/>
      <c r="AR61" s="803"/>
      <c r="AS61" s="803"/>
      <c r="AT61" s="804"/>
      <c r="AU61" s="796"/>
      <c r="AV61" s="797"/>
      <c r="AW61" s="797"/>
      <c r="AX61" s="797"/>
      <c r="AY61" s="797"/>
      <c r="AZ61" s="797"/>
      <c r="BA61" s="797"/>
      <c r="BB61" s="797"/>
      <c r="BC61" s="797"/>
      <c r="BD61" s="797"/>
      <c r="BE61" s="797"/>
      <c r="BF61" s="806"/>
      <c r="BG61" s="48"/>
      <c r="BH61" s="48"/>
      <c r="BI61" s="1129"/>
      <c r="BJ61" s="1130"/>
      <c r="BK61" s="1130"/>
      <c r="BL61" s="1130"/>
      <c r="BM61" s="1130"/>
      <c r="BN61" s="1130"/>
      <c r="BO61" s="1130"/>
      <c r="BP61" s="1130"/>
      <c r="BQ61" s="1130"/>
      <c r="BR61" s="1130"/>
      <c r="BS61" s="1130"/>
      <c r="BT61" s="1130"/>
      <c r="BU61" s="1130"/>
      <c r="BV61" s="1130"/>
      <c r="BW61" s="1130"/>
      <c r="BX61" s="1130"/>
      <c r="BY61" s="1130"/>
      <c r="BZ61" s="1130"/>
      <c r="CA61" s="1130"/>
      <c r="CB61" s="1130"/>
      <c r="CC61" s="1130"/>
      <c r="CD61" s="1130"/>
      <c r="CE61" s="1130"/>
      <c r="CF61" s="1130"/>
      <c r="CG61" s="1130"/>
      <c r="CH61" s="1130"/>
      <c r="CI61" s="1130"/>
      <c r="CJ61" s="1130"/>
      <c r="CK61" s="1130"/>
      <c r="CL61" s="1130"/>
      <c r="CM61" s="1130"/>
      <c r="CN61" s="1130"/>
      <c r="CO61" s="1130"/>
      <c r="CP61" s="1130"/>
      <c r="CQ61" s="1130"/>
      <c r="CR61" s="1130"/>
      <c r="CS61" s="1130"/>
      <c r="CT61" s="1130"/>
      <c r="CU61" s="1130"/>
      <c r="CV61" s="1130"/>
      <c r="CW61" s="1130"/>
      <c r="CX61" s="1130"/>
      <c r="CY61" s="1130"/>
      <c r="CZ61" s="1130"/>
      <c r="DA61" s="1130"/>
      <c r="DB61" s="1131"/>
      <c r="DC61" s="1132"/>
      <c r="DD61" s="1133"/>
      <c r="DE61" s="1133"/>
      <c r="DF61" s="1133"/>
      <c r="DG61" s="1133"/>
      <c r="DH61" s="1133"/>
      <c r="DI61" s="1133"/>
      <c r="DJ61" s="1133"/>
      <c r="DK61" s="1134"/>
      <c r="DL61" s="50"/>
      <c r="DM61" s="44"/>
      <c r="DP61" s="273"/>
      <c r="DQ61" s="273"/>
      <c r="DR61" s="273"/>
      <c r="DS61" s="1183" t="s">
        <v>643</v>
      </c>
      <c r="DT61" s="1183"/>
      <c r="DU61" s="1183"/>
      <c r="DV61" s="1183"/>
      <c r="DW61" s="1183"/>
      <c r="DX61" s="1183"/>
      <c r="DY61" s="118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1183" t="s">
        <v>642</v>
      </c>
      <c r="EV61" s="1183"/>
      <c r="EW61" s="1183"/>
      <c r="EX61" s="1183"/>
      <c r="EY61" s="1183"/>
      <c r="EZ61" s="1183"/>
      <c r="FA61" s="1183"/>
    </row>
    <row r="62" spans="1:157" s="45" customFormat="1" ht="7.5" customHeight="1">
      <c r="A62" s="48"/>
      <c r="B62" s="1120"/>
      <c r="C62" s="1121"/>
      <c r="D62" s="1121"/>
      <c r="E62" s="1121"/>
      <c r="F62" s="1122"/>
      <c r="G62" s="799" t="s">
        <v>76</v>
      </c>
      <c r="H62" s="800"/>
      <c r="I62" s="800"/>
      <c r="J62" s="800"/>
      <c r="K62" s="800"/>
      <c r="L62" s="801"/>
      <c r="M62" s="793" t="s">
        <v>1611</v>
      </c>
      <c r="N62" s="794"/>
      <c r="O62" s="794"/>
      <c r="P62" s="794"/>
      <c r="Q62" s="794"/>
      <c r="R62" s="794"/>
      <c r="S62" s="794"/>
      <c r="T62" s="794"/>
      <c r="U62" s="794"/>
      <c r="V62" s="794"/>
      <c r="W62" s="794"/>
      <c r="X62" s="794"/>
      <c r="Y62" s="794"/>
      <c r="Z62" s="794"/>
      <c r="AA62" s="794"/>
      <c r="AB62" s="794"/>
      <c r="AC62" s="794"/>
      <c r="AD62" s="794"/>
      <c r="AE62" s="794"/>
      <c r="AF62" s="795"/>
      <c r="AG62" s="799" t="s">
        <v>77</v>
      </c>
      <c r="AH62" s="800"/>
      <c r="AI62" s="800"/>
      <c r="AJ62" s="800"/>
      <c r="AK62" s="800"/>
      <c r="AL62" s="801"/>
      <c r="AM62" s="928" t="s">
        <v>1613</v>
      </c>
      <c r="AN62" s="929"/>
      <c r="AO62" s="929"/>
      <c r="AP62" s="929"/>
      <c r="AQ62" s="929"/>
      <c r="AR62" s="929"/>
      <c r="AS62" s="929"/>
      <c r="AT62" s="929"/>
      <c r="AU62" s="929"/>
      <c r="AV62" s="929"/>
      <c r="AW62" s="929"/>
      <c r="AX62" s="929"/>
      <c r="AY62" s="929"/>
      <c r="AZ62" s="929"/>
      <c r="BA62" s="929"/>
      <c r="BB62" s="929"/>
      <c r="BC62" s="929"/>
      <c r="BD62" s="929"/>
      <c r="BE62" s="929"/>
      <c r="BF62" s="930"/>
      <c r="BG62" s="48"/>
      <c r="BH62" s="48"/>
      <c r="BI62" s="1184"/>
      <c r="BJ62" s="1185"/>
      <c r="BK62" s="1185"/>
      <c r="BL62" s="1185"/>
      <c r="BM62" s="1185"/>
      <c r="BN62" s="1185"/>
      <c r="BO62" s="1185"/>
      <c r="BP62" s="1185"/>
      <c r="BQ62" s="1185"/>
      <c r="BR62" s="1185"/>
      <c r="BS62" s="1185"/>
      <c r="BT62" s="1185"/>
      <c r="BU62" s="1185"/>
      <c r="BV62" s="1185"/>
      <c r="BW62" s="1185"/>
      <c r="BX62" s="1185"/>
      <c r="BY62" s="1185"/>
      <c r="BZ62" s="1185"/>
      <c r="CA62" s="1185"/>
      <c r="CB62" s="1185"/>
      <c r="CC62" s="1185"/>
      <c r="CD62" s="1185"/>
      <c r="CE62" s="1185"/>
      <c r="CF62" s="1186"/>
      <c r="CG62" s="1187"/>
      <c r="CH62" s="1187"/>
      <c r="CI62" s="1187"/>
      <c r="CJ62" s="1187"/>
      <c r="CK62" s="1187"/>
      <c r="CL62" s="1187"/>
      <c r="CM62" s="1187"/>
      <c r="CN62" s="1187"/>
      <c r="CO62" s="1187"/>
      <c r="CP62" s="1187"/>
      <c r="CQ62" s="1187"/>
      <c r="CR62" s="1187"/>
      <c r="CS62" s="1187"/>
      <c r="CT62" s="1187"/>
      <c r="CU62" s="1187"/>
      <c r="CV62" s="1187"/>
      <c r="CW62" s="1187"/>
      <c r="CX62" s="1187"/>
      <c r="CY62" s="1187"/>
      <c r="CZ62" s="1187"/>
      <c r="DA62" s="1187"/>
      <c r="DB62" s="1188"/>
      <c r="DC62" s="1132"/>
      <c r="DD62" s="1133"/>
      <c r="DE62" s="1133"/>
      <c r="DF62" s="1133"/>
      <c r="DG62" s="1133"/>
      <c r="DH62" s="1133"/>
      <c r="DI62" s="1133"/>
      <c r="DJ62" s="1133"/>
      <c r="DK62" s="1134"/>
      <c r="DL62" s="52"/>
      <c r="DM62" s="44"/>
      <c r="DP62" s="273"/>
      <c r="DQ62" s="273"/>
      <c r="DR62" s="273"/>
      <c r="DS62" s="1183"/>
      <c r="DT62" s="1183"/>
      <c r="DU62" s="1183"/>
      <c r="DV62" s="1183"/>
      <c r="DW62" s="1183"/>
      <c r="DX62" s="1183"/>
      <c r="DY62" s="1183"/>
      <c r="DZ62" s="273"/>
      <c r="EA62" s="273"/>
      <c r="EB62" s="273"/>
      <c r="EC62" s="273"/>
      <c r="ED62" s="273"/>
      <c r="EE62" s="273"/>
      <c r="EF62" s="273"/>
      <c r="EG62" s="273"/>
      <c r="EH62" s="273"/>
      <c r="EI62" s="273"/>
      <c r="EJ62" s="273"/>
      <c r="EK62" s="273"/>
      <c r="EL62" s="273"/>
      <c r="EM62" s="273"/>
      <c r="EN62" s="273"/>
      <c r="EU62" s="1183"/>
      <c r="EV62" s="1183"/>
      <c r="EW62" s="1183"/>
      <c r="EX62" s="1183"/>
      <c r="EY62" s="1183"/>
      <c r="EZ62" s="1183"/>
      <c r="FA62" s="1183"/>
    </row>
    <row r="63" spans="1:157" s="45" customFormat="1" ht="7.5" customHeight="1">
      <c r="A63" s="48"/>
      <c r="B63" s="1123"/>
      <c r="C63" s="1124"/>
      <c r="D63" s="1124"/>
      <c r="E63" s="1124"/>
      <c r="F63" s="1125"/>
      <c r="G63" s="802"/>
      <c r="H63" s="803"/>
      <c r="I63" s="803"/>
      <c r="J63" s="803"/>
      <c r="K63" s="803"/>
      <c r="L63" s="804"/>
      <c r="M63" s="796"/>
      <c r="N63" s="797"/>
      <c r="O63" s="797"/>
      <c r="P63" s="797"/>
      <c r="Q63" s="797"/>
      <c r="R63" s="797"/>
      <c r="S63" s="797"/>
      <c r="T63" s="797"/>
      <c r="U63" s="797"/>
      <c r="V63" s="797"/>
      <c r="W63" s="797"/>
      <c r="X63" s="797"/>
      <c r="Y63" s="797"/>
      <c r="Z63" s="797"/>
      <c r="AA63" s="797"/>
      <c r="AB63" s="797"/>
      <c r="AC63" s="797"/>
      <c r="AD63" s="797"/>
      <c r="AE63" s="797"/>
      <c r="AF63" s="798"/>
      <c r="AG63" s="802"/>
      <c r="AH63" s="803"/>
      <c r="AI63" s="803"/>
      <c r="AJ63" s="803"/>
      <c r="AK63" s="803"/>
      <c r="AL63" s="804"/>
      <c r="AM63" s="931"/>
      <c r="AN63" s="932"/>
      <c r="AO63" s="932"/>
      <c r="AP63" s="932"/>
      <c r="AQ63" s="932"/>
      <c r="AR63" s="932"/>
      <c r="AS63" s="932"/>
      <c r="AT63" s="932"/>
      <c r="AU63" s="932"/>
      <c r="AV63" s="932"/>
      <c r="AW63" s="932"/>
      <c r="AX63" s="932"/>
      <c r="AY63" s="932"/>
      <c r="AZ63" s="932"/>
      <c r="BA63" s="932"/>
      <c r="BB63" s="932"/>
      <c r="BC63" s="932"/>
      <c r="BD63" s="932"/>
      <c r="BE63" s="932"/>
      <c r="BF63" s="933"/>
      <c r="BG63" s="48"/>
      <c r="BH63" s="48"/>
      <c r="BI63" s="1184"/>
      <c r="BJ63" s="1185"/>
      <c r="BK63" s="1185"/>
      <c r="BL63" s="1185"/>
      <c r="BM63" s="1185"/>
      <c r="BN63" s="1185"/>
      <c r="BO63" s="1185"/>
      <c r="BP63" s="1185"/>
      <c r="BQ63" s="1185"/>
      <c r="BR63" s="1185"/>
      <c r="BS63" s="1185"/>
      <c r="BT63" s="1185"/>
      <c r="BU63" s="1185"/>
      <c r="BV63" s="1185"/>
      <c r="BW63" s="1185"/>
      <c r="BX63" s="1185"/>
      <c r="BY63" s="1185"/>
      <c r="BZ63" s="1185"/>
      <c r="CA63" s="1185"/>
      <c r="CB63" s="1185"/>
      <c r="CC63" s="1185"/>
      <c r="CD63" s="1185"/>
      <c r="CE63" s="1185"/>
      <c r="CF63" s="1189"/>
      <c r="CG63" s="1190"/>
      <c r="CH63" s="1190"/>
      <c r="CI63" s="1190"/>
      <c r="CJ63" s="1190"/>
      <c r="CK63" s="1190"/>
      <c r="CL63" s="1190"/>
      <c r="CM63" s="1190"/>
      <c r="CN63" s="1190"/>
      <c r="CO63" s="1190"/>
      <c r="CP63" s="1190"/>
      <c r="CQ63" s="1190"/>
      <c r="CR63" s="1190"/>
      <c r="CS63" s="1190"/>
      <c r="CT63" s="1190"/>
      <c r="CU63" s="1190"/>
      <c r="CV63" s="1190"/>
      <c r="CW63" s="1190"/>
      <c r="CX63" s="1190"/>
      <c r="CY63" s="1190"/>
      <c r="CZ63" s="1190"/>
      <c r="DA63" s="1190"/>
      <c r="DB63" s="1191"/>
      <c r="DC63" s="1132"/>
      <c r="DD63" s="1133"/>
      <c r="DE63" s="1133"/>
      <c r="DF63" s="1133"/>
      <c r="DG63" s="1133"/>
      <c r="DH63" s="1133"/>
      <c r="DI63" s="1133"/>
      <c r="DJ63" s="1133"/>
      <c r="DK63" s="1134"/>
      <c r="DL63" s="52"/>
      <c r="DM63" s="44"/>
      <c r="DP63" s="273"/>
      <c r="DQ63" s="273"/>
      <c r="DR63" s="273"/>
      <c r="DZ63" s="273"/>
      <c r="EA63" s="273"/>
      <c r="EB63" s="273"/>
      <c r="EC63" s="273"/>
      <c r="ED63" s="273"/>
      <c r="EE63" s="273"/>
      <c r="EF63" s="273"/>
      <c r="EG63" s="273"/>
      <c r="EH63" s="273"/>
      <c r="EI63" s="273"/>
      <c r="EJ63" s="273"/>
      <c r="EK63" s="273"/>
      <c r="EL63" s="273"/>
      <c r="EM63" s="273"/>
      <c r="EN63" s="273"/>
    </row>
    <row r="64" spans="1:157" s="45" customFormat="1" ht="7.5" customHeight="1">
      <c r="A64" s="48"/>
      <c r="B64" s="1138" t="s">
        <v>795</v>
      </c>
      <c r="C64" s="1139"/>
      <c r="D64" s="1139"/>
      <c r="E64" s="1139"/>
      <c r="F64" s="1140"/>
      <c r="G64" s="1021" t="s">
        <v>1615</v>
      </c>
      <c r="H64" s="1022"/>
      <c r="I64" s="1022"/>
      <c r="J64" s="1022"/>
      <c r="K64" s="1022"/>
      <c r="L64" s="1022"/>
      <c r="M64" s="1022"/>
      <c r="N64" s="1022"/>
      <c r="O64" s="1022"/>
      <c r="P64" s="1022"/>
      <c r="Q64" s="1022"/>
      <c r="R64" s="1022"/>
      <c r="S64" s="1022"/>
      <c r="T64" s="1022"/>
      <c r="U64" s="1022"/>
      <c r="V64" s="1022"/>
      <c r="W64" s="1022"/>
      <c r="X64" s="1022"/>
      <c r="Y64" s="1022"/>
      <c r="Z64" s="1022"/>
      <c r="AA64" s="1023"/>
      <c r="AB64" s="1201" t="s">
        <v>72</v>
      </c>
      <c r="AC64" s="1030"/>
      <c r="AD64" s="1030"/>
      <c r="AE64" s="1030"/>
      <c r="AF64" s="1031"/>
      <c r="AG64" s="1032"/>
      <c r="AH64" s="1033"/>
      <c r="AI64" s="1033"/>
      <c r="AJ64" s="1033"/>
      <c r="AK64" s="1033"/>
      <c r="AL64" s="1033"/>
      <c r="AM64" s="1033"/>
      <c r="AN64" s="1033"/>
      <c r="AO64" s="1033"/>
      <c r="AP64" s="1033"/>
      <c r="AQ64" s="1033"/>
      <c r="AR64" s="1033"/>
      <c r="AS64" s="1202"/>
      <c r="AT64" s="1050"/>
      <c r="AU64" s="1033"/>
      <c r="AV64" s="1033"/>
      <c r="AW64" s="1033"/>
      <c r="AX64" s="1033"/>
      <c r="AY64" s="1033"/>
      <c r="AZ64" s="1033"/>
      <c r="BA64" s="1033"/>
      <c r="BB64" s="1033"/>
      <c r="BC64" s="1033"/>
      <c r="BD64" s="1033"/>
      <c r="BE64" s="1033"/>
      <c r="BF64" s="1051"/>
      <c r="BG64" s="48"/>
      <c r="BH64" s="48"/>
      <c r="BI64" s="1177"/>
      <c r="BJ64" s="1178"/>
      <c r="BK64" s="1178"/>
      <c r="BL64" s="1178"/>
      <c r="BM64" s="1178"/>
      <c r="BN64" s="1178"/>
      <c r="BO64" s="1178"/>
      <c r="BP64" s="1178"/>
      <c r="BQ64" s="1178"/>
      <c r="BR64" s="1178"/>
      <c r="BS64" s="1178"/>
      <c r="BT64" s="1178"/>
      <c r="BU64" s="1178"/>
      <c r="BV64" s="1178"/>
      <c r="BW64" s="1178"/>
      <c r="BX64" s="1178"/>
      <c r="BY64" s="1178"/>
      <c r="BZ64" s="1178"/>
      <c r="CA64" s="1178"/>
      <c r="CB64" s="1178"/>
      <c r="CC64" s="1178"/>
      <c r="CD64" s="1178"/>
      <c r="CE64" s="1179"/>
      <c r="CF64" s="1192"/>
      <c r="CG64" s="1192"/>
      <c r="CH64" s="1192"/>
      <c r="CI64" s="1192"/>
      <c r="CJ64" s="1192"/>
      <c r="CK64" s="1192"/>
      <c r="CL64" s="1192"/>
      <c r="CM64" s="1192"/>
      <c r="CN64" s="1192"/>
      <c r="CO64" s="1192"/>
      <c r="CP64" s="1192"/>
      <c r="CQ64" s="1192"/>
      <c r="CR64" s="1192"/>
      <c r="CS64" s="1192"/>
      <c r="CT64" s="1192"/>
      <c r="CU64" s="1192"/>
      <c r="CV64" s="1192"/>
      <c r="CW64" s="1192"/>
      <c r="CX64" s="1192"/>
      <c r="CY64" s="1192"/>
      <c r="CZ64" s="1192"/>
      <c r="DA64" s="1192"/>
      <c r="DB64" s="1193"/>
      <c r="DC64" s="1132"/>
      <c r="DD64" s="1133"/>
      <c r="DE64" s="1133"/>
      <c r="DF64" s="1133"/>
      <c r="DG64" s="1133"/>
      <c r="DH64" s="1133"/>
      <c r="DI64" s="1133"/>
      <c r="DJ64" s="1133"/>
      <c r="DK64" s="1134"/>
      <c r="DL64" s="52"/>
      <c r="DM64" s="44"/>
      <c r="DP64" s="273"/>
      <c r="DQ64" s="273"/>
      <c r="DR64" s="273"/>
      <c r="EB64" s="273"/>
      <c r="EC64" s="273"/>
      <c r="ED64" s="273"/>
      <c r="EE64" s="273"/>
      <c r="EF64" s="273"/>
      <c r="EG64" s="273"/>
      <c r="EH64" s="273"/>
      <c r="EI64" s="273"/>
      <c r="EJ64" s="273"/>
      <c r="EK64" s="273"/>
      <c r="EL64" s="273"/>
      <c r="EM64" s="273"/>
      <c r="EN64" s="273"/>
      <c r="EO64" s="273"/>
    </row>
    <row r="65" spans="1:165" s="45" customFormat="1" ht="7.5" customHeight="1">
      <c r="A65" s="48"/>
      <c r="B65" s="1141"/>
      <c r="C65" s="1142"/>
      <c r="D65" s="1142"/>
      <c r="E65" s="1142"/>
      <c r="F65" s="1143"/>
      <c r="G65" s="1024"/>
      <c r="H65" s="1025"/>
      <c r="I65" s="1025"/>
      <c r="J65" s="1025"/>
      <c r="K65" s="1025"/>
      <c r="L65" s="1025"/>
      <c r="M65" s="1025"/>
      <c r="N65" s="1025"/>
      <c r="O65" s="1025"/>
      <c r="P65" s="1025"/>
      <c r="Q65" s="1025"/>
      <c r="R65" s="1025"/>
      <c r="S65" s="1025"/>
      <c r="T65" s="1025"/>
      <c r="U65" s="1025"/>
      <c r="V65" s="1025"/>
      <c r="W65" s="1025"/>
      <c r="X65" s="1025"/>
      <c r="Y65" s="1025"/>
      <c r="Z65" s="1025"/>
      <c r="AA65" s="1026"/>
      <c r="AB65" s="1052" t="s">
        <v>797</v>
      </c>
      <c r="AC65" s="1053"/>
      <c r="AD65" s="1053"/>
      <c r="AE65" s="1053"/>
      <c r="AF65" s="1054"/>
      <c r="AG65" s="1194" t="s">
        <v>1618</v>
      </c>
      <c r="AH65" s="1057"/>
      <c r="AI65" s="1057"/>
      <c r="AJ65" s="1057"/>
      <c r="AK65" s="1057"/>
      <c r="AL65" s="1057"/>
      <c r="AM65" s="1057"/>
      <c r="AN65" s="1057"/>
      <c r="AO65" s="1057"/>
      <c r="AP65" s="1057"/>
      <c r="AQ65" s="1057"/>
      <c r="AR65" s="1057"/>
      <c r="AS65" s="1195"/>
      <c r="AT65" s="1056"/>
      <c r="AU65" s="1057"/>
      <c r="AV65" s="1057"/>
      <c r="AW65" s="1057"/>
      <c r="AX65" s="1057"/>
      <c r="AY65" s="1057"/>
      <c r="AZ65" s="1057"/>
      <c r="BA65" s="1057"/>
      <c r="BB65" s="1057"/>
      <c r="BC65" s="1057"/>
      <c r="BD65" s="1057"/>
      <c r="BE65" s="1057"/>
      <c r="BF65" s="1058"/>
      <c r="BG65" s="48"/>
      <c r="BH65" s="48"/>
      <c r="BI65" s="1197"/>
      <c r="BJ65" s="1198"/>
      <c r="BK65" s="1198"/>
      <c r="BL65" s="1198"/>
      <c r="BM65" s="1198"/>
      <c r="BN65" s="1198"/>
      <c r="BO65" s="1198"/>
      <c r="BP65" s="1198"/>
      <c r="BQ65" s="1198"/>
      <c r="BR65" s="1198"/>
      <c r="BS65" s="1198"/>
      <c r="BT65" s="1198"/>
      <c r="BU65" s="1198"/>
      <c r="BV65" s="1198"/>
      <c r="BW65" s="1198"/>
      <c r="BX65" s="1198"/>
      <c r="BY65" s="1198"/>
      <c r="BZ65" s="1198"/>
      <c r="CA65" s="1198"/>
      <c r="CB65" s="1198"/>
      <c r="CC65" s="1198"/>
      <c r="CD65" s="1198"/>
      <c r="CE65" s="1199"/>
      <c r="CF65" s="1192"/>
      <c r="CG65" s="1192"/>
      <c r="CH65" s="1192"/>
      <c r="CI65" s="1192"/>
      <c r="CJ65" s="1192"/>
      <c r="CK65" s="1192"/>
      <c r="CL65" s="1192"/>
      <c r="CM65" s="1192"/>
      <c r="CN65" s="1192"/>
      <c r="CO65" s="1192"/>
      <c r="CP65" s="1192"/>
      <c r="CQ65" s="1192"/>
      <c r="CR65" s="1192"/>
      <c r="CS65" s="1192"/>
      <c r="CT65" s="1192"/>
      <c r="CU65" s="1192"/>
      <c r="CV65" s="1192"/>
      <c r="CW65" s="1192"/>
      <c r="CX65" s="1192"/>
      <c r="CY65" s="1192"/>
      <c r="CZ65" s="1192"/>
      <c r="DA65" s="1192"/>
      <c r="DB65" s="1193"/>
      <c r="DC65" s="1132"/>
      <c r="DD65" s="1133"/>
      <c r="DE65" s="1133"/>
      <c r="DF65" s="1133"/>
      <c r="DG65" s="1133"/>
      <c r="DH65" s="1133"/>
      <c r="DI65" s="1133"/>
      <c r="DJ65" s="1133"/>
      <c r="DK65" s="1134"/>
      <c r="DL65" s="48"/>
      <c r="DM65" s="44"/>
    </row>
    <row r="66" spans="1:165" s="45" customFormat="1" ht="7.5" customHeight="1">
      <c r="A66" s="48"/>
      <c r="B66" s="1144"/>
      <c r="C66" s="1145"/>
      <c r="D66" s="1145"/>
      <c r="E66" s="1145"/>
      <c r="F66" s="1146"/>
      <c r="G66" s="1027"/>
      <c r="H66" s="1028"/>
      <c r="I66" s="1028"/>
      <c r="J66" s="1028"/>
      <c r="K66" s="1028"/>
      <c r="L66" s="1028"/>
      <c r="M66" s="1028"/>
      <c r="N66" s="1028"/>
      <c r="O66" s="1028"/>
      <c r="P66" s="1028"/>
      <c r="Q66" s="1028"/>
      <c r="R66" s="1028"/>
      <c r="S66" s="1028"/>
      <c r="T66" s="1028"/>
      <c r="U66" s="1028"/>
      <c r="V66" s="1028"/>
      <c r="W66" s="1028"/>
      <c r="X66" s="1028"/>
      <c r="Y66" s="1028"/>
      <c r="Z66" s="1028"/>
      <c r="AA66" s="1029"/>
      <c r="AB66" s="1055"/>
      <c r="AC66" s="1019"/>
      <c r="AD66" s="1019"/>
      <c r="AE66" s="1019"/>
      <c r="AF66" s="1020"/>
      <c r="AG66" s="1027"/>
      <c r="AH66" s="1028"/>
      <c r="AI66" s="1028"/>
      <c r="AJ66" s="1028"/>
      <c r="AK66" s="1028"/>
      <c r="AL66" s="1028"/>
      <c r="AM66" s="1028"/>
      <c r="AN66" s="1028"/>
      <c r="AO66" s="1028"/>
      <c r="AP66" s="1028"/>
      <c r="AQ66" s="1028"/>
      <c r="AR66" s="1028"/>
      <c r="AS66" s="1196"/>
      <c r="AT66" s="1059"/>
      <c r="AU66" s="1028"/>
      <c r="AV66" s="1028"/>
      <c r="AW66" s="1028"/>
      <c r="AX66" s="1028"/>
      <c r="AY66" s="1028"/>
      <c r="AZ66" s="1028"/>
      <c r="BA66" s="1028"/>
      <c r="BB66" s="1028"/>
      <c r="BC66" s="1028"/>
      <c r="BD66" s="1028"/>
      <c r="BE66" s="1028"/>
      <c r="BF66" s="1060"/>
      <c r="BG66" s="48"/>
      <c r="BH66" s="48"/>
      <c r="BI66" s="1177"/>
      <c r="BJ66" s="1178"/>
      <c r="BK66" s="1178"/>
      <c r="BL66" s="1178"/>
      <c r="BM66" s="1178"/>
      <c r="BN66" s="1178"/>
      <c r="BO66" s="1178"/>
      <c r="BP66" s="1178"/>
      <c r="BQ66" s="1178"/>
      <c r="BR66" s="1178"/>
      <c r="BS66" s="1178"/>
      <c r="BT66" s="1178"/>
      <c r="BU66" s="1178"/>
      <c r="BV66" s="1178"/>
      <c r="BW66" s="1178"/>
      <c r="BX66" s="1178"/>
      <c r="BY66" s="1178"/>
      <c r="BZ66" s="1178"/>
      <c r="CA66" s="1178"/>
      <c r="CB66" s="1178"/>
      <c r="CC66" s="1178"/>
      <c r="CD66" s="1178"/>
      <c r="CE66" s="1179"/>
      <c r="CF66" s="1200"/>
      <c r="CG66" s="1192"/>
      <c r="CH66" s="1192"/>
      <c r="CI66" s="1192"/>
      <c r="CJ66" s="1192"/>
      <c r="CK66" s="1192"/>
      <c r="CL66" s="1192"/>
      <c r="CM66" s="1192"/>
      <c r="CN66" s="1192"/>
      <c r="CO66" s="1192"/>
      <c r="CP66" s="1192"/>
      <c r="CQ66" s="1192"/>
      <c r="CR66" s="1192"/>
      <c r="CS66" s="1192"/>
      <c r="CT66" s="1192"/>
      <c r="CU66" s="1192"/>
      <c r="CV66" s="1192"/>
      <c r="CW66" s="1192"/>
      <c r="CX66" s="1192"/>
      <c r="CY66" s="1192"/>
      <c r="CZ66" s="1192"/>
      <c r="DA66" s="1192"/>
      <c r="DB66" s="1193"/>
      <c r="DC66" s="1132"/>
      <c r="DD66" s="1133"/>
      <c r="DE66" s="1133"/>
      <c r="DF66" s="1133"/>
      <c r="DG66" s="1133"/>
      <c r="DH66" s="1133"/>
      <c r="DI66" s="1133"/>
      <c r="DJ66" s="1133"/>
      <c r="DK66" s="1134"/>
      <c r="DL66" s="44"/>
      <c r="DM66" s="44"/>
    </row>
    <row r="67" spans="1:165" s="45" customFormat="1" ht="7.5" customHeight="1">
      <c r="A67" s="48"/>
      <c r="B67" s="1138" t="s">
        <v>570</v>
      </c>
      <c r="C67" s="1139"/>
      <c r="D67" s="1139"/>
      <c r="E67" s="1139"/>
      <c r="F67" s="1140"/>
      <c r="G67" s="1037"/>
      <c r="H67" s="1038"/>
      <c r="I67" s="1038"/>
      <c r="J67" s="1038"/>
      <c r="K67" s="1038"/>
      <c r="L67" s="1038"/>
      <c r="M67" s="1038"/>
      <c r="N67" s="1038"/>
      <c r="O67" s="1038"/>
      <c r="P67" s="1038"/>
      <c r="Q67" s="1038"/>
      <c r="R67" s="1038"/>
      <c r="S67" s="1038"/>
      <c r="T67" s="1038"/>
      <c r="U67" s="1038"/>
      <c r="V67" s="1038"/>
      <c r="W67" s="1038"/>
      <c r="X67" s="1038"/>
      <c r="Y67" s="1038"/>
      <c r="Z67" s="1038"/>
      <c r="AA67" s="1039"/>
      <c r="AB67" s="799" t="s">
        <v>569</v>
      </c>
      <c r="AC67" s="1013"/>
      <c r="AD67" s="1013"/>
      <c r="AE67" s="1013"/>
      <c r="AF67" s="1014"/>
      <c r="AG67" s="1044" t="s">
        <v>1620</v>
      </c>
      <c r="AH67" s="1045"/>
      <c r="AI67" s="1045"/>
      <c r="AJ67" s="1045"/>
      <c r="AK67" s="1045"/>
      <c r="AL67" s="1045"/>
      <c r="AM67" s="1045"/>
      <c r="AN67" s="1045"/>
      <c r="AO67" s="1045"/>
      <c r="AP67" s="1045"/>
      <c r="AQ67" s="1045"/>
      <c r="AR67" s="1045"/>
      <c r="AS67" s="1045"/>
      <c r="AT67" s="1045"/>
      <c r="AU67" s="1045"/>
      <c r="AV67" s="1045"/>
      <c r="AW67" s="1045"/>
      <c r="AX67" s="1045"/>
      <c r="AY67" s="1045"/>
      <c r="AZ67" s="1045"/>
      <c r="BA67" s="1045"/>
      <c r="BB67" s="1045"/>
      <c r="BC67" s="1045"/>
      <c r="BD67" s="1045"/>
      <c r="BE67" s="1045"/>
      <c r="BF67" s="1046"/>
      <c r="BG67" s="48"/>
      <c r="BH67" s="48"/>
      <c r="BI67" s="1197"/>
      <c r="BJ67" s="1198"/>
      <c r="BK67" s="1198"/>
      <c r="BL67" s="1198"/>
      <c r="BM67" s="1198"/>
      <c r="BN67" s="1198"/>
      <c r="BO67" s="1198"/>
      <c r="BP67" s="1198"/>
      <c r="BQ67" s="1198"/>
      <c r="BR67" s="1198"/>
      <c r="BS67" s="1198"/>
      <c r="BT67" s="1198"/>
      <c r="BU67" s="1198"/>
      <c r="BV67" s="1198"/>
      <c r="BW67" s="1198"/>
      <c r="BX67" s="1198"/>
      <c r="BY67" s="1198"/>
      <c r="BZ67" s="1198"/>
      <c r="CA67" s="1198"/>
      <c r="CB67" s="1198"/>
      <c r="CC67" s="1198"/>
      <c r="CD67" s="1198"/>
      <c r="CE67" s="1199"/>
      <c r="CF67" s="1192"/>
      <c r="CG67" s="1192"/>
      <c r="CH67" s="1192"/>
      <c r="CI67" s="1192"/>
      <c r="CJ67" s="1192"/>
      <c r="CK67" s="1192"/>
      <c r="CL67" s="1192"/>
      <c r="CM67" s="1192"/>
      <c r="CN67" s="1192"/>
      <c r="CO67" s="1192"/>
      <c r="CP67" s="1192"/>
      <c r="CQ67" s="1192"/>
      <c r="CR67" s="1192"/>
      <c r="CS67" s="1192"/>
      <c r="CT67" s="1192"/>
      <c r="CU67" s="1192"/>
      <c r="CV67" s="1192"/>
      <c r="CW67" s="1192"/>
      <c r="CX67" s="1192"/>
      <c r="CY67" s="1192"/>
      <c r="CZ67" s="1192"/>
      <c r="DA67" s="1192"/>
      <c r="DB67" s="1193"/>
      <c r="DC67" s="1132"/>
      <c r="DD67" s="1133"/>
      <c r="DE67" s="1133"/>
      <c r="DF67" s="1133"/>
      <c r="DG67" s="1133"/>
      <c r="DH67" s="1133"/>
      <c r="DI67" s="1133"/>
      <c r="DJ67" s="1133"/>
      <c r="DK67" s="1134"/>
      <c r="DL67" s="44"/>
      <c r="DM67" s="44"/>
    </row>
    <row r="68" spans="1:165" s="45" customFormat="1" ht="7.5" customHeight="1" thickBot="1">
      <c r="A68" s="48"/>
      <c r="B68" s="1147"/>
      <c r="C68" s="1148"/>
      <c r="D68" s="1148"/>
      <c r="E68" s="1148"/>
      <c r="F68" s="1149"/>
      <c r="G68" s="1203"/>
      <c r="H68" s="1204"/>
      <c r="I68" s="1204"/>
      <c r="J68" s="1204"/>
      <c r="K68" s="1204"/>
      <c r="L68" s="1204"/>
      <c r="M68" s="1204"/>
      <c r="N68" s="1204"/>
      <c r="O68" s="1204"/>
      <c r="P68" s="1204"/>
      <c r="Q68" s="1204"/>
      <c r="R68" s="1204"/>
      <c r="S68" s="1204"/>
      <c r="T68" s="1204"/>
      <c r="U68" s="1204"/>
      <c r="V68" s="1204"/>
      <c r="W68" s="1204"/>
      <c r="X68" s="1204"/>
      <c r="Y68" s="1204"/>
      <c r="Z68" s="1204"/>
      <c r="AA68" s="1205"/>
      <c r="AB68" s="1206"/>
      <c r="AC68" s="1016"/>
      <c r="AD68" s="1016"/>
      <c r="AE68" s="1016"/>
      <c r="AF68" s="1017"/>
      <c r="AG68" s="1207"/>
      <c r="AH68" s="1208"/>
      <c r="AI68" s="1208"/>
      <c r="AJ68" s="1208"/>
      <c r="AK68" s="1208"/>
      <c r="AL68" s="1208"/>
      <c r="AM68" s="1208"/>
      <c r="AN68" s="1208"/>
      <c r="AO68" s="1208"/>
      <c r="AP68" s="1208"/>
      <c r="AQ68" s="1208"/>
      <c r="AR68" s="1208"/>
      <c r="AS68" s="1208"/>
      <c r="AT68" s="1208"/>
      <c r="AU68" s="1208"/>
      <c r="AV68" s="1208"/>
      <c r="AW68" s="1208"/>
      <c r="AX68" s="1208"/>
      <c r="AY68" s="1208"/>
      <c r="AZ68" s="1208"/>
      <c r="BA68" s="1208"/>
      <c r="BB68" s="1208"/>
      <c r="BC68" s="1208"/>
      <c r="BD68" s="1208"/>
      <c r="BE68" s="1208"/>
      <c r="BF68" s="1209"/>
      <c r="BG68" s="48"/>
      <c r="BH68" s="48"/>
      <c r="BI68" s="1177"/>
      <c r="BJ68" s="1178"/>
      <c r="BK68" s="1178"/>
      <c r="BL68" s="1178"/>
      <c r="BM68" s="1178"/>
      <c r="BN68" s="1178"/>
      <c r="BO68" s="1178"/>
      <c r="BP68" s="1178"/>
      <c r="BQ68" s="1178"/>
      <c r="BR68" s="1178"/>
      <c r="BS68" s="1178"/>
      <c r="BT68" s="1178"/>
      <c r="BU68" s="1178"/>
      <c r="BV68" s="1178"/>
      <c r="BW68" s="1178"/>
      <c r="BX68" s="1178"/>
      <c r="BY68" s="1178"/>
      <c r="BZ68" s="1178"/>
      <c r="CA68" s="1178"/>
      <c r="CB68" s="1178"/>
      <c r="CC68" s="1178"/>
      <c r="CD68" s="1178"/>
      <c r="CE68" s="1179"/>
      <c r="CF68" s="1192"/>
      <c r="CG68" s="1192"/>
      <c r="CH68" s="1192"/>
      <c r="CI68" s="1192"/>
      <c r="CJ68" s="1192"/>
      <c r="CK68" s="1192"/>
      <c r="CL68" s="1192"/>
      <c r="CM68" s="1192"/>
      <c r="CN68" s="1192"/>
      <c r="CO68" s="1192"/>
      <c r="CP68" s="1192"/>
      <c r="CQ68" s="1192"/>
      <c r="CR68" s="1192"/>
      <c r="CS68" s="1192"/>
      <c r="CT68" s="1192"/>
      <c r="CU68" s="1192"/>
      <c r="CV68" s="1192"/>
      <c r="CW68" s="1192"/>
      <c r="CX68" s="1192"/>
      <c r="CY68" s="1192"/>
      <c r="CZ68" s="1192"/>
      <c r="DA68" s="1192"/>
      <c r="DB68" s="1193"/>
      <c r="DC68" s="1132"/>
      <c r="DD68" s="1133"/>
      <c r="DE68" s="1133"/>
      <c r="DF68" s="1133"/>
      <c r="DG68" s="1133"/>
      <c r="DH68" s="1133"/>
      <c r="DI68" s="1133"/>
      <c r="DJ68" s="1133"/>
      <c r="DK68" s="1134"/>
      <c r="DL68" s="44"/>
      <c r="DM68" s="44"/>
    </row>
    <row r="69" spans="1:165" s="45" customFormat="1" ht="7.5" customHeight="1" thickTop="1">
      <c r="A69" s="48"/>
      <c r="B69" s="1150" t="s">
        <v>78</v>
      </c>
      <c r="C69" s="1151"/>
      <c r="D69" s="1151"/>
      <c r="E69" s="1151"/>
      <c r="F69" s="1152"/>
      <c r="G69" s="1159" t="s">
        <v>749</v>
      </c>
      <c r="H69" s="1160"/>
      <c r="I69" s="1160"/>
      <c r="J69" s="1160"/>
      <c r="K69" s="1160"/>
      <c r="L69" s="1160"/>
      <c r="M69" s="1160"/>
      <c r="N69" s="1160"/>
      <c r="O69" s="1160"/>
      <c r="P69" s="1160"/>
      <c r="Q69" s="1160"/>
      <c r="R69" s="1160"/>
      <c r="S69" s="1160"/>
      <c r="T69" s="1160"/>
      <c r="U69" s="1160"/>
      <c r="V69" s="1160"/>
      <c r="W69" s="1160"/>
      <c r="X69" s="1160"/>
      <c r="Y69" s="1160"/>
      <c r="Z69" s="1160"/>
      <c r="AA69" s="1160"/>
      <c r="AB69" s="1160"/>
      <c r="AC69" s="1160"/>
      <c r="AD69" s="1160"/>
      <c r="AE69" s="1160"/>
      <c r="AF69" s="1160"/>
      <c r="AG69" s="1160"/>
      <c r="AH69" s="1160"/>
      <c r="AI69" s="1160"/>
      <c r="AJ69" s="1160"/>
      <c r="AK69" s="1160"/>
      <c r="AL69" s="1160"/>
      <c r="AM69" s="1160"/>
      <c r="AN69" s="1160"/>
      <c r="AO69" s="1160"/>
      <c r="AP69" s="1160"/>
      <c r="AQ69" s="1160"/>
      <c r="AR69" s="1160"/>
      <c r="AS69" s="1160"/>
      <c r="AT69" s="1160"/>
      <c r="AU69" s="1160"/>
      <c r="AV69" s="1160"/>
      <c r="AW69" s="1160"/>
      <c r="AX69" s="1160"/>
      <c r="AY69" s="1161"/>
      <c r="AZ69" s="1168" t="s">
        <v>79</v>
      </c>
      <c r="BA69" s="1169"/>
      <c r="BB69" s="1169"/>
      <c r="BC69" s="1169"/>
      <c r="BD69" s="1169"/>
      <c r="BE69" s="1169"/>
      <c r="BF69" s="1170"/>
      <c r="BG69" s="48"/>
      <c r="BH69" s="48"/>
      <c r="BI69" s="1197"/>
      <c r="BJ69" s="1198"/>
      <c r="BK69" s="1198"/>
      <c r="BL69" s="1198"/>
      <c r="BM69" s="1198"/>
      <c r="BN69" s="1198"/>
      <c r="BO69" s="1198"/>
      <c r="BP69" s="1198"/>
      <c r="BQ69" s="1198"/>
      <c r="BR69" s="1198"/>
      <c r="BS69" s="1198"/>
      <c r="BT69" s="1198"/>
      <c r="BU69" s="1198"/>
      <c r="BV69" s="1198"/>
      <c r="BW69" s="1198"/>
      <c r="BX69" s="1198"/>
      <c r="BY69" s="1198"/>
      <c r="BZ69" s="1198"/>
      <c r="CA69" s="1198"/>
      <c r="CB69" s="1198"/>
      <c r="CC69" s="1198"/>
      <c r="CD69" s="1198"/>
      <c r="CE69" s="1199"/>
      <c r="CF69" s="1192"/>
      <c r="CG69" s="1192"/>
      <c r="CH69" s="1192"/>
      <c r="CI69" s="1192"/>
      <c r="CJ69" s="1192"/>
      <c r="CK69" s="1192"/>
      <c r="CL69" s="1192"/>
      <c r="CM69" s="1192"/>
      <c r="CN69" s="1192"/>
      <c r="CO69" s="1192"/>
      <c r="CP69" s="1192"/>
      <c r="CQ69" s="1192"/>
      <c r="CR69" s="1192"/>
      <c r="CS69" s="1192"/>
      <c r="CT69" s="1192"/>
      <c r="CU69" s="1192"/>
      <c r="CV69" s="1192"/>
      <c r="CW69" s="1192"/>
      <c r="CX69" s="1192"/>
      <c r="CY69" s="1192"/>
      <c r="CZ69" s="1192"/>
      <c r="DA69" s="1192"/>
      <c r="DB69" s="1193"/>
      <c r="DC69" s="1132"/>
      <c r="DD69" s="1133"/>
      <c r="DE69" s="1133"/>
      <c r="DF69" s="1133"/>
      <c r="DG69" s="1133"/>
      <c r="DH69" s="1133"/>
      <c r="DI69" s="1133"/>
      <c r="DJ69" s="1133"/>
      <c r="DK69" s="1134"/>
      <c r="DL69" s="44"/>
      <c r="DM69" s="44"/>
    </row>
    <row r="70" spans="1:165" s="45" customFormat="1" ht="7.5" customHeight="1">
      <c r="A70" s="48"/>
      <c r="B70" s="1153"/>
      <c r="C70" s="1154"/>
      <c r="D70" s="1154"/>
      <c r="E70" s="1154"/>
      <c r="F70" s="1155"/>
      <c r="G70" s="1162"/>
      <c r="H70" s="1163"/>
      <c r="I70" s="1163"/>
      <c r="J70" s="1163"/>
      <c r="K70" s="1163"/>
      <c r="L70" s="1163"/>
      <c r="M70" s="1163"/>
      <c r="N70" s="1163"/>
      <c r="O70" s="1163"/>
      <c r="P70" s="1163"/>
      <c r="Q70" s="1163"/>
      <c r="R70" s="1163"/>
      <c r="S70" s="1163"/>
      <c r="T70" s="1163"/>
      <c r="U70" s="1163"/>
      <c r="V70" s="1163"/>
      <c r="W70" s="1163"/>
      <c r="X70" s="1163"/>
      <c r="Y70" s="1163"/>
      <c r="Z70" s="1163"/>
      <c r="AA70" s="1163"/>
      <c r="AB70" s="1163"/>
      <c r="AC70" s="1163"/>
      <c r="AD70" s="1163"/>
      <c r="AE70" s="1163"/>
      <c r="AF70" s="1163"/>
      <c r="AG70" s="1163"/>
      <c r="AH70" s="1163"/>
      <c r="AI70" s="1163"/>
      <c r="AJ70" s="1163"/>
      <c r="AK70" s="1163"/>
      <c r="AL70" s="1163"/>
      <c r="AM70" s="1163"/>
      <c r="AN70" s="1163"/>
      <c r="AO70" s="1163"/>
      <c r="AP70" s="1163"/>
      <c r="AQ70" s="1163"/>
      <c r="AR70" s="1163"/>
      <c r="AS70" s="1163"/>
      <c r="AT70" s="1163"/>
      <c r="AU70" s="1163"/>
      <c r="AV70" s="1163"/>
      <c r="AW70" s="1163"/>
      <c r="AX70" s="1163"/>
      <c r="AY70" s="1164"/>
      <c r="AZ70" s="1171"/>
      <c r="BA70" s="1172"/>
      <c r="BB70" s="1172"/>
      <c r="BC70" s="1172"/>
      <c r="BD70" s="1172"/>
      <c r="BE70" s="1172"/>
      <c r="BF70" s="1173"/>
      <c r="BG70" s="48"/>
      <c r="BH70" s="48"/>
      <c r="BI70" s="1177"/>
      <c r="BJ70" s="1178"/>
      <c r="BK70" s="1178"/>
      <c r="BL70" s="1178"/>
      <c r="BM70" s="1178"/>
      <c r="BN70" s="1178"/>
      <c r="BO70" s="1178"/>
      <c r="BP70" s="1178"/>
      <c r="BQ70" s="1178"/>
      <c r="BR70" s="1178"/>
      <c r="BS70" s="1178"/>
      <c r="BT70" s="1178"/>
      <c r="BU70" s="1178"/>
      <c r="BV70" s="1178"/>
      <c r="BW70" s="1178"/>
      <c r="BX70" s="1178"/>
      <c r="BY70" s="1178"/>
      <c r="BZ70" s="1178"/>
      <c r="CA70" s="1178"/>
      <c r="CB70" s="1178"/>
      <c r="CC70" s="1178"/>
      <c r="CD70" s="1178"/>
      <c r="CE70" s="1179"/>
      <c r="CF70" s="1192"/>
      <c r="CG70" s="1192"/>
      <c r="CH70" s="1192"/>
      <c r="CI70" s="1192"/>
      <c r="CJ70" s="1192"/>
      <c r="CK70" s="1192"/>
      <c r="CL70" s="1192"/>
      <c r="CM70" s="1192"/>
      <c r="CN70" s="1192"/>
      <c r="CO70" s="1192"/>
      <c r="CP70" s="1192"/>
      <c r="CQ70" s="1192"/>
      <c r="CR70" s="1192"/>
      <c r="CS70" s="1192"/>
      <c r="CT70" s="1192"/>
      <c r="CU70" s="1192"/>
      <c r="CV70" s="1192"/>
      <c r="CW70" s="1192"/>
      <c r="CX70" s="1192"/>
      <c r="CY70" s="1192"/>
      <c r="CZ70" s="1192"/>
      <c r="DA70" s="1192"/>
      <c r="DB70" s="1193"/>
      <c r="DC70" s="1132"/>
      <c r="DD70" s="1133"/>
      <c r="DE70" s="1133"/>
      <c r="DF70" s="1133"/>
      <c r="DG70" s="1133"/>
      <c r="DH70" s="1133"/>
      <c r="DI70" s="1133"/>
      <c r="DJ70" s="1133"/>
      <c r="DK70" s="1134"/>
      <c r="DL70" s="53"/>
      <c r="DM70" s="44"/>
    </row>
    <row r="71" spans="1:165" s="45" customFormat="1" ht="7.5" customHeight="1" thickBot="1">
      <c r="A71" s="44"/>
      <c r="B71" s="1156"/>
      <c r="C71" s="1157"/>
      <c r="D71" s="1157"/>
      <c r="E71" s="1157"/>
      <c r="F71" s="1158"/>
      <c r="G71" s="1165"/>
      <c r="H71" s="1166"/>
      <c r="I71" s="1166"/>
      <c r="J71" s="1166"/>
      <c r="K71" s="1166"/>
      <c r="L71" s="1166"/>
      <c r="M71" s="1166"/>
      <c r="N71" s="1166"/>
      <c r="O71" s="1166"/>
      <c r="P71" s="1166"/>
      <c r="Q71" s="1166"/>
      <c r="R71" s="1166"/>
      <c r="S71" s="1166"/>
      <c r="T71" s="1166"/>
      <c r="U71" s="1166"/>
      <c r="V71" s="1166"/>
      <c r="W71" s="1166"/>
      <c r="X71" s="1166"/>
      <c r="Y71" s="1166"/>
      <c r="Z71" s="1166"/>
      <c r="AA71" s="1166"/>
      <c r="AB71" s="1166"/>
      <c r="AC71" s="1166"/>
      <c r="AD71" s="1166"/>
      <c r="AE71" s="1166"/>
      <c r="AF71" s="1166"/>
      <c r="AG71" s="1166"/>
      <c r="AH71" s="1166"/>
      <c r="AI71" s="1166"/>
      <c r="AJ71" s="1166"/>
      <c r="AK71" s="1166"/>
      <c r="AL71" s="1166"/>
      <c r="AM71" s="1166"/>
      <c r="AN71" s="1166"/>
      <c r="AO71" s="1166"/>
      <c r="AP71" s="1166"/>
      <c r="AQ71" s="1166"/>
      <c r="AR71" s="1166"/>
      <c r="AS71" s="1166"/>
      <c r="AT71" s="1166"/>
      <c r="AU71" s="1166"/>
      <c r="AV71" s="1166"/>
      <c r="AW71" s="1166"/>
      <c r="AX71" s="1166"/>
      <c r="AY71" s="1167"/>
      <c r="AZ71" s="1174"/>
      <c r="BA71" s="1175"/>
      <c r="BB71" s="1175"/>
      <c r="BC71" s="1175"/>
      <c r="BD71" s="1175"/>
      <c r="BE71" s="1175"/>
      <c r="BF71" s="1176"/>
      <c r="BG71" s="44"/>
      <c r="BH71" s="44"/>
      <c r="BI71" s="1180"/>
      <c r="BJ71" s="1181"/>
      <c r="BK71" s="1181"/>
      <c r="BL71" s="1181"/>
      <c r="BM71" s="1181"/>
      <c r="BN71" s="1181"/>
      <c r="BO71" s="1181"/>
      <c r="BP71" s="1181"/>
      <c r="BQ71" s="1181"/>
      <c r="BR71" s="1181"/>
      <c r="BS71" s="1181"/>
      <c r="BT71" s="1181"/>
      <c r="BU71" s="1181"/>
      <c r="BV71" s="1181"/>
      <c r="BW71" s="1181"/>
      <c r="BX71" s="1181"/>
      <c r="BY71" s="1181"/>
      <c r="BZ71" s="1181"/>
      <c r="CA71" s="1181"/>
      <c r="CB71" s="1181"/>
      <c r="CC71" s="1181"/>
      <c r="CD71" s="1181"/>
      <c r="CE71" s="1182"/>
      <c r="CF71" s="1263"/>
      <c r="CG71" s="1263"/>
      <c r="CH71" s="1263"/>
      <c r="CI71" s="1263"/>
      <c r="CJ71" s="1263"/>
      <c r="CK71" s="1263"/>
      <c r="CL71" s="1263"/>
      <c r="CM71" s="1263"/>
      <c r="CN71" s="1263"/>
      <c r="CO71" s="1263"/>
      <c r="CP71" s="1263"/>
      <c r="CQ71" s="1263"/>
      <c r="CR71" s="1263"/>
      <c r="CS71" s="1263"/>
      <c r="CT71" s="1263"/>
      <c r="CU71" s="1263"/>
      <c r="CV71" s="1263"/>
      <c r="CW71" s="1263"/>
      <c r="CX71" s="1263"/>
      <c r="CY71" s="1263"/>
      <c r="CZ71" s="1263"/>
      <c r="DA71" s="1263"/>
      <c r="DB71" s="1264"/>
      <c r="DC71" s="1135"/>
      <c r="DD71" s="1136"/>
      <c r="DE71" s="1136"/>
      <c r="DF71" s="1136"/>
      <c r="DG71" s="1136"/>
      <c r="DH71" s="1136"/>
      <c r="DI71" s="1136"/>
      <c r="DJ71" s="1136"/>
      <c r="DK71" s="1137"/>
      <c r="DL71" s="44"/>
      <c r="DM71" s="44"/>
    </row>
    <row r="72" spans="1:165" ht="7.5" customHeight="1" thickTop="1"/>
    <row r="73" spans="1:165" s="200" customFormat="1" ht="9" customHeight="1">
      <c r="A73" s="1265" t="s">
        <v>1572</v>
      </c>
      <c r="B73" s="1265"/>
      <c r="C73" s="1265"/>
      <c r="D73" s="1265"/>
      <c r="E73" s="1265"/>
      <c r="F73" s="1265"/>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c r="AL73" s="1265"/>
      <c r="AM73" s="1265"/>
      <c r="AN73" s="1265"/>
      <c r="AO73" s="1265"/>
      <c r="AP73" s="1265"/>
      <c r="AQ73" s="1265"/>
      <c r="AR73" s="1265"/>
      <c r="AS73" s="1265"/>
      <c r="AT73" s="1265"/>
      <c r="AU73" s="1265"/>
      <c r="AV73" s="1265"/>
      <c r="AW73" s="1265"/>
      <c r="AX73" s="1265"/>
      <c r="AY73" s="1265"/>
      <c r="AZ73" s="1265"/>
      <c r="BA73" s="1265"/>
      <c r="BB73" s="1265"/>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c r="CB73" s="1266"/>
      <c r="CC73" s="1266"/>
      <c r="CD73" s="1266"/>
      <c r="CE73" s="1266"/>
      <c r="CF73" s="1266"/>
      <c r="CG73" s="1266"/>
      <c r="CH73" s="1266"/>
      <c r="CI73" s="1266"/>
      <c r="CJ73" s="1266"/>
      <c r="CK73" s="1266"/>
      <c r="CL73" s="1266"/>
      <c r="CM73" s="1266"/>
      <c r="CN73" s="1266"/>
      <c r="CO73" s="1266"/>
      <c r="CP73" s="1266"/>
      <c r="CQ73" s="1266"/>
      <c r="CR73" s="1266"/>
      <c r="CS73" s="1266"/>
      <c r="CT73" s="1266"/>
      <c r="CU73" s="205"/>
      <c r="CV73" s="205"/>
      <c r="CW73" s="205"/>
      <c r="CX73" s="205"/>
      <c r="CY73" s="205"/>
      <c r="CZ73" s="205"/>
      <c r="DA73" s="205"/>
      <c r="DB73" s="205"/>
      <c r="DC73" s="205"/>
      <c r="DD73" s="205"/>
      <c r="DE73" s="205"/>
      <c r="DF73" s="205"/>
      <c r="DG73" s="205"/>
      <c r="DH73" s="205"/>
      <c r="DI73" s="205"/>
      <c r="DJ73" s="205"/>
      <c r="DK73" s="205"/>
      <c r="DL73" s="204"/>
      <c r="DM73" s="202"/>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row>
    <row r="74" spans="1:165" s="200" customFormat="1" ht="9" customHeight="1">
      <c r="A74" s="1265"/>
      <c r="B74" s="1265"/>
      <c r="C74" s="1265"/>
      <c r="D74" s="1265"/>
      <c r="E74" s="1265"/>
      <c r="F74" s="1265"/>
      <c r="G74" s="1265"/>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c r="AL74" s="1265"/>
      <c r="AM74" s="1265"/>
      <c r="AN74" s="1265"/>
      <c r="AO74" s="1265"/>
      <c r="AP74" s="1265"/>
      <c r="AQ74" s="1265"/>
      <c r="AR74" s="1265"/>
      <c r="AS74" s="1265"/>
      <c r="AT74" s="1265"/>
      <c r="AU74" s="1265"/>
      <c r="AV74" s="1265"/>
      <c r="AW74" s="1265"/>
      <c r="AX74" s="1265"/>
      <c r="AY74" s="1265"/>
      <c r="AZ74" s="1265"/>
      <c r="BA74" s="1265"/>
      <c r="BB74" s="1265"/>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c r="CB74" s="1266"/>
      <c r="CC74" s="1266"/>
      <c r="CD74" s="1266"/>
      <c r="CE74" s="1266"/>
      <c r="CF74" s="1266"/>
      <c r="CG74" s="1266"/>
      <c r="CH74" s="1266"/>
      <c r="CI74" s="1266"/>
      <c r="CJ74" s="1266"/>
      <c r="CK74" s="1266"/>
      <c r="CL74" s="1266"/>
      <c r="CM74" s="1266"/>
      <c r="CN74" s="1266"/>
      <c r="CO74" s="1266"/>
      <c r="CP74" s="1266"/>
      <c r="CQ74" s="1266"/>
      <c r="CR74" s="1266"/>
      <c r="CS74" s="1266"/>
      <c r="CT74" s="1266"/>
      <c r="CU74" s="206"/>
      <c r="CV74" s="206"/>
      <c r="CW74" s="206"/>
      <c r="CX74" s="206"/>
      <c r="CY74" s="206"/>
      <c r="CZ74" s="206"/>
      <c r="DA74" s="206"/>
      <c r="DB74" s="206"/>
      <c r="DC74" s="206"/>
      <c r="DD74" s="206"/>
      <c r="DE74" s="206"/>
      <c r="DF74" s="206"/>
      <c r="DG74" s="206"/>
      <c r="DH74" s="206"/>
      <c r="DI74" s="206"/>
      <c r="DJ74" s="206"/>
      <c r="DK74" s="205"/>
      <c r="DL74" s="204"/>
      <c r="DM74" s="202"/>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row>
    <row r="75" spans="1:165" s="200" customFormat="1" ht="11.25" customHeight="1">
      <c r="A75" s="207"/>
      <c r="B75" s="208" t="str">
        <f>"まずはじめに、「"&amp;B79&amp;"」欄をご選択の上、セルが赤く表示された「管理者E-mail」または「保有シリアル」をご入力ください。その後、お手続きを希望される製品欄の「製品区分」をご選択ください。"</f>
        <v>まずはじめに、「既存のご契約」欄をご選択の上、セルが赤く表示された「管理者E-mail」または「保有シリアル」をご入力ください。その後、お手続きを希望される製品欄の「製品区分」をご選択ください。</v>
      </c>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6"/>
      <c r="CV75" s="206"/>
      <c r="CW75" s="206"/>
      <c r="CX75" s="206"/>
      <c r="CY75" s="206"/>
      <c r="CZ75" s="206"/>
      <c r="DA75" s="206"/>
      <c r="DB75" s="206"/>
      <c r="DC75" s="206"/>
      <c r="DD75" s="206"/>
      <c r="DE75" s="206"/>
      <c r="DF75" s="206"/>
      <c r="DG75" s="206"/>
      <c r="DH75" s="206"/>
      <c r="DI75" s="206"/>
      <c r="DJ75" s="206"/>
      <c r="DK75" s="205"/>
      <c r="DL75" s="204"/>
      <c r="DM75" s="202"/>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row>
    <row r="76" spans="1:165" s="200" customFormat="1" ht="11.25" customHeight="1" thickBot="1">
      <c r="A76" s="202"/>
      <c r="B76" s="208" t="s">
        <v>561</v>
      </c>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3"/>
      <c r="BJ76" s="203"/>
      <c r="BK76" s="203"/>
      <c r="BL76" s="203"/>
      <c r="BM76" s="203"/>
      <c r="BN76" s="203"/>
      <c r="BO76" s="203"/>
      <c r="BP76" s="203"/>
      <c r="BQ76" s="203"/>
      <c r="BR76" s="203"/>
      <c r="BS76" s="203"/>
      <c r="BT76" s="203"/>
      <c r="BU76" s="203"/>
      <c r="BV76" s="203"/>
      <c r="BW76" s="203"/>
      <c r="BX76" s="203"/>
      <c r="BY76" s="203"/>
      <c r="BZ76" s="203"/>
      <c r="CA76" s="203"/>
      <c r="CB76" s="203"/>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204"/>
      <c r="DM76" s="202"/>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row>
    <row r="77" spans="1:165" s="200" customFormat="1" ht="7.5" customHeight="1">
      <c r="A77" s="199"/>
      <c r="B77" s="1267" t="s">
        <v>1558</v>
      </c>
      <c r="C77" s="1268"/>
      <c r="D77" s="1268"/>
      <c r="E77" s="1268"/>
      <c r="F77" s="1268"/>
      <c r="G77" s="1268"/>
      <c r="H77" s="1268"/>
      <c r="I77" s="1268"/>
      <c r="J77" s="1268"/>
      <c r="K77" s="1268"/>
      <c r="L77" s="1268"/>
      <c r="M77" s="1268"/>
      <c r="N77" s="1268"/>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c r="CB77" s="1268"/>
      <c r="CC77" s="1268"/>
      <c r="CD77" s="1268"/>
      <c r="CE77" s="1268"/>
      <c r="CF77" s="1268"/>
      <c r="CG77" s="1268"/>
      <c r="CH77" s="1268"/>
      <c r="CI77" s="1268"/>
      <c r="CJ77" s="1268"/>
      <c r="CK77" s="1268"/>
      <c r="CL77" s="1268"/>
      <c r="CM77" s="1268"/>
      <c r="CN77" s="1268"/>
      <c r="CO77" s="1268"/>
      <c r="CP77" s="1268"/>
      <c r="CQ77" s="1268"/>
      <c r="CR77" s="1268"/>
      <c r="CS77" s="1268"/>
      <c r="CT77" s="1268"/>
      <c r="CU77" s="1268"/>
      <c r="CV77" s="1268"/>
      <c r="CW77" s="1268"/>
      <c r="CX77" s="1268"/>
      <c r="CY77" s="1268"/>
      <c r="CZ77" s="1268"/>
      <c r="DA77" s="1268"/>
      <c r="DB77" s="1268"/>
      <c r="DC77" s="1268"/>
      <c r="DD77" s="1268"/>
      <c r="DE77" s="1268"/>
      <c r="DF77" s="1268"/>
      <c r="DG77" s="1268"/>
      <c r="DH77" s="1268"/>
      <c r="DI77" s="1268"/>
      <c r="DJ77" s="1268"/>
      <c r="DK77" s="1268"/>
      <c r="DL77" s="1269"/>
      <c r="DM77" s="202"/>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row>
    <row r="78" spans="1:165" s="200" customFormat="1" ht="7.5" customHeight="1" thickBot="1">
      <c r="A78" s="199"/>
      <c r="B78" s="1270"/>
      <c r="C78" s="1271"/>
      <c r="D78" s="1271"/>
      <c r="E78" s="1271"/>
      <c r="F78" s="1271"/>
      <c r="G78" s="1271"/>
      <c r="H78" s="1271"/>
      <c r="I78" s="1271"/>
      <c r="J78" s="1271"/>
      <c r="K78" s="1271"/>
      <c r="L78" s="1271"/>
      <c r="M78" s="1271"/>
      <c r="N78" s="1271"/>
      <c r="O78" s="1271"/>
      <c r="P78" s="1271"/>
      <c r="Q78" s="1272"/>
      <c r="R78" s="1272"/>
      <c r="S78" s="1272"/>
      <c r="T78" s="1272"/>
      <c r="U78" s="1272"/>
      <c r="V78" s="1272"/>
      <c r="W78" s="1272"/>
      <c r="X78" s="1272"/>
      <c r="Y78" s="1272"/>
      <c r="Z78" s="1272"/>
      <c r="AA78" s="1272"/>
      <c r="AB78" s="1272"/>
      <c r="AC78" s="1272"/>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3"/>
      <c r="DM78" s="202"/>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row>
    <row r="79" spans="1:165" ht="7.5" customHeight="1" thickTop="1">
      <c r="B79" s="1237" t="s">
        <v>1565</v>
      </c>
      <c r="C79" s="1238"/>
      <c r="D79" s="1238"/>
      <c r="E79" s="1238"/>
      <c r="F79" s="1238"/>
      <c r="G79" s="1238"/>
      <c r="H79" s="1238"/>
      <c r="I79" s="1238"/>
      <c r="J79" s="1238"/>
      <c r="K79" s="1238"/>
      <c r="L79" s="1239"/>
      <c r="M79" s="1277"/>
      <c r="N79" s="1277"/>
      <c r="O79" s="1277"/>
      <c r="P79" s="1278"/>
      <c r="Q79" s="1283" t="s">
        <v>1104</v>
      </c>
      <c r="R79" s="1284"/>
      <c r="S79" s="1284"/>
      <c r="T79" s="1284"/>
      <c r="U79" s="1284"/>
      <c r="V79" s="1284"/>
      <c r="W79" s="1284"/>
      <c r="X79" s="1284"/>
      <c r="Y79" s="1284"/>
      <c r="Z79" s="1284"/>
      <c r="AA79" s="1284"/>
      <c r="AB79" s="1284"/>
      <c r="AC79" s="1284"/>
      <c r="AD79" s="1284"/>
      <c r="AE79" s="1284"/>
      <c r="AF79" s="1284"/>
      <c r="AG79" s="1284"/>
      <c r="AH79" s="1284"/>
      <c r="AI79" s="1284"/>
      <c r="AJ79" s="1284"/>
      <c r="AK79" s="1284"/>
      <c r="AL79" s="1284"/>
      <c r="AM79" s="1284"/>
      <c r="AN79" s="1284"/>
      <c r="AO79" s="1284"/>
      <c r="AP79" s="1284"/>
      <c r="AQ79" s="1284"/>
      <c r="AR79" s="1284"/>
      <c r="AS79" s="1284"/>
      <c r="AT79" s="1284"/>
      <c r="AU79" s="1284"/>
      <c r="AV79" s="1284"/>
      <c r="AW79" s="1284"/>
      <c r="AX79" s="1284"/>
      <c r="AY79" s="1284"/>
      <c r="AZ79" s="1284"/>
      <c r="BA79" s="1284"/>
      <c r="BB79" s="1284"/>
      <c r="BC79" s="1284"/>
      <c r="BD79" s="1284"/>
      <c r="BE79" s="1284"/>
      <c r="BF79" s="1284"/>
      <c r="BG79" s="1284"/>
      <c r="BH79" s="1284"/>
      <c r="BI79" s="1284"/>
      <c r="BJ79" s="1284"/>
      <c r="BK79" s="1284"/>
      <c r="BL79" s="1284"/>
      <c r="BM79" s="1284"/>
      <c r="BN79" s="1284"/>
      <c r="BO79" s="1284"/>
      <c r="BP79" s="1284"/>
      <c r="BQ79" s="1284"/>
      <c r="BR79" s="1284"/>
      <c r="BS79" s="1284"/>
      <c r="BT79" s="1284"/>
      <c r="BU79" s="1284"/>
      <c r="BV79" s="1284"/>
      <c r="BW79" s="1284"/>
      <c r="BX79" s="1284"/>
      <c r="BY79" s="1284"/>
      <c r="BZ79" s="1284"/>
      <c r="CA79" s="1284"/>
      <c r="CB79" s="1284"/>
      <c r="CC79" s="1284"/>
      <c r="CD79" s="1284"/>
      <c r="CE79" s="1284"/>
      <c r="CF79" s="1284"/>
      <c r="CG79" s="1284"/>
      <c r="CH79" s="1284"/>
      <c r="CI79" s="1284"/>
      <c r="CJ79" s="1284"/>
      <c r="CK79" s="1284"/>
      <c r="CL79" s="1284"/>
      <c r="CM79" s="1284"/>
      <c r="CN79" s="1284"/>
      <c r="CO79" s="1284"/>
      <c r="CP79" s="1284"/>
      <c r="CQ79" s="1284"/>
      <c r="CR79" s="1284"/>
      <c r="CS79" s="1284"/>
      <c r="CT79" s="1284"/>
      <c r="CU79" s="1284"/>
      <c r="CV79" s="1284"/>
      <c r="CW79" s="1284"/>
      <c r="CX79" s="1284"/>
      <c r="CY79" s="1284"/>
      <c r="CZ79" s="1284"/>
      <c r="DA79" s="1284"/>
      <c r="DB79" s="1284"/>
      <c r="DC79" s="1284"/>
      <c r="DD79" s="1284"/>
      <c r="DE79" s="1284"/>
      <c r="DF79" s="1284"/>
      <c r="DG79" s="1284"/>
      <c r="DH79" s="1284"/>
      <c r="DI79" s="1284"/>
      <c r="DJ79" s="1284"/>
      <c r="DK79" s="1284"/>
      <c r="DL79" s="1285"/>
    </row>
    <row r="80" spans="1:165" ht="7.5" customHeight="1">
      <c r="B80" s="1240"/>
      <c r="C80" s="1241"/>
      <c r="D80" s="1241"/>
      <c r="E80" s="1241"/>
      <c r="F80" s="1241"/>
      <c r="G80" s="1241"/>
      <c r="H80" s="1241"/>
      <c r="I80" s="1241"/>
      <c r="J80" s="1241"/>
      <c r="K80" s="1241"/>
      <c r="L80" s="1242"/>
      <c r="M80" s="1279"/>
      <c r="N80" s="1279"/>
      <c r="O80" s="1279"/>
      <c r="P80" s="1280"/>
      <c r="Q80" s="1286"/>
      <c r="R80" s="1287"/>
      <c r="S80" s="1287"/>
      <c r="T80" s="1287"/>
      <c r="U80" s="1287"/>
      <c r="V80" s="1287"/>
      <c r="W80" s="1287"/>
      <c r="X80" s="1287"/>
      <c r="Y80" s="1287"/>
      <c r="Z80" s="1287"/>
      <c r="AA80" s="1287"/>
      <c r="AB80" s="1287"/>
      <c r="AC80" s="1287"/>
      <c r="AD80" s="1287"/>
      <c r="AE80" s="1287"/>
      <c r="AF80" s="1287"/>
      <c r="AG80" s="1287"/>
      <c r="AH80" s="1287"/>
      <c r="AI80" s="1287"/>
      <c r="AJ80" s="1287"/>
      <c r="AK80" s="1287"/>
      <c r="AL80" s="1287"/>
      <c r="AM80" s="1287"/>
      <c r="AN80" s="1287"/>
      <c r="AO80" s="1287"/>
      <c r="AP80" s="1287"/>
      <c r="AQ80" s="1287"/>
      <c r="AR80" s="1287"/>
      <c r="AS80" s="1287"/>
      <c r="AT80" s="1287"/>
      <c r="AU80" s="1287"/>
      <c r="AV80" s="1287"/>
      <c r="AW80" s="1287"/>
      <c r="AX80" s="1287"/>
      <c r="AY80" s="1287"/>
      <c r="AZ80" s="1287"/>
      <c r="BA80" s="1287"/>
      <c r="BB80" s="1287"/>
      <c r="BC80" s="1287"/>
      <c r="BD80" s="1287"/>
      <c r="BE80" s="1287"/>
      <c r="BF80" s="1287"/>
      <c r="BG80" s="1287"/>
      <c r="BH80" s="1287"/>
      <c r="BI80" s="1287"/>
      <c r="BJ80" s="1287"/>
      <c r="BK80" s="1287"/>
      <c r="BL80" s="1287"/>
      <c r="BM80" s="1287"/>
      <c r="BN80" s="1287"/>
      <c r="BO80" s="1287"/>
      <c r="BP80" s="1287"/>
      <c r="BQ80" s="1287"/>
      <c r="BR80" s="1287"/>
      <c r="BS80" s="1287"/>
      <c r="BT80" s="1287"/>
      <c r="BU80" s="1287"/>
      <c r="BV80" s="1287"/>
      <c r="BW80" s="1287"/>
      <c r="BX80" s="1287"/>
      <c r="BY80" s="1287"/>
      <c r="BZ80" s="1287"/>
      <c r="CA80" s="1287"/>
      <c r="CB80" s="1287"/>
      <c r="CC80" s="1287"/>
      <c r="CD80" s="1287"/>
      <c r="CE80" s="1287"/>
      <c r="CF80" s="1287"/>
      <c r="CG80" s="1287"/>
      <c r="CH80" s="1287"/>
      <c r="CI80" s="1287"/>
      <c r="CJ80" s="1287"/>
      <c r="CK80" s="1287"/>
      <c r="CL80" s="1287"/>
      <c r="CM80" s="1287"/>
      <c r="CN80" s="1287"/>
      <c r="CO80" s="1287"/>
      <c r="CP80" s="1287"/>
      <c r="CQ80" s="1287"/>
      <c r="CR80" s="1287"/>
      <c r="CS80" s="1287"/>
      <c r="CT80" s="1287"/>
      <c r="CU80" s="1287"/>
      <c r="CV80" s="1287"/>
      <c r="CW80" s="1287"/>
      <c r="CX80" s="1287"/>
      <c r="CY80" s="1287"/>
      <c r="CZ80" s="1287"/>
      <c r="DA80" s="1287"/>
      <c r="DB80" s="1287"/>
      <c r="DC80" s="1287"/>
      <c r="DD80" s="1287"/>
      <c r="DE80" s="1287"/>
      <c r="DF80" s="1287"/>
      <c r="DG80" s="1287"/>
      <c r="DH80" s="1287"/>
      <c r="DI80" s="1287"/>
      <c r="DJ80" s="1287"/>
      <c r="DK80" s="1287"/>
      <c r="DL80" s="1288"/>
    </row>
    <row r="81" spans="1:165" ht="7.5" customHeight="1" thickBot="1">
      <c r="B81" s="1274"/>
      <c r="C81" s="1275"/>
      <c r="D81" s="1275"/>
      <c r="E81" s="1275"/>
      <c r="F81" s="1275"/>
      <c r="G81" s="1275"/>
      <c r="H81" s="1275"/>
      <c r="I81" s="1275"/>
      <c r="J81" s="1275"/>
      <c r="K81" s="1275"/>
      <c r="L81" s="1276"/>
      <c r="M81" s="1281"/>
      <c r="N81" s="1281"/>
      <c r="O81" s="1281"/>
      <c r="P81" s="1282"/>
      <c r="Q81" s="1286"/>
      <c r="R81" s="1287"/>
      <c r="S81" s="1287"/>
      <c r="T81" s="1287"/>
      <c r="U81" s="1287"/>
      <c r="V81" s="1287"/>
      <c r="W81" s="1287"/>
      <c r="X81" s="1287"/>
      <c r="Y81" s="1287"/>
      <c r="Z81" s="1287"/>
      <c r="AA81" s="1287"/>
      <c r="AB81" s="1287"/>
      <c r="AC81" s="1287"/>
      <c r="AD81" s="1287"/>
      <c r="AE81" s="1287"/>
      <c r="AF81" s="1287"/>
      <c r="AG81" s="1287"/>
      <c r="AH81" s="1287"/>
      <c r="AI81" s="1287"/>
      <c r="AJ81" s="1287"/>
      <c r="AK81" s="1287"/>
      <c r="AL81" s="1287"/>
      <c r="AM81" s="1287"/>
      <c r="AN81" s="1287"/>
      <c r="AO81" s="1287"/>
      <c r="AP81" s="1287"/>
      <c r="AQ81" s="1287"/>
      <c r="AR81" s="1287"/>
      <c r="AS81" s="1287"/>
      <c r="AT81" s="1287"/>
      <c r="AU81" s="1287"/>
      <c r="AV81" s="1287"/>
      <c r="AW81" s="1287"/>
      <c r="AX81" s="1287"/>
      <c r="AY81" s="1287"/>
      <c r="AZ81" s="1287"/>
      <c r="BA81" s="1287"/>
      <c r="BB81" s="1287"/>
      <c r="BC81" s="1287"/>
      <c r="BD81" s="1287"/>
      <c r="BE81" s="1287"/>
      <c r="BF81" s="1287"/>
      <c r="BG81" s="1287"/>
      <c r="BH81" s="1287"/>
      <c r="BI81" s="1287"/>
      <c r="BJ81" s="1287"/>
      <c r="BK81" s="1287"/>
      <c r="BL81" s="1287"/>
      <c r="BM81" s="1287"/>
      <c r="BN81" s="1287"/>
      <c r="BO81" s="1287"/>
      <c r="BP81" s="1287"/>
      <c r="BQ81" s="1287"/>
      <c r="BR81" s="1287"/>
      <c r="BS81" s="1287"/>
      <c r="BT81" s="1287"/>
      <c r="BU81" s="1287"/>
      <c r="BV81" s="1287"/>
      <c r="BW81" s="1287"/>
      <c r="BX81" s="1287"/>
      <c r="BY81" s="1287"/>
      <c r="BZ81" s="1287"/>
      <c r="CA81" s="1287"/>
      <c r="CB81" s="1287"/>
      <c r="CC81" s="1287"/>
      <c r="CD81" s="1287"/>
      <c r="CE81" s="1287"/>
      <c r="CF81" s="1287"/>
      <c r="CG81" s="1287"/>
      <c r="CH81" s="1287"/>
      <c r="CI81" s="1287"/>
      <c r="CJ81" s="1287"/>
      <c r="CK81" s="1287"/>
      <c r="CL81" s="1287"/>
      <c r="CM81" s="1287"/>
      <c r="CN81" s="1287"/>
      <c r="CO81" s="1287"/>
      <c r="CP81" s="1287"/>
      <c r="CQ81" s="1287"/>
      <c r="CR81" s="1287"/>
      <c r="CS81" s="1287"/>
      <c r="CT81" s="1287"/>
      <c r="CU81" s="1287"/>
      <c r="CV81" s="1287"/>
      <c r="CW81" s="1287"/>
      <c r="CX81" s="1287"/>
      <c r="CY81" s="1287"/>
      <c r="CZ81" s="1287"/>
      <c r="DA81" s="1287"/>
      <c r="DB81" s="1287"/>
      <c r="DC81" s="1287"/>
      <c r="DD81" s="1287"/>
      <c r="DE81" s="1287"/>
      <c r="DF81" s="1287"/>
      <c r="DG81" s="1287"/>
      <c r="DH81" s="1287"/>
      <c r="DI81" s="1287"/>
      <c r="DJ81" s="1287"/>
      <c r="DK81" s="1287"/>
      <c r="DL81" s="1288"/>
    </row>
    <row r="82" spans="1:165" ht="7.5" customHeight="1" thickTop="1">
      <c r="B82" s="1210" t="s">
        <v>387</v>
      </c>
      <c r="C82" s="1211"/>
      <c r="D82" s="1211"/>
      <c r="E82" s="1211"/>
      <c r="F82" s="1211"/>
      <c r="G82" s="1211"/>
      <c r="H82" s="1211"/>
      <c r="I82" s="1211"/>
      <c r="J82" s="1211"/>
      <c r="K82" s="1211"/>
      <c r="L82" s="1212"/>
      <c r="M82" s="1219"/>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c r="AL82" s="1220"/>
      <c r="AM82" s="1220"/>
      <c r="AN82" s="1220"/>
      <c r="AO82" s="1220"/>
      <c r="AP82" s="1220"/>
      <c r="AQ82" s="1220"/>
      <c r="AR82" s="1221"/>
      <c r="AS82" s="1228" t="s">
        <v>1318</v>
      </c>
      <c r="AT82" s="1229"/>
      <c r="AU82" s="1229"/>
      <c r="AV82" s="1229"/>
      <c r="AW82" s="1229"/>
      <c r="AX82" s="1229"/>
      <c r="AY82" s="1229"/>
      <c r="AZ82" s="1229"/>
      <c r="BA82" s="1229"/>
      <c r="BB82" s="1229"/>
      <c r="BC82" s="1229"/>
      <c r="BD82" s="1229"/>
      <c r="BE82" s="1229"/>
      <c r="BF82" s="1229"/>
      <c r="BG82" s="1229"/>
      <c r="BH82" s="1229"/>
      <c r="BI82" s="1229"/>
      <c r="BJ82" s="1229"/>
      <c r="BK82" s="1229"/>
      <c r="BL82" s="1229"/>
      <c r="BM82" s="1229"/>
      <c r="BN82" s="1229"/>
      <c r="BO82" s="1229"/>
      <c r="BP82" s="1229"/>
      <c r="BQ82" s="1229"/>
      <c r="BR82" s="1229"/>
      <c r="BS82" s="1229"/>
      <c r="BT82" s="1229"/>
      <c r="BU82" s="1229"/>
      <c r="BV82" s="1229"/>
      <c r="BW82" s="1229"/>
      <c r="BX82" s="1229"/>
      <c r="BY82" s="1229"/>
      <c r="BZ82" s="1229"/>
      <c r="CA82" s="1229"/>
      <c r="CB82" s="1229"/>
      <c r="CC82" s="1229"/>
      <c r="CD82" s="1229"/>
      <c r="CE82" s="1229"/>
      <c r="CF82" s="1229"/>
      <c r="CG82" s="1229"/>
      <c r="CH82" s="1229"/>
      <c r="CI82" s="1229"/>
      <c r="CJ82" s="1229"/>
      <c r="CK82" s="1229"/>
      <c r="CL82" s="1229"/>
      <c r="CM82" s="1229"/>
      <c r="CN82" s="1229"/>
      <c r="CO82" s="1229"/>
      <c r="CP82" s="1229"/>
      <c r="CQ82" s="1229"/>
      <c r="CR82" s="1229"/>
      <c r="CS82" s="1229"/>
      <c r="CT82" s="1229"/>
      <c r="CU82" s="1229"/>
      <c r="CV82" s="1229"/>
      <c r="CW82" s="1229"/>
      <c r="CX82" s="1229"/>
      <c r="CY82" s="1229"/>
      <c r="CZ82" s="1229"/>
      <c r="DA82" s="1229"/>
      <c r="DB82" s="1229"/>
      <c r="DC82" s="1229"/>
      <c r="DD82" s="1229"/>
      <c r="DE82" s="1229"/>
      <c r="DF82" s="1229"/>
      <c r="DG82" s="1229"/>
      <c r="DH82" s="1229"/>
      <c r="DI82" s="1229"/>
      <c r="DJ82" s="1229"/>
      <c r="DK82" s="1229"/>
      <c r="DL82" s="1230"/>
    </row>
    <row r="83" spans="1:165" ht="7.5" customHeight="1">
      <c r="B83" s="1213"/>
      <c r="C83" s="1214"/>
      <c r="D83" s="1214"/>
      <c r="E83" s="1214"/>
      <c r="F83" s="1214"/>
      <c r="G83" s="1214"/>
      <c r="H83" s="1214"/>
      <c r="I83" s="1214"/>
      <c r="J83" s="1214"/>
      <c r="K83" s="1214"/>
      <c r="L83" s="1215"/>
      <c r="M83" s="1222"/>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4"/>
      <c r="AS83" s="1231"/>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2"/>
      <c r="DE83" s="1232"/>
      <c r="DF83" s="1232"/>
      <c r="DG83" s="1232"/>
      <c r="DH83" s="1232"/>
      <c r="DI83" s="1232"/>
      <c r="DJ83" s="1232"/>
      <c r="DK83" s="1232"/>
      <c r="DL83" s="1233"/>
      <c r="DS83" s="109"/>
    </row>
    <row r="84" spans="1:165" ht="7.5" customHeight="1" thickBot="1">
      <c r="B84" s="1216"/>
      <c r="C84" s="1217"/>
      <c r="D84" s="1217"/>
      <c r="E84" s="1217"/>
      <c r="F84" s="1217"/>
      <c r="G84" s="1217"/>
      <c r="H84" s="1217"/>
      <c r="I84" s="1217"/>
      <c r="J84" s="1217"/>
      <c r="K84" s="1217"/>
      <c r="L84" s="1218"/>
      <c r="M84" s="1225"/>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7"/>
      <c r="AS84" s="1234"/>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c r="CB84" s="1235"/>
      <c r="CC84" s="1235"/>
      <c r="CD84" s="1235"/>
      <c r="CE84" s="1235"/>
      <c r="CF84" s="1235"/>
      <c r="CG84" s="1235"/>
      <c r="CH84" s="1235"/>
      <c r="CI84" s="1235"/>
      <c r="CJ84" s="1235"/>
      <c r="CK84" s="1235"/>
      <c r="CL84" s="1235"/>
      <c r="CM84" s="1235"/>
      <c r="CN84" s="1235"/>
      <c r="CO84" s="1235"/>
      <c r="CP84" s="1235"/>
      <c r="CQ84" s="1235"/>
      <c r="CR84" s="1235"/>
      <c r="CS84" s="1235"/>
      <c r="CT84" s="1235"/>
      <c r="CU84" s="1235"/>
      <c r="CV84" s="1235"/>
      <c r="CW84" s="1235"/>
      <c r="CX84" s="1235"/>
      <c r="CY84" s="1235"/>
      <c r="CZ84" s="1235"/>
      <c r="DA84" s="1235"/>
      <c r="DB84" s="1235"/>
      <c r="DC84" s="1235"/>
      <c r="DD84" s="1235"/>
      <c r="DE84" s="1235"/>
      <c r="DF84" s="1235"/>
      <c r="DG84" s="1235"/>
      <c r="DH84" s="1235"/>
      <c r="DI84" s="1235"/>
      <c r="DJ84" s="1235"/>
      <c r="DK84" s="1235"/>
      <c r="DL84" s="1236"/>
    </row>
    <row r="85" spans="1:165" ht="23.15" customHeight="1" thickTop="1">
      <c r="B85" s="1237" t="s">
        <v>388</v>
      </c>
      <c r="C85" s="1238"/>
      <c r="D85" s="1238"/>
      <c r="E85" s="1238"/>
      <c r="F85" s="1238"/>
      <c r="G85" s="1238"/>
      <c r="H85" s="1238"/>
      <c r="I85" s="1238"/>
      <c r="J85" s="1238"/>
      <c r="K85" s="1238"/>
      <c r="L85" s="1239"/>
      <c r="M85" s="1246"/>
      <c r="N85" s="1247"/>
      <c r="O85" s="1247"/>
      <c r="P85" s="1247"/>
      <c r="Q85" s="1247"/>
      <c r="R85" s="1247"/>
      <c r="S85" s="1247"/>
      <c r="T85" s="1247"/>
      <c r="U85" s="1247"/>
      <c r="V85" s="1247"/>
      <c r="W85" s="1247"/>
      <c r="X85" s="1247"/>
      <c r="Y85" s="1247"/>
      <c r="Z85" s="1247"/>
      <c r="AA85" s="1247"/>
      <c r="AB85" s="1247"/>
      <c r="AC85" s="1247"/>
      <c r="AD85" s="1247"/>
      <c r="AE85" s="1247"/>
      <c r="AF85" s="1247"/>
      <c r="AG85" s="1247"/>
      <c r="AH85" s="1247"/>
      <c r="AI85" s="1247"/>
      <c r="AJ85" s="1247"/>
      <c r="AK85" s="1248"/>
      <c r="AL85" s="1255" t="s">
        <v>1317</v>
      </c>
      <c r="AM85" s="1256"/>
      <c r="AN85" s="1256"/>
      <c r="AO85" s="1256"/>
      <c r="AP85" s="1256"/>
      <c r="AQ85" s="1256"/>
      <c r="AR85" s="1256"/>
      <c r="AS85" s="1257"/>
      <c r="AT85" s="1257"/>
      <c r="AU85" s="1257"/>
      <c r="AV85" s="1257"/>
      <c r="AW85" s="1257"/>
      <c r="AX85" s="1257"/>
      <c r="AY85" s="1257"/>
      <c r="AZ85" s="1257"/>
      <c r="BA85" s="1257"/>
      <c r="BB85" s="1257"/>
      <c r="BC85" s="1257"/>
      <c r="BD85" s="1257"/>
      <c r="BE85" s="1257"/>
      <c r="BF85" s="1257"/>
      <c r="BG85" s="1257"/>
      <c r="BH85" s="1257"/>
      <c r="BI85" s="1257"/>
      <c r="BJ85" s="1257"/>
      <c r="BK85" s="1257"/>
      <c r="BL85" s="1257"/>
      <c r="BM85" s="1257"/>
      <c r="BN85" s="1257"/>
      <c r="BO85" s="1257"/>
      <c r="BP85" s="1257"/>
      <c r="BQ85" s="1257"/>
      <c r="BR85" s="1257"/>
      <c r="BS85" s="1257"/>
      <c r="BT85" s="1257"/>
      <c r="BU85" s="1257"/>
      <c r="BV85" s="1257"/>
      <c r="BW85" s="1257"/>
      <c r="BX85" s="1257"/>
      <c r="BY85" s="1257"/>
      <c r="BZ85" s="1257"/>
      <c r="CA85" s="1257"/>
      <c r="CB85" s="1257"/>
      <c r="CC85" s="1257"/>
      <c r="CD85" s="1257"/>
      <c r="CE85" s="1257"/>
      <c r="CF85" s="1257"/>
      <c r="CG85" s="1257"/>
      <c r="CH85" s="1257"/>
      <c r="CI85" s="1257"/>
      <c r="CJ85" s="1257"/>
      <c r="CK85" s="1257"/>
      <c r="CL85" s="1257"/>
      <c r="CM85" s="1257"/>
      <c r="CN85" s="1257"/>
      <c r="CO85" s="1257"/>
      <c r="CP85" s="1257"/>
      <c r="CQ85" s="1257"/>
      <c r="CR85" s="1257"/>
      <c r="CS85" s="1257"/>
      <c r="CT85" s="1257"/>
      <c r="CU85" s="1257"/>
      <c r="CV85" s="1257"/>
      <c r="CW85" s="1257"/>
      <c r="CX85" s="1257"/>
      <c r="CY85" s="1257"/>
      <c r="CZ85" s="1257"/>
      <c r="DA85" s="1257"/>
      <c r="DB85" s="1257"/>
      <c r="DC85" s="1257"/>
      <c r="DD85" s="1257"/>
      <c r="DE85" s="1257"/>
      <c r="DF85" s="1257"/>
      <c r="DG85" s="1257"/>
      <c r="DH85" s="1257"/>
      <c r="DI85" s="1257"/>
      <c r="DJ85" s="1257"/>
      <c r="DK85" s="1257"/>
      <c r="DL85" s="1258"/>
    </row>
    <row r="86" spans="1:165" ht="7.5" customHeight="1">
      <c r="B86" s="1240"/>
      <c r="C86" s="1241"/>
      <c r="D86" s="1241"/>
      <c r="E86" s="1241"/>
      <c r="F86" s="1241"/>
      <c r="G86" s="1241"/>
      <c r="H86" s="1241"/>
      <c r="I86" s="1241"/>
      <c r="J86" s="1241"/>
      <c r="K86" s="1241"/>
      <c r="L86" s="1242"/>
      <c r="M86" s="1249"/>
      <c r="N86" s="1250"/>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1"/>
      <c r="AL86" s="1259"/>
      <c r="AM86" s="1257"/>
      <c r="AN86" s="1257"/>
      <c r="AO86" s="1257"/>
      <c r="AP86" s="1257"/>
      <c r="AQ86" s="1257"/>
      <c r="AR86" s="1257"/>
      <c r="AS86" s="1257"/>
      <c r="AT86" s="1257"/>
      <c r="AU86" s="1257"/>
      <c r="AV86" s="1257"/>
      <c r="AW86" s="1257"/>
      <c r="AX86" s="1257"/>
      <c r="AY86" s="1257"/>
      <c r="AZ86" s="1257"/>
      <c r="BA86" s="1257"/>
      <c r="BB86" s="1257"/>
      <c r="BC86" s="1257"/>
      <c r="BD86" s="1257"/>
      <c r="BE86" s="1257"/>
      <c r="BF86" s="1257"/>
      <c r="BG86" s="1257"/>
      <c r="BH86" s="1257"/>
      <c r="BI86" s="1257"/>
      <c r="BJ86" s="1257"/>
      <c r="BK86" s="1257"/>
      <c r="BL86" s="1257"/>
      <c r="BM86" s="1257"/>
      <c r="BN86" s="1257"/>
      <c r="BO86" s="1257"/>
      <c r="BP86" s="1257"/>
      <c r="BQ86" s="1257"/>
      <c r="BR86" s="1257"/>
      <c r="BS86" s="1257"/>
      <c r="BT86" s="1257"/>
      <c r="BU86" s="1257"/>
      <c r="BV86" s="1257"/>
      <c r="BW86" s="1257"/>
      <c r="BX86" s="1257"/>
      <c r="BY86" s="1257"/>
      <c r="BZ86" s="1257"/>
      <c r="CA86" s="1257"/>
      <c r="CB86" s="1257"/>
      <c r="CC86" s="1257"/>
      <c r="CD86" s="1257"/>
      <c r="CE86" s="1257"/>
      <c r="CF86" s="1257"/>
      <c r="CG86" s="1257"/>
      <c r="CH86" s="1257"/>
      <c r="CI86" s="1257"/>
      <c r="CJ86" s="1257"/>
      <c r="CK86" s="1257"/>
      <c r="CL86" s="1257"/>
      <c r="CM86" s="1257"/>
      <c r="CN86" s="1257"/>
      <c r="CO86" s="1257"/>
      <c r="CP86" s="1257"/>
      <c r="CQ86" s="1257"/>
      <c r="CR86" s="1257"/>
      <c r="CS86" s="1257"/>
      <c r="CT86" s="1257"/>
      <c r="CU86" s="1257"/>
      <c r="CV86" s="1257"/>
      <c r="CW86" s="1257"/>
      <c r="CX86" s="1257"/>
      <c r="CY86" s="1257"/>
      <c r="CZ86" s="1257"/>
      <c r="DA86" s="1257"/>
      <c r="DB86" s="1257"/>
      <c r="DC86" s="1257"/>
      <c r="DD86" s="1257"/>
      <c r="DE86" s="1257"/>
      <c r="DF86" s="1257"/>
      <c r="DG86" s="1257"/>
      <c r="DH86" s="1257"/>
      <c r="DI86" s="1257"/>
      <c r="DJ86" s="1257"/>
      <c r="DK86" s="1257"/>
      <c r="DL86" s="1258"/>
    </row>
    <row r="87" spans="1:165" ht="7.5" customHeight="1" thickBot="1">
      <c r="B87" s="1243"/>
      <c r="C87" s="1244"/>
      <c r="D87" s="1244"/>
      <c r="E87" s="1244"/>
      <c r="F87" s="1244"/>
      <c r="G87" s="1244"/>
      <c r="H87" s="1244"/>
      <c r="I87" s="1244"/>
      <c r="J87" s="1244"/>
      <c r="K87" s="1244"/>
      <c r="L87" s="1245"/>
      <c r="M87" s="1252"/>
      <c r="N87" s="1253"/>
      <c r="O87" s="1253"/>
      <c r="P87" s="1253"/>
      <c r="Q87" s="1253"/>
      <c r="R87" s="1253"/>
      <c r="S87" s="1253"/>
      <c r="T87" s="1253"/>
      <c r="U87" s="1253"/>
      <c r="V87" s="1253"/>
      <c r="W87" s="1253"/>
      <c r="X87" s="1253"/>
      <c r="Y87" s="1253"/>
      <c r="Z87" s="1253"/>
      <c r="AA87" s="1253"/>
      <c r="AB87" s="1253"/>
      <c r="AC87" s="1253"/>
      <c r="AD87" s="1253"/>
      <c r="AE87" s="1253"/>
      <c r="AF87" s="1253"/>
      <c r="AG87" s="1253"/>
      <c r="AH87" s="1253"/>
      <c r="AI87" s="1253"/>
      <c r="AJ87" s="1253"/>
      <c r="AK87" s="1254"/>
      <c r="AL87" s="1260"/>
      <c r="AM87" s="1261"/>
      <c r="AN87" s="1261"/>
      <c r="AO87" s="1261"/>
      <c r="AP87" s="1261"/>
      <c r="AQ87" s="1261"/>
      <c r="AR87" s="1261"/>
      <c r="AS87" s="1261"/>
      <c r="AT87" s="1261"/>
      <c r="AU87" s="1261"/>
      <c r="AV87" s="1261"/>
      <c r="AW87" s="1261"/>
      <c r="AX87" s="1261"/>
      <c r="AY87" s="1261"/>
      <c r="AZ87" s="1261"/>
      <c r="BA87" s="1261"/>
      <c r="BB87" s="1261"/>
      <c r="BC87" s="1261"/>
      <c r="BD87" s="1261"/>
      <c r="BE87" s="1261"/>
      <c r="BF87" s="1261"/>
      <c r="BG87" s="1261"/>
      <c r="BH87" s="1261"/>
      <c r="BI87" s="1261"/>
      <c r="BJ87" s="1261"/>
      <c r="BK87" s="1261"/>
      <c r="BL87" s="1261"/>
      <c r="BM87" s="1261"/>
      <c r="BN87" s="1261"/>
      <c r="BO87" s="1261"/>
      <c r="BP87" s="1261"/>
      <c r="BQ87" s="1261"/>
      <c r="BR87" s="1261"/>
      <c r="BS87" s="1261"/>
      <c r="BT87" s="1261"/>
      <c r="BU87" s="1261"/>
      <c r="BV87" s="1261"/>
      <c r="BW87" s="1261"/>
      <c r="BX87" s="1261"/>
      <c r="BY87" s="1261"/>
      <c r="BZ87" s="1261"/>
      <c r="CA87" s="1261"/>
      <c r="CB87" s="1261"/>
      <c r="CC87" s="1261"/>
      <c r="CD87" s="1261"/>
      <c r="CE87" s="1261"/>
      <c r="CF87" s="1261"/>
      <c r="CG87" s="1261"/>
      <c r="CH87" s="1261"/>
      <c r="CI87" s="1261"/>
      <c r="CJ87" s="1261"/>
      <c r="CK87" s="1261"/>
      <c r="CL87" s="1261"/>
      <c r="CM87" s="1261"/>
      <c r="CN87" s="1261"/>
      <c r="CO87" s="1261"/>
      <c r="CP87" s="1261"/>
      <c r="CQ87" s="1261"/>
      <c r="CR87" s="1261"/>
      <c r="CS87" s="1261"/>
      <c r="CT87" s="1261"/>
      <c r="CU87" s="1261"/>
      <c r="CV87" s="1261"/>
      <c r="CW87" s="1261"/>
      <c r="CX87" s="1261"/>
      <c r="CY87" s="1261"/>
      <c r="CZ87" s="1261"/>
      <c r="DA87" s="1261"/>
      <c r="DB87" s="1261"/>
      <c r="DC87" s="1261"/>
      <c r="DD87" s="1261"/>
      <c r="DE87" s="1261"/>
      <c r="DF87" s="1261"/>
      <c r="DG87" s="1261"/>
      <c r="DH87" s="1261"/>
      <c r="DI87" s="1261"/>
      <c r="DJ87" s="1261"/>
      <c r="DK87" s="1261"/>
      <c r="DL87" s="1262"/>
      <c r="DS87" s="109"/>
    </row>
    <row r="88" spans="1:165" ht="4.5" customHeight="1" thickTop="1" thickBot="1">
      <c r="BR88" s="562"/>
      <c r="BS88" s="562"/>
      <c r="BT88" s="562"/>
      <c r="BU88" s="562"/>
      <c r="BV88" s="562"/>
      <c r="BW88" s="562"/>
      <c r="BX88" s="562"/>
      <c r="BY88" s="562"/>
      <c r="BZ88" s="562"/>
      <c r="CA88" s="562"/>
      <c r="CV88" s="571"/>
      <c r="CW88" s="571"/>
      <c r="CX88" s="571"/>
      <c r="CY88" s="571"/>
      <c r="CZ88" s="571"/>
      <c r="DA88" s="571"/>
      <c r="DB88" s="571"/>
      <c r="DC88" s="571"/>
      <c r="DD88" s="571"/>
      <c r="DE88" s="571"/>
      <c r="DF88" s="571"/>
      <c r="DG88" s="571"/>
      <c r="DH88" s="571"/>
      <c r="DT88" s="109"/>
    </row>
    <row r="89" spans="1:165" s="200" customFormat="1" ht="7.5" customHeight="1">
      <c r="A89" s="199"/>
      <c r="B89" s="1289" t="s">
        <v>1522</v>
      </c>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c r="AG89" s="1290"/>
      <c r="AH89" s="1290"/>
      <c r="AI89" s="1290"/>
      <c r="AJ89" s="1290"/>
      <c r="AK89" s="1290"/>
      <c r="AL89" s="1290"/>
      <c r="AM89" s="1290"/>
      <c r="AN89" s="1290"/>
      <c r="AO89" s="1290"/>
      <c r="AP89" s="1290"/>
      <c r="AQ89" s="1290"/>
      <c r="AR89" s="1290"/>
      <c r="AS89" s="1290"/>
      <c r="AT89" s="1290"/>
      <c r="AU89" s="1290"/>
      <c r="AV89" s="1290"/>
      <c r="AW89" s="1290"/>
      <c r="AX89" s="1290"/>
      <c r="AY89" s="1290"/>
      <c r="AZ89" s="1290"/>
      <c r="BA89" s="1290"/>
      <c r="BB89" s="1290"/>
      <c r="BC89" s="1290"/>
      <c r="BD89" s="1290"/>
      <c r="BE89" s="1290"/>
      <c r="BF89" s="1290"/>
      <c r="BG89" s="1290"/>
      <c r="BH89" s="1290"/>
      <c r="BI89" s="1290"/>
      <c r="BJ89" s="1290"/>
      <c r="BK89" s="1290"/>
      <c r="BL89" s="1290"/>
      <c r="BM89" s="1290"/>
      <c r="BN89" s="1290"/>
      <c r="BO89" s="1290"/>
      <c r="BP89" s="1290"/>
      <c r="BQ89" s="1290"/>
      <c r="BR89" s="1290"/>
      <c r="BS89" s="1290"/>
      <c r="BT89" s="1290"/>
      <c r="BU89" s="1290"/>
      <c r="BV89" s="1290"/>
      <c r="BW89" s="1290"/>
      <c r="BX89" s="1290"/>
      <c r="BY89" s="1290"/>
      <c r="BZ89" s="1290"/>
      <c r="CA89" s="1290"/>
      <c r="CB89" s="1290"/>
      <c r="CC89" s="1290"/>
      <c r="CD89" s="1290"/>
      <c r="CE89" s="1290"/>
      <c r="CF89" s="1290"/>
      <c r="CG89" s="1290"/>
      <c r="CH89" s="1290"/>
      <c r="CI89" s="1290"/>
      <c r="CJ89" s="1290"/>
      <c r="CK89" s="1290"/>
      <c r="CL89" s="1290"/>
      <c r="CM89" s="1290"/>
      <c r="CN89" s="1290"/>
      <c r="CO89" s="1290"/>
      <c r="CP89" s="1290"/>
      <c r="CQ89" s="1290"/>
      <c r="CR89" s="1290"/>
      <c r="CS89" s="1290"/>
      <c r="CT89" s="1290"/>
      <c r="CU89" s="1290"/>
      <c r="CV89" s="1290"/>
      <c r="CW89" s="1290"/>
      <c r="CX89" s="1290"/>
      <c r="CY89" s="1290"/>
      <c r="CZ89" s="1290"/>
      <c r="DA89" s="1290"/>
      <c r="DB89" s="1290"/>
      <c r="DC89" s="1290"/>
      <c r="DD89" s="1290"/>
      <c r="DE89" s="1290"/>
      <c r="DF89" s="1290"/>
      <c r="DG89" s="1290"/>
      <c r="DH89" s="1290"/>
      <c r="DI89" s="1290"/>
      <c r="DJ89" s="1290"/>
      <c r="DK89" s="1290"/>
      <c r="DL89" s="1291"/>
      <c r="DM89" s="202"/>
      <c r="DN89" s="45"/>
      <c r="DO89" s="45"/>
      <c r="DP89" s="45"/>
      <c r="DQ89" s="45"/>
      <c r="DR89" s="45"/>
      <c r="DS89" s="109"/>
      <c r="DT89" s="45"/>
      <c r="DU89" s="45"/>
      <c r="DV89" s="45"/>
      <c r="DW89" s="45"/>
      <c r="DX89" s="45"/>
      <c r="DY89" s="45"/>
      <c r="DZ89" s="45"/>
      <c r="EA89" s="45"/>
      <c r="EB89" s="45"/>
      <c r="EC89" s="45"/>
      <c r="ED89" s="45"/>
      <c r="EE89" s="45"/>
      <c r="EF89" s="45"/>
      <c r="EG89" s="45"/>
      <c r="EH89" s="45"/>
      <c r="EI89" s="45"/>
      <c r="EJ89" s="45"/>
      <c r="EK89" s="45"/>
      <c r="EL89" s="45"/>
      <c r="EM89" s="45"/>
      <c r="EN89" s="45"/>
      <c r="EO89" s="45"/>
      <c r="EP89" s="45"/>
      <c r="EQ89" s="45"/>
      <c r="ER89" s="45"/>
      <c r="ES89" s="45"/>
      <c r="ET89" s="45"/>
      <c r="EU89" s="45"/>
      <c r="EV89" s="45"/>
      <c r="EW89" s="45"/>
      <c r="EX89" s="45"/>
      <c r="EY89" s="45"/>
      <c r="EZ89" s="45"/>
      <c r="FA89" s="45"/>
      <c r="FB89" s="45"/>
      <c r="FC89" s="45"/>
      <c r="FD89" s="45"/>
      <c r="FE89" s="45"/>
      <c r="FF89" s="45"/>
      <c r="FG89" s="45"/>
      <c r="FH89" s="45"/>
      <c r="FI89" s="45"/>
    </row>
    <row r="90" spans="1:165" s="200" customFormat="1" ht="7.5" customHeight="1" thickBot="1">
      <c r="A90" s="199"/>
      <c r="B90" s="1292"/>
      <c r="C90" s="1293"/>
      <c r="D90" s="1293"/>
      <c r="E90" s="1293"/>
      <c r="F90" s="1293"/>
      <c r="G90" s="1293"/>
      <c r="H90" s="1293"/>
      <c r="I90" s="1293"/>
      <c r="J90" s="1293"/>
      <c r="K90" s="1293"/>
      <c r="L90" s="1293"/>
      <c r="M90" s="1293"/>
      <c r="N90" s="1293"/>
      <c r="O90" s="1293"/>
      <c r="P90" s="1293"/>
      <c r="Q90" s="1293"/>
      <c r="R90" s="1293"/>
      <c r="S90" s="1293"/>
      <c r="T90" s="1293"/>
      <c r="U90" s="1293"/>
      <c r="V90" s="1293"/>
      <c r="W90" s="1293"/>
      <c r="X90" s="1293"/>
      <c r="Y90" s="1293"/>
      <c r="Z90" s="1293"/>
      <c r="AA90" s="1293"/>
      <c r="AB90" s="1293"/>
      <c r="AC90" s="1293"/>
      <c r="AD90" s="1293"/>
      <c r="AE90" s="1293"/>
      <c r="AF90" s="1293"/>
      <c r="AG90" s="1293"/>
      <c r="AH90" s="1293"/>
      <c r="AI90" s="1293"/>
      <c r="AJ90" s="1293"/>
      <c r="AK90" s="1293"/>
      <c r="AL90" s="1293"/>
      <c r="AM90" s="1293"/>
      <c r="AN90" s="1293"/>
      <c r="AO90" s="1293"/>
      <c r="AP90" s="1293"/>
      <c r="AQ90" s="1293"/>
      <c r="AR90" s="1293"/>
      <c r="AS90" s="1293"/>
      <c r="AT90" s="1293"/>
      <c r="AU90" s="1293"/>
      <c r="AV90" s="1293"/>
      <c r="AW90" s="1293"/>
      <c r="AX90" s="1293"/>
      <c r="AY90" s="1293"/>
      <c r="AZ90" s="1293"/>
      <c r="BA90" s="1293"/>
      <c r="BB90" s="1293"/>
      <c r="BC90" s="1293"/>
      <c r="BD90" s="1293"/>
      <c r="BE90" s="1293"/>
      <c r="BF90" s="1293"/>
      <c r="BG90" s="1293"/>
      <c r="BH90" s="1293"/>
      <c r="BI90" s="1293"/>
      <c r="BJ90" s="1293"/>
      <c r="BK90" s="1293"/>
      <c r="BL90" s="1293"/>
      <c r="BM90" s="1293"/>
      <c r="BN90" s="1293"/>
      <c r="BO90" s="1293"/>
      <c r="BP90" s="1293"/>
      <c r="BQ90" s="1293"/>
      <c r="BR90" s="1293"/>
      <c r="BS90" s="1293"/>
      <c r="BT90" s="1293"/>
      <c r="BU90" s="1293"/>
      <c r="BV90" s="1293"/>
      <c r="BW90" s="1293"/>
      <c r="BX90" s="1293"/>
      <c r="BY90" s="1293"/>
      <c r="BZ90" s="1293"/>
      <c r="CA90" s="1293"/>
      <c r="CB90" s="1293"/>
      <c r="CC90" s="1293"/>
      <c r="CD90" s="1293"/>
      <c r="CE90" s="1293"/>
      <c r="CF90" s="1293"/>
      <c r="CG90" s="1293"/>
      <c r="CH90" s="1293"/>
      <c r="CI90" s="1293"/>
      <c r="CJ90" s="1293"/>
      <c r="CK90" s="1293"/>
      <c r="CL90" s="1293"/>
      <c r="CM90" s="1293"/>
      <c r="CN90" s="1293"/>
      <c r="CO90" s="1293"/>
      <c r="CP90" s="1293"/>
      <c r="CQ90" s="1293"/>
      <c r="CR90" s="1293"/>
      <c r="CS90" s="1293"/>
      <c r="CT90" s="1293"/>
      <c r="CU90" s="1293"/>
      <c r="CV90" s="1293"/>
      <c r="CW90" s="1293"/>
      <c r="CX90" s="1293"/>
      <c r="CY90" s="1293"/>
      <c r="CZ90" s="1293"/>
      <c r="DA90" s="1293"/>
      <c r="DB90" s="1293"/>
      <c r="DC90" s="1293"/>
      <c r="DD90" s="1293"/>
      <c r="DE90" s="1293"/>
      <c r="DF90" s="1293"/>
      <c r="DG90" s="1293"/>
      <c r="DH90" s="1293"/>
      <c r="DI90" s="1293"/>
      <c r="DJ90" s="1293"/>
      <c r="DK90" s="1293"/>
      <c r="DL90" s="1294"/>
      <c r="DM90" s="202"/>
      <c r="DN90" s="45"/>
      <c r="DO90" s="45"/>
      <c r="DP90" s="45"/>
      <c r="DQ90" s="109"/>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row>
    <row r="91" spans="1:165" ht="7.5" customHeight="1" thickTop="1">
      <c r="B91" s="1295" t="s">
        <v>241</v>
      </c>
      <c r="C91" s="1296"/>
      <c r="D91" s="1296"/>
      <c r="E91" s="1296"/>
      <c r="F91" s="1296"/>
      <c r="G91" s="1296"/>
      <c r="H91" s="1296"/>
      <c r="I91" s="1296"/>
      <c r="J91" s="1299"/>
      <c r="K91" s="1300"/>
      <c r="L91" s="1300"/>
      <c r="M91" s="1300"/>
      <c r="N91" s="1300"/>
      <c r="O91" s="1300"/>
      <c r="P91" s="1300"/>
      <c r="Q91" s="1300"/>
      <c r="R91" s="1300"/>
      <c r="S91" s="1300"/>
      <c r="T91" s="1300"/>
      <c r="U91" s="1301"/>
      <c r="V91" s="1305" t="s">
        <v>1549</v>
      </c>
      <c r="W91" s="1238"/>
      <c r="X91" s="1238"/>
      <c r="Y91" s="1238"/>
      <c r="Z91" s="1238"/>
      <c r="AA91" s="1238"/>
      <c r="AB91" s="1238"/>
      <c r="AC91" s="1239"/>
      <c r="AD91" s="1300"/>
      <c r="AE91" s="1300"/>
      <c r="AF91" s="1300"/>
      <c r="AG91" s="1300"/>
      <c r="AH91" s="1300"/>
      <c r="AI91" s="1300"/>
      <c r="AJ91" s="1300"/>
      <c r="AK91" s="1300"/>
      <c r="AL91" s="1300"/>
      <c r="AM91" s="1300"/>
      <c r="AN91" s="1300"/>
      <c r="AO91" s="1300"/>
      <c r="AP91" s="1300"/>
      <c r="AQ91" s="1300"/>
      <c r="AR91" s="1300"/>
      <c r="AS91" s="1305" t="s">
        <v>391</v>
      </c>
      <c r="AT91" s="1238"/>
      <c r="AU91" s="1238"/>
      <c r="AV91" s="1238"/>
      <c r="AW91" s="1238"/>
      <c r="AX91" s="1238"/>
      <c r="AY91" s="1238"/>
      <c r="AZ91" s="1239"/>
      <c r="BA91" s="1307"/>
      <c r="BB91" s="1308"/>
      <c r="BC91" s="1308"/>
      <c r="BD91" s="1308"/>
      <c r="BE91" s="1308"/>
      <c r="BF91" s="1309"/>
      <c r="BG91" s="1305" t="s">
        <v>246</v>
      </c>
      <c r="BH91" s="1238"/>
      <c r="BI91" s="1238"/>
      <c r="BJ91" s="1238"/>
      <c r="BK91" s="1238"/>
      <c r="BL91" s="1238"/>
      <c r="BM91" s="1238"/>
      <c r="BN91" s="1239"/>
      <c r="BO91" s="1363"/>
      <c r="BP91" s="1364"/>
      <c r="BQ91" s="1365"/>
      <c r="BR91" s="1305" t="s">
        <v>392</v>
      </c>
      <c r="BS91" s="1372"/>
      <c r="BT91" s="1372"/>
      <c r="BU91" s="1372"/>
      <c r="BV91" s="1372"/>
      <c r="BW91" s="1372"/>
      <c r="BX91" s="1372"/>
      <c r="BY91" s="1373"/>
      <c r="BZ91" s="1395"/>
      <c r="CA91" s="1396"/>
      <c r="CB91" s="1396"/>
      <c r="CC91" s="1396"/>
      <c r="CD91" s="1396"/>
      <c r="CE91" s="1396"/>
      <c r="CF91" s="1396"/>
      <c r="CG91" s="1396"/>
      <c r="CH91" s="1396"/>
      <c r="CI91" s="1396"/>
      <c r="CJ91" s="1396"/>
      <c r="CK91" s="1396"/>
      <c r="CL91" s="1396"/>
      <c r="CM91" s="1396"/>
      <c r="CN91" s="1396"/>
      <c r="CO91" s="1396"/>
      <c r="CP91" s="1396"/>
      <c r="CQ91" s="1396"/>
      <c r="CR91" s="1396"/>
      <c r="CS91" s="1396"/>
      <c r="CT91" s="1396"/>
      <c r="CU91" s="1396"/>
      <c r="CV91" s="1396"/>
      <c r="CW91" s="1396"/>
      <c r="CX91" s="1397"/>
      <c r="CY91" s="1404" t="s">
        <v>38</v>
      </c>
      <c r="CZ91" s="1238"/>
      <c r="DA91" s="1238"/>
      <c r="DB91" s="1238"/>
      <c r="DC91" s="1238"/>
      <c r="DD91" s="1238"/>
      <c r="DE91" s="1238"/>
      <c r="DF91" s="1239"/>
      <c r="DG91" s="1299"/>
      <c r="DH91" s="1300"/>
      <c r="DI91" s="1300"/>
      <c r="DJ91" s="1300"/>
      <c r="DK91" s="1300"/>
      <c r="DL91" s="1407"/>
      <c r="DQ91" s="109"/>
    </row>
    <row r="92" spans="1:165" ht="7.5" customHeight="1">
      <c r="B92" s="1297"/>
      <c r="C92" s="1298"/>
      <c r="D92" s="1298"/>
      <c r="E92" s="1298"/>
      <c r="F92" s="1298"/>
      <c r="G92" s="1298"/>
      <c r="H92" s="1298"/>
      <c r="I92" s="1298"/>
      <c r="J92" s="1302"/>
      <c r="K92" s="1303"/>
      <c r="L92" s="1303"/>
      <c r="M92" s="1303"/>
      <c r="N92" s="1303"/>
      <c r="O92" s="1303"/>
      <c r="P92" s="1303"/>
      <c r="Q92" s="1303"/>
      <c r="R92" s="1303"/>
      <c r="S92" s="1303"/>
      <c r="T92" s="1303"/>
      <c r="U92" s="1304"/>
      <c r="V92" s="1306"/>
      <c r="W92" s="1241"/>
      <c r="X92" s="1241"/>
      <c r="Y92" s="1241"/>
      <c r="Z92" s="1241"/>
      <c r="AA92" s="1241"/>
      <c r="AB92" s="1241"/>
      <c r="AC92" s="1242"/>
      <c r="AD92" s="1303"/>
      <c r="AE92" s="1303"/>
      <c r="AF92" s="1303"/>
      <c r="AG92" s="1303"/>
      <c r="AH92" s="1303"/>
      <c r="AI92" s="1303"/>
      <c r="AJ92" s="1303"/>
      <c r="AK92" s="1303"/>
      <c r="AL92" s="1303"/>
      <c r="AM92" s="1303"/>
      <c r="AN92" s="1303"/>
      <c r="AO92" s="1303"/>
      <c r="AP92" s="1303"/>
      <c r="AQ92" s="1303"/>
      <c r="AR92" s="1303"/>
      <c r="AS92" s="1306"/>
      <c r="AT92" s="1241"/>
      <c r="AU92" s="1241"/>
      <c r="AV92" s="1241"/>
      <c r="AW92" s="1241"/>
      <c r="AX92" s="1241"/>
      <c r="AY92" s="1241"/>
      <c r="AZ92" s="1242"/>
      <c r="BA92" s="1310"/>
      <c r="BB92" s="1311"/>
      <c r="BC92" s="1311"/>
      <c r="BD92" s="1311"/>
      <c r="BE92" s="1311"/>
      <c r="BF92" s="1312"/>
      <c r="BG92" s="1306"/>
      <c r="BH92" s="1241"/>
      <c r="BI92" s="1241"/>
      <c r="BJ92" s="1241"/>
      <c r="BK92" s="1241"/>
      <c r="BL92" s="1241"/>
      <c r="BM92" s="1241"/>
      <c r="BN92" s="1242"/>
      <c r="BO92" s="1366"/>
      <c r="BP92" s="1367"/>
      <c r="BQ92" s="1368"/>
      <c r="BR92" s="1374"/>
      <c r="BS92" s="1375"/>
      <c r="BT92" s="1375"/>
      <c r="BU92" s="1375"/>
      <c r="BV92" s="1375"/>
      <c r="BW92" s="1375"/>
      <c r="BX92" s="1375"/>
      <c r="BY92" s="1376"/>
      <c r="BZ92" s="1398"/>
      <c r="CA92" s="1399"/>
      <c r="CB92" s="1399"/>
      <c r="CC92" s="1399"/>
      <c r="CD92" s="1399"/>
      <c r="CE92" s="1399"/>
      <c r="CF92" s="1399"/>
      <c r="CG92" s="1399"/>
      <c r="CH92" s="1399"/>
      <c r="CI92" s="1399"/>
      <c r="CJ92" s="1399"/>
      <c r="CK92" s="1399"/>
      <c r="CL92" s="1399"/>
      <c r="CM92" s="1399"/>
      <c r="CN92" s="1399"/>
      <c r="CO92" s="1399"/>
      <c r="CP92" s="1399"/>
      <c r="CQ92" s="1399"/>
      <c r="CR92" s="1399"/>
      <c r="CS92" s="1399"/>
      <c r="CT92" s="1399"/>
      <c r="CU92" s="1399"/>
      <c r="CV92" s="1399"/>
      <c r="CW92" s="1399"/>
      <c r="CX92" s="1400"/>
      <c r="CY92" s="1405"/>
      <c r="CZ92" s="1241"/>
      <c r="DA92" s="1241"/>
      <c r="DB92" s="1241"/>
      <c r="DC92" s="1241"/>
      <c r="DD92" s="1241"/>
      <c r="DE92" s="1241"/>
      <c r="DF92" s="1242"/>
      <c r="DG92" s="1302"/>
      <c r="DH92" s="1303"/>
      <c r="DI92" s="1303"/>
      <c r="DJ92" s="1303"/>
      <c r="DK92" s="1303"/>
      <c r="DL92" s="1408"/>
    </row>
    <row r="93" spans="1:165" ht="7.5" customHeight="1">
      <c r="B93" s="1297"/>
      <c r="C93" s="1298"/>
      <c r="D93" s="1298"/>
      <c r="E93" s="1298"/>
      <c r="F93" s="1298"/>
      <c r="G93" s="1298"/>
      <c r="H93" s="1298"/>
      <c r="I93" s="1298"/>
      <c r="J93" s="1302"/>
      <c r="K93" s="1303"/>
      <c r="L93" s="1303"/>
      <c r="M93" s="1303"/>
      <c r="N93" s="1303"/>
      <c r="O93" s="1303"/>
      <c r="P93" s="1303"/>
      <c r="Q93" s="1303"/>
      <c r="R93" s="1303"/>
      <c r="S93" s="1303"/>
      <c r="T93" s="1303"/>
      <c r="U93" s="1304"/>
      <c r="V93" s="1306"/>
      <c r="W93" s="1241"/>
      <c r="X93" s="1241"/>
      <c r="Y93" s="1241"/>
      <c r="Z93" s="1241"/>
      <c r="AA93" s="1241"/>
      <c r="AB93" s="1241"/>
      <c r="AC93" s="1242"/>
      <c r="AD93" s="1303"/>
      <c r="AE93" s="1303"/>
      <c r="AF93" s="1303"/>
      <c r="AG93" s="1303"/>
      <c r="AH93" s="1303"/>
      <c r="AI93" s="1303"/>
      <c r="AJ93" s="1303"/>
      <c r="AK93" s="1303"/>
      <c r="AL93" s="1303"/>
      <c r="AM93" s="1303"/>
      <c r="AN93" s="1303"/>
      <c r="AO93" s="1303"/>
      <c r="AP93" s="1303"/>
      <c r="AQ93" s="1303"/>
      <c r="AR93" s="1303"/>
      <c r="AS93" s="1306"/>
      <c r="AT93" s="1241"/>
      <c r="AU93" s="1241"/>
      <c r="AV93" s="1241"/>
      <c r="AW93" s="1241"/>
      <c r="AX93" s="1241"/>
      <c r="AY93" s="1241"/>
      <c r="AZ93" s="1242"/>
      <c r="BA93" s="1313"/>
      <c r="BB93" s="1314"/>
      <c r="BC93" s="1315"/>
      <c r="BD93" s="1315"/>
      <c r="BE93" s="1315"/>
      <c r="BF93" s="1316"/>
      <c r="BG93" s="1362"/>
      <c r="BH93" s="1275"/>
      <c r="BI93" s="1275"/>
      <c r="BJ93" s="1275"/>
      <c r="BK93" s="1275"/>
      <c r="BL93" s="1275"/>
      <c r="BM93" s="1275"/>
      <c r="BN93" s="1276"/>
      <c r="BO93" s="1369"/>
      <c r="BP93" s="1370"/>
      <c r="BQ93" s="1371"/>
      <c r="BR93" s="1377"/>
      <c r="BS93" s="1378"/>
      <c r="BT93" s="1378"/>
      <c r="BU93" s="1378"/>
      <c r="BV93" s="1378"/>
      <c r="BW93" s="1378"/>
      <c r="BX93" s="1378"/>
      <c r="BY93" s="1379"/>
      <c r="BZ93" s="1401"/>
      <c r="CA93" s="1402"/>
      <c r="CB93" s="1402"/>
      <c r="CC93" s="1402"/>
      <c r="CD93" s="1402"/>
      <c r="CE93" s="1402"/>
      <c r="CF93" s="1402"/>
      <c r="CG93" s="1402"/>
      <c r="CH93" s="1402"/>
      <c r="CI93" s="1402"/>
      <c r="CJ93" s="1402"/>
      <c r="CK93" s="1402"/>
      <c r="CL93" s="1402"/>
      <c r="CM93" s="1402"/>
      <c r="CN93" s="1402"/>
      <c r="CO93" s="1402"/>
      <c r="CP93" s="1402"/>
      <c r="CQ93" s="1402"/>
      <c r="CR93" s="1402"/>
      <c r="CS93" s="1402"/>
      <c r="CT93" s="1402"/>
      <c r="CU93" s="1402"/>
      <c r="CV93" s="1402"/>
      <c r="CW93" s="1402"/>
      <c r="CX93" s="1403"/>
      <c r="CY93" s="1406"/>
      <c r="CZ93" s="1275"/>
      <c r="DA93" s="1275"/>
      <c r="DB93" s="1275"/>
      <c r="DC93" s="1275"/>
      <c r="DD93" s="1275"/>
      <c r="DE93" s="1275"/>
      <c r="DF93" s="1276"/>
      <c r="DG93" s="1409"/>
      <c r="DH93" s="1410"/>
      <c r="DI93" s="1410"/>
      <c r="DJ93" s="1410"/>
      <c r="DK93" s="1410"/>
      <c r="DL93" s="1411"/>
    </row>
    <row r="94" spans="1:165" ht="7.5" customHeight="1">
      <c r="B94" s="1240" t="s">
        <v>393</v>
      </c>
      <c r="C94" s="1241"/>
      <c r="D94" s="1241"/>
      <c r="E94" s="1241"/>
      <c r="F94" s="1241"/>
      <c r="G94" s="1241"/>
      <c r="H94" s="1241"/>
      <c r="I94" s="1242"/>
      <c r="J94" s="1338">
        <v>20</v>
      </c>
      <c r="K94" s="1338"/>
      <c r="L94" s="1338"/>
      <c r="M94" s="1338"/>
      <c r="N94" s="1340"/>
      <c r="O94" s="1340"/>
      <c r="P94" s="1340"/>
      <c r="Q94" s="1340"/>
      <c r="R94" s="1342" t="s">
        <v>0</v>
      </c>
      <c r="S94" s="1342"/>
      <c r="T94" s="1342"/>
      <c r="U94" s="1344"/>
      <c r="V94" s="1344"/>
      <c r="W94" s="1344"/>
      <c r="X94" s="1344"/>
      <c r="Y94" s="1342" t="s">
        <v>1</v>
      </c>
      <c r="Z94" s="1342"/>
      <c r="AA94" s="1342"/>
      <c r="AB94" s="1346">
        <v>1</v>
      </c>
      <c r="AC94" s="1346"/>
      <c r="AD94" s="1346"/>
      <c r="AE94" s="1348" t="s">
        <v>394</v>
      </c>
      <c r="AF94" s="1348"/>
      <c r="AG94" s="1348"/>
      <c r="AH94" s="1349"/>
      <c r="AI94" s="1352" t="s">
        <v>1552</v>
      </c>
      <c r="AJ94" s="1353"/>
      <c r="AK94" s="1353"/>
      <c r="AL94" s="1353"/>
      <c r="AM94" s="1353"/>
      <c r="AN94" s="1353"/>
      <c r="AO94" s="1353"/>
      <c r="AP94" s="1353"/>
      <c r="AQ94" s="1353"/>
      <c r="AR94" s="1353"/>
      <c r="AS94" s="1353"/>
      <c r="AT94" s="1353"/>
      <c r="AU94" s="1353"/>
      <c r="AV94" s="1353"/>
      <c r="AW94" s="1353"/>
      <c r="AX94" s="1353"/>
      <c r="AY94" s="1353"/>
      <c r="AZ94" s="1353"/>
      <c r="BA94" s="1354"/>
      <c r="BB94" s="1354"/>
      <c r="BC94" s="1358" t="s">
        <v>1603</v>
      </c>
      <c r="BD94" s="1359"/>
      <c r="BE94" s="1359"/>
      <c r="BF94" s="1359"/>
      <c r="BG94" s="1359"/>
      <c r="BH94" s="1359"/>
      <c r="BI94" s="1359"/>
      <c r="BJ94" s="1359"/>
      <c r="BK94" s="1359"/>
      <c r="BL94" s="1359"/>
      <c r="BM94" s="1359"/>
      <c r="BN94" s="1359"/>
      <c r="BO94" s="1380"/>
      <c r="BP94" s="1380"/>
      <c r="BQ94" s="1381"/>
      <c r="BR94" s="1386" t="s">
        <v>1602</v>
      </c>
      <c r="BS94" s="1387"/>
      <c r="BT94" s="1387"/>
      <c r="BU94" s="1387"/>
      <c r="BV94" s="1387"/>
      <c r="BW94" s="1387"/>
      <c r="BX94" s="1387"/>
      <c r="BY94" s="1388"/>
      <c r="BZ94" s="1449"/>
      <c r="CA94" s="1450"/>
      <c r="CB94" s="1450"/>
      <c r="CC94" s="1450"/>
      <c r="CD94" s="1450"/>
      <c r="CE94" s="1450"/>
      <c r="CF94" s="1450"/>
      <c r="CG94" s="1450"/>
      <c r="CH94" s="1450"/>
      <c r="CI94" s="1450"/>
      <c r="CJ94" s="1450"/>
      <c r="CK94" s="1450"/>
      <c r="CL94" s="1450"/>
      <c r="CM94" s="1450"/>
      <c r="CN94" s="1450"/>
      <c r="CO94" s="1450"/>
      <c r="CP94" s="1450"/>
      <c r="CQ94" s="1450"/>
      <c r="CR94" s="1450"/>
      <c r="CS94" s="1450"/>
      <c r="CT94" s="1450"/>
      <c r="CU94" s="1450"/>
      <c r="CV94" s="1450"/>
      <c r="CW94" s="1450"/>
      <c r="CX94" s="1451"/>
      <c r="CY94" s="1458"/>
      <c r="CZ94" s="1458"/>
      <c r="DA94" s="1458"/>
      <c r="DB94" s="1458"/>
      <c r="DC94" s="1458"/>
      <c r="DD94" s="1458"/>
      <c r="DE94" s="1458"/>
      <c r="DF94" s="1458"/>
      <c r="DG94" s="1458"/>
      <c r="DH94" s="1458"/>
      <c r="DI94" s="1458"/>
      <c r="DJ94" s="1458"/>
      <c r="DK94" s="1458"/>
      <c r="DL94" s="1458"/>
      <c r="DM94" s="692"/>
    </row>
    <row r="95" spans="1:165" ht="7.5" customHeight="1">
      <c r="B95" s="1240"/>
      <c r="C95" s="1241"/>
      <c r="D95" s="1241"/>
      <c r="E95" s="1241"/>
      <c r="F95" s="1241"/>
      <c r="G95" s="1241"/>
      <c r="H95" s="1241"/>
      <c r="I95" s="1242"/>
      <c r="J95" s="1338"/>
      <c r="K95" s="1338"/>
      <c r="L95" s="1338"/>
      <c r="M95" s="1338"/>
      <c r="N95" s="1340"/>
      <c r="O95" s="1340"/>
      <c r="P95" s="1340"/>
      <c r="Q95" s="1340"/>
      <c r="R95" s="1342"/>
      <c r="S95" s="1342"/>
      <c r="T95" s="1342"/>
      <c r="U95" s="1344"/>
      <c r="V95" s="1344"/>
      <c r="W95" s="1344"/>
      <c r="X95" s="1344"/>
      <c r="Y95" s="1342"/>
      <c r="Z95" s="1342"/>
      <c r="AA95" s="1342"/>
      <c r="AB95" s="1346"/>
      <c r="AC95" s="1346"/>
      <c r="AD95" s="1346"/>
      <c r="AE95" s="1348"/>
      <c r="AF95" s="1348"/>
      <c r="AG95" s="1348"/>
      <c r="AH95" s="1349"/>
      <c r="AI95" s="1355"/>
      <c r="AJ95" s="1354"/>
      <c r="AK95" s="1354"/>
      <c r="AL95" s="1354"/>
      <c r="AM95" s="1354"/>
      <c r="AN95" s="1354"/>
      <c r="AO95" s="1354"/>
      <c r="AP95" s="1354"/>
      <c r="AQ95" s="1354"/>
      <c r="AR95" s="1354"/>
      <c r="AS95" s="1354"/>
      <c r="AT95" s="1354"/>
      <c r="AU95" s="1354"/>
      <c r="AV95" s="1354"/>
      <c r="AW95" s="1354"/>
      <c r="AX95" s="1354"/>
      <c r="AY95" s="1354"/>
      <c r="AZ95" s="1354"/>
      <c r="BA95" s="1354"/>
      <c r="BB95" s="1354"/>
      <c r="BC95" s="1360"/>
      <c r="BD95" s="1360"/>
      <c r="BE95" s="1360"/>
      <c r="BF95" s="1360"/>
      <c r="BG95" s="1360"/>
      <c r="BH95" s="1360"/>
      <c r="BI95" s="1360"/>
      <c r="BJ95" s="1360"/>
      <c r="BK95" s="1360"/>
      <c r="BL95" s="1360"/>
      <c r="BM95" s="1360"/>
      <c r="BN95" s="1360"/>
      <c r="BO95" s="1382"/>
      <c r="BP95" s="1382"/>
      <c r="BQ95" s="1383"/>
      <c r="BR95" s="1389"/>
      <c r="BS95" s="1390"/>
      <c r="BT95" s="1390"/>
      <c r="BU95" s="1390"/>
      <c r="BV95" s="1390"/>
      <c r="BW95" s="1390"/>
      <c r="BX95" s="1390"/>
      <c r="BY95" s="1391"/>
      <c r="BZ95" s="1452"/>
      <c r="CA95" s="1453"/>
      <c r="CB95" s="1453"/>
      <c r="CC95" s="1453"/>
      <c r="CD95" s="1453"/>
      <c r="CE95" s="1453"/>
      <c r="CF95" s="1453"/>
      <c r="CG95" s="1453"/>
      <c r="CH95" s="1453"/>
      <c r="CI95" s="1453"/>
      <c r="CJ95" s="1453"/>
      <c r="CK95" s="1453"/>
      <c r="CL95" s="1453"/>
      <c r="CM95" s="1453"/>
      <c r="CN95" s="1453"/>
      <c r="CO95" s="1453"/>
      <c r="CP95" s="1453"/>
      <c r="CQ95" s="1453"/>
      <c r="CR95" s="1453"/>
      <c r="CS95" s="1453"/>
      <c r="CT95" s="1453"/>
      <c r="CU95" s="1453"/>
      <c r="CV95" s="1453"/>
      <c r="CW95" s="1453"/>
      <c r="CX95" s="1454"/>
      <c r="CY95" s="1459"/>
      <c r="CZ95" s="1459"/>
      <c r="DA95" s="1459"/>
      <c r="DB95" s="1459"/>
      <c r="DC95" s="1459"/>
      <c r="DD95" s="1459"/>
      <c r="DE95" s="1459"/>
      <c r="DF95" s="1459"/>
      <c r="DG95" s="1459"/>
      <c r="DH95" s="1459"/>
      <c r="DI95" s="1459"/>
      <c r="DJ95" s="1459"/>
      <c r="DK95" s="1459"/>
      <c r="DL95" s="1459"/>
      <c r="DM95" s="692"/>
      <c r="DQ95" s="109"/>
    </row>
    <row r="96" spans="1:165" ht="7.5" customHeight="1">
      <c r="B96" s="1335"/>
      <c r="C96" s="1336"/>
      <c r="D96" s="1336"/>
      <c r="E96" s="1336"/>
      <c r="F96" s="1336"/>
      <c r="G96" s="1336"/>
      <c r="H96" s="1336"/>
      <c r="I96" s="1337"/>
      <c r="J96" s="1339"/>
      <c r="K96" s="1339"/>
      <c r="L96" s="1339"/>
      <c r="M96" s="1339"/>
      <c r="N96" s="1341"/>
      <c r="O96" s="1341"/>
      <c r="P96" s="1341"/>
      <c r="Q96" s="1341"/>
      <c r="R96" s="1343"/>
      <c r="S96" s="1343"/>
      <c r="T96" s="1343"/>
      <c r="U96" s="1345"/>
      <c r="V96" s="1345"/>
      <c r="W96" s="1345"/>
      <c r="X96" s="1345"/>
      <c r="Y96" s="1343"/>
      <c r="Z96" s="1343"/>
      <c r="AA96" s="1343"/>
      <c r="AB96" s="1347"/>
      <c r="AC96" s="1347"/>
      <c r="AD96" s="1347"/>
      <c r="AE96" s="1350"/>
      <c r="AF96" s="1350"/>
      <c r="AG96" s="1350"/>
      <c r="AH96" s="1351"/>
      <c r="AI96" s="1356"/>
      <c r="AJ96" s="1357"/>
      <c r="AK96" s="1357"/>
      <c r="AL96" s="1357"/>
      <c r="AM96" s="1357"/>
      <c r="AN96" s="1357"/>
      <c r="AO96" s="1357"/>
      <c r="AP96" s="1357"/>
      <c r="AQ96" s="1357"/>
      <c r="AR96" s="1357"/>
      <c r="AS96" s="1357"/>
      <c r="AT96" s="1357"/>
      <c r="AU96" s="1357"/>
      <c r="AV96" s="1357"/>
      <c r="AW96" s="1357"/>
      <c r="AX96" s="1357"/>
      <c r="AY96" s="1357"/>
      <c r="AZ96" s="1357"/>
      <c r="BA96" s="1357"/>
      <c r="BB96" s="1357"/>
      <c r="BC96" s="1361"/>
      <c r="BD96" s="1361"/>
      <c r="BE96" s="1361"/>
      <c r="BF96" s="1361"/>
      <c r="BG96" s="1361"/>
      <c r="BH96" s="1361"/>
      <c r="BI96" s="1361"/>
      <c r="BJ96" s="1361"/>
      <c r="BK96" s="1361"/>
      <c r="BL96" s="1361"/>
      <c r="BM96" s="1361"/>
      <c r="BN96" s="1361"/>
      <c r="BO96" s="1384"/>
      <c r="BP96" s="1384"/>
      <c r="BQ96" s="1385"/>
      <c r="BR96" s="1392"/>
      <c r="BS96" s="1393"/>
      <c r="BT96" s="1393"/>
      <c r="BU96" s="1393"/>
      <c r="BV96" s="1393"/>
      <c r="BW96" s="1393"/>
      <c r="BX96" s="1393"/>
      <c r="BY96" s="1394"/>
      <c r="BZ96" s="1455"/>
      <c r="CA96" s="1456"/>
      <c r="CB96" s="1456"/>
      <c r="CC96" s="1456"/>
      <c r="CD96" s="1456"/>
      <c r="CE96" s="1456"/>
      <c r="CF96" s="1456"/>
      <c r="CG96" s="1456"/>
      <c r="CH96" s="1456"/>
      <c r="CI96" s="1456"/>
      <c r="CJ96" s="1456"/>
      <c r="CK96" s="1456"/>
      <c r="CL96" s="1456"/>
      <c r="CM96" s="1456"/>
      <c r="CN96" s="1456"/>
      <c r="CO96" s="1456"/>
      <c r="CP96" s="1456"/>
      <c r="CQ96" s="1456"/>
      <c r="CR96" s="1456"/>
      <c r="CS96" s="1456"/>
      <c r="CT96" s="1456"/>
      <c r="CU96" s="1456"/>
      <c r="CV96" s="1456"/>
      <c r="CW96" s="1456"/>
      <c r="CX96" s="1457"/>
      <c r="CY96" s="1460"/>
      <c r="CZ96" s="1460"/>
      <c r="DA96" s="1460"/>
      <c r="DB96" s="1460"/>
      <c r="DC96" s="1460"/>
      <c r="DD96" s="1460"/>
      <c r="DE96" s="1460"/>
      <c r="DF96" s="1460"/>
      <c r="DG96" s="1460"/>
      <c r="DH96" s="1460"/>
      <c r="DI96" s="1460"/>
      <c r="DJ96" s="1460"/>
      <c r="DK96" s="1460"/>
      <c r="DL96" s="1460"/>
      <c r="DM96" s="692"/>
    </row>
    <row r="97" spans="2:117" ht="7.5" customHeight="1">
      <c r="B97" s="1595" t="s">
        <v>1582</v>
      </c>
      <c r="C97" s="1596"/>
      <c r="D97" s="1596"/>
      <c r="E97" s="1596"/>
      <c r="F97" s="1596"/>
      <c r="G97" s="1596"/>
      <c r="H97" s="1596"/>
      <c r="I97" s="1596"/>
      <c r="J97" s="1412"/>
      <c r="K97" s="1413"/>
      <c r="L97" s="1413"/>
      <c r="M97" s="1413"/>
      <c r="N97" s="1413"/>
      <c r="O97" s="1413"/>
      <c r="P97" s="1413"/>
      <c r="Q97" s="1413"/>
      <c r="R97" s="1413"/>
      <c r="S97" s="1413"/>
      <c r="T97" s="1618"/>
      <c r="U97" s="1429" t="s">
        <v>1581</v>
      </c>
      <c r="V97" s="1430"/>
      <c r="W97" s="1430"/>
      <c r="X97" s="1430"/>
      <c r="Y97" s="1430"/>
      <c r="Z97" s="1430"/>
      <c r="AA97" s="1430"/>
      <c r="AB97" s="1430"/>
      <c r="AC97" s="1430"/>
      <c r="AD97" s="1430"/>
      <c r="AE97" s="1430"/>
      <c r="AF97" s="1431"/>
      <c r="AG97" s="1412"/>
      <c r="AH97" s="1413"/>
      <c r="AI97" s="1413"/>
      <c r="AJ97" s="1413"/>
      <c r="AK97" s="1413"/>
      <c r="AL97" s="1413"/>
      <c r="AM97" s="1413"/>
      <c r="AN97" s="1413"/>
      <c r="AO97" s="1413"/>
      <c r="AP97" s="1413"/>
      <c r="AQ97" s="1413"/>
      <c r="AR97" s="1413"/>
      <c r="AS97" s="1413"/>
      <c r="AT97" s="1413"/>
      <c r="AU97" s="1413"/>
      <c r="AV97" s="1413"/>
      <c r="AW97" s="1413"/>
      <c r="AX97" s="1413"/>
      <c r="AY97" s="1413"/>
      <c r="AZ97" s="1413"/>
      <c r="BA97" s="1413"/>
      <c r="BB97" s="1413"/>
      <c r="BC97" s="1317" t="s">
        <v>1583</v>
      </c>
      <c r="BD97" s="1318"/>
      <c r="BE97" s="1318"/>
      <c r="BF97" s="1318"/>
      <c r="BG97" s="1318"/>
      <c r="BH97" s="1318"/>
      <c r="BI97" s="1318"/>
      <c r="BJ97" s="1318"/>
      <c r="BK97" s="1318"/>
      <c r="BL97" s="1318"/>
      <c r="BM97" s="1318"/>
      <c r="BN97" s="1319"/>
      <c r="BO97" s="1326" t="s">
        <v>1597</v>
      </c>
      <c r="BP97" s="1327"/>
      <c r="BQ97" s="1327"/>
      <c r="BR97" s="1327"/>
      <c r="BS97" s="1327"/>
      <c r="BT97" s="1327"/>
      <c r="BU97" s="1327"/>
      <c r="BV97" s="1327"/>
      <c r="BW97" s="1327"/>
      <c r="BX97" s="1327"/>
      <c r="BY97" s="1327"/>
      <c r="BZ97" s="1327"/>
      <c r="CA97" s="1327"/>
      <c r="CB97" s="1327"/>
      <c r="CC97" s="1327"/>
      <c r="CD97" s="1327"/>
      <c r="CE97" s="1327"/>
      <c r="CF97" s="1327"/>
      <c r="CG97" s="1327"/>
      <c r="CH97" s="1327"/>
      <c r="CI97" s="1327"/>
      <c r="CJ97" s="1327"/>
      <c r="CK97" s="1327"/>
      <c r="CL97" s="1327"/>
      <c r="CM97" s="1327"/>
      <c r="CN97" s="1327"/>
      <c r="CO97" s="1327"/>
      <c r="CP97" s="1327"/>
      <c r="CQ97" s="1327"/>
      <c r="CR97" s="1327"/>
      <c r="CS97" s="1327"/>
      <c r="CT97" s="1327"/>
      <c r="CU97" s="1327"/>
      <c r="CV97" s="1327"/>
      <c r="CW97" s="1327"/>
      <c r="CX97" s="1327"/>
      <c r="CY97" s="1327"/>
      <c r="CZ97" s="1327"/>
      <c r="DA97" s="1327"/>
      <c r="DB97" s="1327"/>
      <c r="DC97" s="1327"/>
      <c r="DD97" s="1328"/>
      <c r="DE97" s="1412"/>
      <c r="DF97" s="1413"/>
      <c r="DG97" s="1413"/>
      <c r="DH97" s="1413"/>
      <c r="DI97" s="1413"/>
      <c r="DJ97" s="1413"/>
      <c r="DK97" s="1413"/>
      <c r="DL97" s="1414"/>
      <c r="DM97" s="692"/>
    </row>
    <row r="98" spans="2:117" ht="7.5" customHeight="1">
      <c r="B98" s="1597"/>
      <c r="C98" s="1598"/>
      <c r="D98" s="1598"/>
      <c r="E98" s="1598"/>
      <c r="F98" s="1598"/>
      <c r="G98" s="1598"/>
      <c r="H98" s="1598"/>
      <c r="I98" s="1598"/>
      <c r="J98" s="1415"/>
      <c r="K98" s="1416"/>
      <c r="L98" s="1416"/>
      <c r="M98" s="1416"/>
      <c r="N98" s="1416"/>
      <c r="O98" s="1416"/>
      <c r="P98" s="1416"/>
      <c r="Q98" s="1416"/>
      <c r="R98" s="1416"/>
      <c r="S98" s="1416"/>
      <c r="T98" s="1619"/>
      <c r="U98" s="1432"/>
      <c r="V98" s="774"/>
      <c r="W98" s="774"/>
      <c r="X98" s="774"/>
      <c r="Y98" s="774"/>
      <c r="Z98" s="774"/>
      <c r="AA98" s="774"/>
      <c r="AB98" s="774"/>
      <c r="AC98" s="774"/>
      <c r="AD98" s="774"/>
      <c r="AE98" s="774"/>
      <c r="AF98" s="1433"/>
      <c r="AG98" s="1415"/>
      <c r="AH98" s="1416"/>
      <c r="AI98" s="1416"/>
      <c r="AJ98" s="1416"/>
      <c r="AK98" s="1416"/>
      <c r="AL98" s="1416"/>
      <c r="AM98" s="1416"/>
      <c r="AN98" s="1416"/>
      <c r="AO98" s="1416"/>
      <c r="AP98" s="1416"/>
      <c r="AQ98" s="1416"/>
      <c r="AR98" s="1416"/>
      <c r="AS98" s="1416"/>
      <c r="AT98" s="1416"/>
      <c r="AU98" s="1416"/>
      <c r="AV98" s="1416"/>
      <c r="AW98" s="1416"/>
      <c r="AX98" s="1416"/>
      <c r="AY98" s="1416"/>
      <c r="AZ98" s="1416"/>
      <c r="BA98" s="1416"/>
      <c r="BB98" s="1416"/>
      <c r="BC98" s="1320"/>
      <c r="BD98" s="1321"/>
      <c r="BE98" s="1321"/>
      <c r="BF98" s="1321"/>
      <c r="BG98" s="1321"/>
      <c r="BH98" s="1321"/>
      <c r="BI98" s="1321"/>
      <c r="BJ98" s="1321"/>
      <c r="BK98" s="1321"/>
      <c r="BL98" s="1321"/>
      <c r="BM98" s="1321"/>
      <c r="BN98" s="1322"/>
      <c r="BO98" s="1329"/>
      <c r="BP98" s="1330"/>
      <c r="BQ98" s="1330"/>
      <c r="BR98" s="1330"/>
      <c r="BS98" s="1330"/>
      <c r="BT98" s="1330"/>
      <c r="BU98" s="1330"/>
      <c r="BV98" s="1330"/>
      <c r="BW98" s="1330"/>
      <c r="BX98" s="1330"/>
      <c r="BY98" s="1330"/>
      <c r="BZ98" s="1330"/>
      <c r="CA98" s="1330"/>
      <c r="CB98" s="1330"/>
      <c r="CC98" s="1330"/>
      <c r="CD98" s="1330"/>
      <c r="CE98" s="1330"/>
      <c r="CF98" s="1330"/>
      <c r="CG98" s="1330"/>
      <c r="CH98" s="1330"/>
      <c r="CI98" s="1330"/>
      <c r="CJ98" s="1330"/>
      <c r="CK98" s="1330"/>
      <c r="CL98" s="1330"/>
      <c r="CM98" s="1330"/>
      <c r="CN98" s="1330"/>
      <c r="CO98" s="1330"/>
      <c r="CP98" s="1330"/>
      <c r="CQ98" s="1330"/>
      <c r="CR98" s="1330"/>
      <c r="CS98" s="1330"/>
      <c r="CT98" s="1330"/>
      <c r="CU98" s="1330"/>
      <c r="CV98" s="1330"/>
      <c r="CW98" s="1330"/>
      <c r="CX98" s="1330"/>
      <c r="CY98" s="1330"/>
      <c r="CZ98" s="1330"/>
      <c r="DA98" s="1330"/>
      <c r="DB98" s="1330"/>
      <c r="DC98" s="1330"/>
      <c r="DD98" s="1331"/>
      <c r="DE98" s="1415"/>
      <c r="DF98" s="1416"/>
      <c r="DG98" s="1416"/>
      <c r="DH98" s="1416"/>
      <c r="DI98" s="1416"/>
      <c r="DJ98" s="1416"/>
      <c r="DK98" s="1416"/>
      <c r="DL98" s="1417"/>
      <c r="DM98" s="692"/>
    </row>
    <row r="99" spans="2:117" ht="7.5" customHeight="1">
      <c r="B99" s="1599"/>
      <c r="C99" s="1600"/>
      <c r="D99" s="1600"/>
      <c r="E99" s="1600"/>
      <c r="F99" s="1600"/>
      <c r="G99" s="1600"/>
      <c r="H99" s="1600"/>
      <c r="I99" s="1600"/>
      <c r="J99" s="1418"/>
      <c r="K99" s="1419"/>
      <c r="L99" s="1419"/>
      <c r="M99" s="1419"/>
      <c r="N99" s="1419"/>
      <c r="O99" s="1419"/>
      <c r="P99" s="1419"/>
      <c r="Q99" s="1419"/>
      <c r="R99" s="1419"/>
      <c r="S99" s="1419"/>
      <c r="T99" s="1620"/>
      <c r="U99" s="1601"/>
      <c r="V99" s="1478"/>
      <c r="W99" s="1478"/>
      <c r="X99" s="1478"/>
      <c r="Y99" s="1478"/>
      <c r="Z99" s="1478"/>
      <c r="AA99" s="1478"/>
      <c r="AB99" s="1478"/>
      <c r="AC99" s="1478"/>
      <c r="AD99" s="1478"/>
      <c r="AE99" s="1478"/>
      <c r="AF99" s="1602"/>
      <c r="AG99" s="1418"/>
      <c r="AH99" s="1419"/>
      <c r="AI99" s="1419"/>
      <c r="AJ99" s="1419"/>
      <c r="AK99" s="1419"/>
      <c r="AL99" s="1419"/>
      <c r="AM99" s="1419"/>
      <c r="AN99" s="1419"/>
      <c r="AO99" s="1419"/>
      <c r="AP99" s="1419"/>
      <c r="AQ99" s="1419"/>
      <c r="AR99" s="1419"/>
      <c r="AS99" s="1419"/>
      <c r="AT99" s="1419"/>
      <c r="AU99" s="1419"/>
      <c r="AV99" s="1419"/>
      <c r="AW99" s="1419"/>
      <c r="AX99" s="1419"/>
      <c r="AY99" s="1419"/>
      <c r="AZ99" s="1419"/>
      <c r="BA99" s="1419"/>
      <c r="BB99" s="1419"/>
      <c r="BC99" s="1323"/>
      <c r="BD99" s="1324"/>
      <c r="BE99" s="1324"/>
      <c r="BF99" s="1324"/>
      <c r="BG99" s="1324"/>
      <c r="BH99" s="1324"/>
      <c r="BI99" s="1324"/>
      <c r="BJ99" s="1324"/>
      <c r="BK99" s="1324"/>
      <c r="BL99" s="1324"/>
      <c r="BM99" s="1324"/>
      <c r="BN99" s="1325"/>
      <c r="BO99" s="1332"/>
      <c r="BP99" s="1333"/>
      <c r="BQ99" s="1333"/>
      <c r="BR99" s="1333"/>
      <c r="BS99" s="1333"/>
      <c r="BT99" s="1333"/>
      <c r="BU99" s="1333"/>
      <c r="BV99" s="1333"/>
      <c r="BW99" s="1333"/>
      <c r="BX99" s="1333"/>
      <c r="BY99" s="1333"/>
      <c r="BZ99" s="1333"/>
      <c r="CA99" s="1333"/>
      <c r="CB99" s="1333"/>
      <c r="CC99" s="1333"/>
      <c r="CD99" s="1333"/>
      <c r="CE99" s="1333"/>
      <c r="CF99" s="1333"/>
      <c r="CG99" s="1333"/>
      <c r="CH99" s="1333"/>
      <c r="CI99" s="1333"/>
      <c r="CJ99" s="1333"/>
      <c r="CK99" s="1333"/>
      <c r="CL99" s="1333"/>
      <c r="CM99" s="1333"/>
      <c r="CN99" s="1333"/>
      <c r="CO99" s="1333"/>
      <c r="CP99" s="1333"/>
      <c r="CQ99" s="1333"/>
      <c r="CR99" s="1333"/>
      <c r="CS99" s="1333"/>
      <c r="CT99" s="1333"/>
      <c r="CU99" s="1333"/>
      <c r="CV99" s="1333"/>
      <c r="CW99" s="1333"/>
      <c r="CX99" s="1333"/>
      <c r="CY99" s="1333"/>
      <c r="CZ99" s="1333"/>
      <c r="DA99" s="1333"/>
      <c r="DB99" s="1333"/>
      <c r="DC99" s="1333"/>
      <c r="DD99" s="1334"/>
      <c r="DE99" s="1418"/>
      <c r="DF99" s="1419"/>
      <c r="DG99" s="1419"/>
      <c r="DH99" s="1419"/>
      <c r="DI99" s="1419"/>
      <c r="DJ99" s="1419"/>
      <c r="DK99" s="1419"/>
      <c r="DL99" s="1420"/>
      <c r="DM99" s="692"/>
    </row>
    <row r="100" spans="2:117" ht="15" customHeight="1">
      <c r="B100" s="1475" t="s">
        <v>1534</v>
      </c>
      <c r="C100" s="1430"/>
      <c r="D100" s="1430"/>
      <c r="E100" s="1430"/>
      <c r="F100" s="1430"/>
      <c r="G100" s="1430"/>
      <c r="H100" s="1430"/>
      <c r="I100" s="1430"/>
      <c r="J100" s="1430"/>
      <c r="K100" s="1430"/>
      <c r="L100" s="1430"/>
      <c r="M100" s="1430"/>
      <c r="N100" s="1430"/>
      <c r="O100" s="1430"/>
      <c r="P100" s="1430"/>
      <c r="Q100" s="1430"/>
      <c r="R100" s="1430"/>
      <c r="S100" s="1430"/>
      <c r="T100" s="1430"/>
      <c r="U100" s="1603"/>
      <c r="V100" s="1604"/>
      <c r="W100" s="1604"/>
      <c r="X100" s="1604"/>
      <c r="Y100" s="1604"/>
      <c r="Z100" s="1604"/>
      <c r="AA100" s="1604"/>
      <c r="AB100" s="1604"/>
      <c r="AC100" s="1604"/>
      <c r="AD100" s="1604"/>
      <c r="AE100" s="1604"/>
      <c r="AF100" s="1605"/>
      <c r="AG100" s="1479" t="s">
        <v>1535</v>
      </c>
      <c r="AH100" s="1479"/>
      <c r="AI100" s="1479"/>
      <c r="AJ100" s="1479"/>
      <c r="AK100" s="1479"/>
      <c r="AL100" s="1479"/>
      <c r="AM100" s="1479"/>
      <c r="AN100" s="1479"/>
      <c r="AO100" s="1480"/>
      <c r="AP100" s="1491" t="s">
        <v>1540</v>
      </c>
      <c r="AQ100" s="1491"/>
      <c r="AR100" s="1491"/>
      <c r="AS100" s="1491"/>
      <c r="AT100" s="1493"/>
      <c r="AU100" s="1493"/>
      <c r="AV100" s="1493"/>
      <c r="AW100" s="1489" t="s">
        <v>1541</v>
      </c>
      <c r="AX100" s="1489"/>
      <c r="AY100" s="1489"/>
      <c r="AZ100" s="1489"/>
      <c r="BA100" s="1489"/>
      <c r="BB100" s="1490"/>
      <c r="BC100" s="1609" t="s">
        <v>1604</v>
      </c>
      <c r="BD100" s="1610"/>
      <c r="BE100" s="1610"/>
      <c r="BF100" s="1610"/>
      <c r="BG100" s="1610"/>
      <c r="BH100" s="1610"/>
      <c r="BI100" s="1610"/>
      <c r="BJ100" s="1610"/>
      <c r="BK100" s="1610"/>
      <c r="BL100" s="1610"/>
      <c r="BM100" s="1610"/>
      <c r="BN100" s="1610"/>
      <c r="BO100" s="1610"/>
      <c r="BP100" s="1610"/>
      <c r="BQ100" s="1610"/>
      <c r="BR100" s="1610"/>
      <c r="BS100" s="1610"/>
      <c r="BT100" s="1610"/>
      <c r="BU100" s="1610"/>
      <c r="BV100" s="1610"/>
      <c r="BW100" s="1610"/>
      <c r="BX100" s="1610"/>
      <c r="BY100" s="1610"/>
      <c r="BZ100" s="1610"/>
      <c r="CA100" s="1610"/>
      <c r="CB100" s="1610"/>
      <c r="CC100" s="1610"/>
      <c r="CD100" s="1610"/>
      <c r="CE100" s="1610"/>
      <c r="CF100" s="1610"/>
      <c r="CG100" s="1610"/>
      <c r="CH100" s="1610"/>
      <c r="CI100" s="1610"/>
      <c r="CJ100" s="1610"/>
      <c r="CK100" s="1610"/>
      <c r="CL100" s="1610"/>
      <c r="CM100" s="1610"/>
      <c r="CN100" s="1610"/>
      <c r="CO100" s="1610"/>
      <c r="CP100" s="1610"/>
      <c r="CQ100" s="1610"/>
      <c r="CR100" s="1610"/>
      <c r="CS100" s="1610"/>
      <c r="CT100" s="1610"/>
      <c r="CU100" s="1610"/>
      <c r="CV100" s="1610"/>
      <c r="CW100" s="1610"/>
      <c r="CX100" s="1610"/>
      <c r="CY100" s="1610"/>
      <c r="CZ100" s="1610"/>
      <c r="DA100" s="1610"/>
      <c r="DB100" s="1610"/>
      <c r="DC100" s="1610"/>
      <c r="DD100" s="1610"/>
      <c r="DE100" s="1610"/>
      <c r="DF100" s="1610"/>
      <c r="DG100" s="1610"/>
      <c r="DH100" s="1610"/>
      <c r="DI100" s="1610"/>
      <c r="DJ100" s="1610"/>
      <c r="DK100" s="1610"/>
      <c r="DL100" s="1611"/>
    </row>
    <row r="101" spans="2:117" ht="15" customHeight="1">
      <c r="B101" s="1476"/>
      <c r="C101" s="774"/>
      <c r="D101" s="774"/>
      <c r="E101" s="774"/>
      <c r="F101" s="774"/>
      <c r="G101" s="774"/>
      <c r="H101" s="774"/>
      <c r="I101" s="774"/>
      <c r="J101" s="774"/>
      <c r="K101" s="774"/>
      <c r="L101" s="774"/>
      <c r="M101" s="774"/>
      <c r="N101" s="774"/>
      <c r="O101" s="774"/>
      <c r="P101" s="774"/>
      <c r="Q101" s="774"/>
      <c r="R101" s="774"/>
      <c r="S101" s="774"/>
      <c r="T101" s="774"/>
      <c r="U101" s="1603"/>
      <c r="V101" s="1604"/>
      <c r="W101" s="1604"/>
      <c r="X101" s="1604"/>
      <c r="Y101" s="1604"/>
      <c r="Z101" s="1604"/>
      <c r="AA101" s="1604"/>
      <c r="AB101" s="1604"/>
      <c r="AC101" s="1604"/>
      <c r="AD101" s="1604"/>
      <c r="AE101" s="1604"/>
      <c r="AF101" s="1605"/>
      <c r="AG101" s="1479" t="s">
        <v>1536</v>
      </c>
      <c r="AH101" s="1479"/>
      <c r="AI101" s="1479"/>
      <c r="AJ101" s="1479"/>
      <c r="AK101" s="1479"/>
      <c r="AL101" s="1479"/>
      <c r="AM101" s="1479"/>
      <c r="AN101" s="1479"/>
      <c r="AO101" s="1480"/>
      <c r="AP101" s="1494" t="s">
        <v>1540</v>
      </c>
      <c r="AQ101" s="1489"/>
      <c r="AR101" s="1489"/>
      <c r="AS101" s="1489"/>
      <c r="AT101" s="1493"/>
      <c r="AU101" s="1493"/>
      <c r="AV101" s="1493"/>
      <c r="AW101" s="1489" t="s">
        <v>1541</v>
      </c>
      <c r="AX101" s="1489"/>
      <c r="AY101" s="1489"/>
      <c r="AZ101" s="1489"/>
      <c r="BA101" s="1489"/>
      <c r="BB101" s="1490"/>
      <c r="BC101" s="1612"/>
      <c r="BD101" s="1613"/>
      <c r="BE101" s="1613"/>
      <c r="BF101" s="1613"/>
      <c r="BG101" s="1613"/>
      <c r="BH101" s="1613"/>
      <c r="BI101" s="1613"/>
      <c r="BJ101" s="1613"/>
      <c r="BK101" s="1613"/>
      <c r="BL101" s="1613"/>
      <c r="BM101" s="1613"/>
      <c r="BN101" s="1613"/>
      <c r="BO101" s="1613"/>
      <c r="BP101" s="1613"/>
      <c r="BQ101" s="1613"/>
      <c r="BR101" s="1613"/>
      <c r="BS101" s="1613"/>
      <c r="BT101" s="1613"/>
      <c r="BU101" s="1613"/>
      <c r="BV101" s="1613"/>
      <c r="BW101" s="1613"/>
      <c r="BX101" s="1613"/>
      <c r="BY101" s="1613"/>
      <c r="BZ101" s="1613"/>
      <c r="CA101" s="1613"/>
      <c r="CB101" s="1613"/>
      <c r="CC101" s="1613"/>
      <c r="CD101" s="1613"/>
      <c r="CE101" s="1613"/>
      <c r="CF101" s="1613"/>
      <c r="CG101" s="1613"/>
      <c r="CH101" s="1613"/>
      <c r="CI101" s="1613"/>
      <c r="CJ101" s="1613"/>
      <c r="CK101" s="1613"/>
      <c r="CL101" s="1613"/>
      <c r="CM101" s="1613"/>
      <c r="CN101" s="1613"/>
      <c r="CO101" s="1613"/>
      <c r="CP101" s="1613"/>
      <c r="CQ101" s="1613"/>
      <c r="CR101" s="1613"/>
      <c r="CS101" s="1613"/>
      <c r="CT101" s="1613"/>
      <c r="CU101" s="1613"/>
      <c r="CV101" s="1613"/>
      <c r="CW101" s="1613"/>
      <c r="CX101" s="1613"/>
      <c r="CY101" s="1613"/>
      <c r="CZ101" s="1613"/>
      <c r="DA101" s="1613"/>
      <c r="DB101" s="1613"/>
      <c r="DC101" s="1613"/>
      <c r="DD101" s="1613"/>
      <c r="DE101" s="1613"/>
      <c r="DF101" s="1613"/>
      <c r="DG101" s="1613"/>
      <c r="DH101" s="1613"/>
      <c r="DI101" s="1613"/>
      <c r="DJ101" s="1613"/>
      <c r="DK101" s="1613"/>
      <c r="DL101" s="1614"/>
    </row>
    <row r="102" spans="2:117" ht="15" customHeight="1">
      <c r="B102" s="1476"/>
      <c r="C102" s="774"/>
      <c r="D102" s="774"/>
      <c r="E102" s="774"/>
      <c r="F102" s="774"/>
      <c r="G102" s="774"/>
      <c r="H102" s="774"/>
      <c r="I102" s="774"/>
      <c r="J102" s="774"/>
      <c r="K102" s="774"/>
      <c r="L102" s="774"/>
      <c r="M102" s="774"/>
      <c r="N102" s="774"/>
      <c r="O102" s="774"/>
      <c r="P102" s="774"/>
      <c r="Q102" s="774"/>
      <c r="R102" s="774"/>
      <c r="S102" s="774"/>
      <c r="T102" s="774"/>
      <c r="U102" s="1603"/>
      <c r="V102" s="1604"/>
      <c r="W102" s="1604"/>
      <c r="X102" s="1604"/>
      <c r="Y102" s="1604"/>
      <c r="Z102" s="1604"/>
      <c r="AA102" s="1604"/>
      <c r="AB102" s="1604"/>
      <c r="AC102" s="1604"/>
      <c r="AD102" s="1604"/>
      <c r="AE102" s="1604"/>
      <c r="AF102" s="1605"/>
      <c r="AG102" s="1479" t="s">
        <v>1537</v>
      </c>
      <c r="AH102" s="1479"/>
      <c r="AI102" s="1479"/>
      <c r="AJ102" s="1479"/>
      <c r="AK102" s="1479"/>
      <c r="AL102" s="1479"/>
      <c r="AM102" s="1479"/>
      <c r="AN102" s="1479"/>
      <c r="AO102" s="1480"/>
      <c r="AP102" s="1491" t="s">
        <v>1540</v>
      </c>
      <c r="AQ102" s="1491"/>
      <c r="AR102" s="1491"/>
      <c r="AS102" s="1491"/>
      <c r="AT102" s="1493"/>
      <c r="AU102" s="1493"/>
      <c r="AV102" s="1493"/>
      <c r="AW102" s="1489" t="s">
        <v>1541</v>
      </c>
      <c r="AX102" s="1489"/>
      <c r="AY102" s="1489"/>
      <c r="AZ102" s="1489"/>
      <c r="BA102" s="1489"/>
      <c r="BB102" s="1490"/>
      <c r="BC102" s="1612"/>
      <c r="BD102" s="1613"/>
      <c r="BE102" s="1613"/>
      <c r="BF102" s="1613"/>
      <c r="BG102" s="1613"/>
      <c r="BH102" s="1613"/>
      <c r="BI102" s="1613"/>
      <c r="BJ102" s="1613"/>
      <c r="BK102" s="1613"/>
      <c r="BL102" s="1613"/>
      <c r="BM102" s="1613"/>
      <c r="BN102" s="1613"/>
      <c r="BO102" s="1613"/>
      <c r="BP102" s="1613"/>
      <c r="BQ102" s="1613"/>
      <c r="BR102" s="1613"/>
      <c r="BS102" s="1613"/>
      <c r="BT102" s="1613"/>
      <c r="BU102" s="1613"/>
      <c r="BV102" s="1613"/>
      <c r="BW102" s="1613"/>
      <c r="BX102" s="1613"/>
      <c r="BY102" s="1613"/>
      <c r="BZ102" s="1613"/>
      <c r="CA102" s="1613"/>
      <c r="CB102" s="1613"/>
      <c r="CC102" s="1613"/>
      <c r="CD102" s="1613"/>
      <c r="CE102" s="1613"/>
      <c r="CF102" s="1613"/>
      <c r="CG102" s="1613"/>
      <c r="CH102" s="1613"/>
      <c r="CI102" s="1613"/>
      <c r="CJ102" s="1613"/>
      <c r="CK102" s="1613"/>
      <c r="CL102" s="1613"/>
      <c r="CM102" s="1613"/>
      <c r="CN102" s="1613"/>
      <c r="CO102" s="1613"/>
      <c r="CP102" s="1613"/>
      <c r="CQ102" s="1613"/>
      <c r="CR102" s="1613"/>
      <c r="CS102" s="1613"/>
      <c r="CT102" s="1613"/>
      <c r="CU102" s="1613"/>
      <c r="CV102" s="1613"/>
      <c r="CW102" s="1613"/>
      <c r="CX102" s="1613"/>
      <c r="CY102" s="1613"/>
      <c r="CZ102" s="1613"/>
      <c r="DA102" s="1613"/>
      <c r="DB102" s="1613"/>
      <c r="DC102" s="1613"/>
      <c r="DD102" s="1613"/>
      <c r="DE102" s="1613"/>
      <c r="DF102" s="1613"/>
      <c r="DG102" s="1613"/>
      <c r="DH102" s="1613"/>
      <c r="DI102" s="1613"/>
      <c r="DJ102" s="1613"/>
      <c r="DK102" s="1613"/>
      <c r="DL102" s="1614"/>
    </row>
    <row r="103" spans="2:117" ht="15" customHeight="1">
      <c r="B103" s="1476"/>
      <c r="C103" s="774"/>
      <c r="D103" s="774"/>
      <c r="E103" s="774"/>
      <c r="F103" s="774"/>
      <c r="G103" s="774"/>
      <c r="H103" s="774"/>
      <c r="I103" s="774"/>
      <c r="J103" s="774"/>
      <c r="K103" s="774"/>
      <c r="L103" s="774"/>
      <c r="M103" s="774"/>
      <c r="N103" s="774"/>
      <c r="O103" s="774"/>
      <c r="P103" s="774"/>
      <c r="Q103" s="774"/>
      <c r="R103" s="774"/>
      <c r="S103" s="774"/>
      <c r="T103" s="774"/>
      <c r="U103" s="1603"/>
      <c r="V103" s="1604"/>
      <c r="W103" s="1604"/>
      <c r="X103" s="1604"/>
      <c r="Y103" s="1604"/>
      <c r="Z103" s="1604"/>
      <c r="AA103" s="1604"/>
      <c r="AB103" s="1604"/>
      <c r="AC103" s="1604"/>
      <c r="AD103" s="1604"/>
      <c r="AE103" s="1604"/>
      <c r="AF103" s="1605"/>
      <c r="AG103" s="1479" t="s">
        <v>1538</v>
      </c>
      <c r="AH103" s="1479"/>
      <c r="AI103" s="1479"/>
      <c r="AJ103" s="1479"/>
      <c r="AK103" s="1479"/>
      <c r="AL103" s="1479"/>
      <c r="AM103" s="1479"/>
      <c r="AN103" s="1479"/>
      <c r="AO103" s="1480"/>
      <c r="AP103" s="1494" t="s">
        <v>1540</v>
      </c>
      <c r="AQ103" s="1489"/>
      <c r="AR103" s="1489"/>
      <c r="AS103" s="1489"/>
      <c r="AT103" s="1493"/>
      <c r="AU103" s="1493"/>
      <c r="AV103" s="1493"/>
      <c r="AW103" s="1489" t="s">
        <v>1541</v>
      </c>
      <c r="AX103" s="1489"/>
      <c r="AY103" s="1489"/>
      <c r="AZ103" s="1489"/>
      <c r="BA103" s="1489"/>
      <c r="BB103" s="1490"/>
      <c r="BC103" s="1612"/>
      <c r="BD103" s="1613"/>
      <c r="BE103" s="1613"/>
      <c r="BF103" s="1613"/>
      <c r="BG103" s="1613"/>
      <c r="BH103" s="1613"/>
      <c r="BI103" s="1613"/>
      <c r="BJ103" s="1613"/>
      <c r="BK103" s="1613"/>
      <c r="BL103" s="1613"/>
      <c r="BM103" s="1613"/>
      <c r="BN103" s="1613"/>
      <c r="BO103" s="1613"/>
      <c r="BP103" s="1613"/>
      <c r="BQ103" s="1613"/>
      <c r="BR103" s="1613"/>
      <c r="BS103" s="1613"/>
      <c r="BT103" s="1613"/>
      <c r="BU103" s="1613"/>
      <c r="BV103" s="1613"/>
      <c r="BW103" s="1613"/>
      <c r="BX103" s="1613"/>
      <c r="BY103" s="1613"/>
      <c r="BZ103" s="1613"/>
      <c r="CA103" s="1613"/>
      <c r="CB103" s="1613"/>
      <c r="CC103" s="1613"/>
      <c r="CD103" s="1613"/>
      <c r="CE103" s="1613"/>
      <c r="CF103" s="1613"/>
      <c r="CG103" s="1613"/>
      <c r="CH103" s="1613"/>
      <c r="CI103" s="1613"/>
      <c r="CJ103" s="1613"/>
      <c r="CK103" s="1613"/>
      <c r="CL103" s="1613"/>
      <c r="CM103" s="1613"/>
      <c r="CN103" s="1613"/>
      <c r="CO103" s="1613"/>
      <c r="CP103" s="1613"/>
      <c r="CQ103" s="1613"/>
      <c r="CR103" s="1613"/>
      <c r="CS103" s="1613"/>
      <c r="CT103" s="1613"/>
      <c r="CU103" s="1613"/>
      <c r="CV103" s="1613"/>
      <c r="CW103" s="1613"/>
      <c r="CX103" s="1613"/>
      <c r="CY103" s="1613"/>
      <c r="CZ103" s="1613"/>
      <c r="DA103" s="1613"/>
      <c r="DB103" s="1613"/>
      <c r="DC103" s="1613"/>
      <c r="DD103" s="1613"/>
      <c r="DE103" s="1613"/>
      <c r="DF103" s="1613"/>
      <c r="DG103" s="1613"/>
      <c r="DH103" s="1613"/>
      <c r="DI103" s="1613"/>
      <c r="DJ103" s="1613"/>
      <c r="DK103" s="1613"/>
      <c r="DL103" s="1614"/>
    </row>
    <row r="104" spans="2:117" ht="15" customHeight="1">
      <c r="B104" s="1477"/>
      <c r="C104" s="1478"/>
      <c r="D104" s="1478"/>
      <c r="E104" s="1478"/>
      <c r="F104" s="1478"/>
      <c r="G104" s="1478"/>
      <c r="H104" s="1478"/>
      <c r="I104" s="1478"/>
      <c r="J104" s="1478"/>
      <c r="K104" s="1478"/>
      <c r="L104" s="1478"/>
      <c r="M104" s="1478"/>
      <c r="N104" s="1478"/>
      <c r="O104" s="1478"/>
      <c r="P104" s="1478"/>
      <c r="Q104" s="1478"/>
      <c r="R104" s="774"/>
      <c r="S104" s="774"/>
      <c r="T104" s="774"/>
      <c r="U104" s="1606"/>
      <c r="V104" s="1607"/>
      <c r="W104" s="1607"/>
      <c r="X104" s="1607"/>
      <c r="Y104" s="1607"/>
      <c r="Z104" s="1607"/>
      <c r="AA104" s="1607"/>
      <c r="AB104" s="1607"/>
      <c r="AC104" s="1607"/>
      <c r="AD104" s="1607"/>
      <c r="AE104" s="1607"/>
      <c r="AF104" s="1608"/>
      <c r="AG104" s="1479" t="s">
        <v>1539</v>
      </c>
      <c r="AH104" s="1479"/>
      <c r="AI104" s="1479"/>
      <c r="AJ104" s="1479"/>
      <c r="AK104" s="1479"/>
      <c r="AL104" s="1481"/>
      <c r="AM104" s="1481"/>
      <c r="AN104" s="1481"/>
      <c r="AO104" s="1482"/>
      <c r="AP104" s="1491" t="s">
        <v>1540</v>
      </c>
      <c r="AQ104" s="1491"/>
      <c r="AR104" s="1491"/>
      <c r="AS104" s="1491"/>
      <c r="AT104" s="1493"/>
      <c r="AU104" s="1493"/>
      <c r="AV104" s="1493"/>
      <c r="AW104" s="1491" t="s">
        <v>1541</v>
      </c>
      <c r="AX104" s="1491"/>
      <c r="AY104" s="1491"/>
      <c r="AZ104" s="1491"/>
      <c r="BA104" s="1491"/>
      <c r="BB104" s="1492"/>
      <c r="BC104" s="1612"/>
      <c r="BD104" s="1613"/>
      <c r="BE104" s="1613"/>
      <c r="BF104" s="1613"/>
      <c r="BG104" s="1613"/>
      <c r="BH104" s="1613"/>
      <c r="BI104" s="1613"/>
      <c r="BJ104" s="1613"/>
      <c r="BK104" s="1613"/>
      <c r="BL104" s="1613"/>
      <c r="BM104" s="1613"/>
      <c r="BN104" s="1613"/>
      <c r="BO104" s="1613"/>
      <c r="BP104" s="1613"/>
      <c r="BQ104" s="1613"/>
      <c r="BR104" s="1613"/>
      <c r="BS104" s="1613"/>
      <c r="BT104" s="1613"/>
      <c r="BU104" s="1613"/>
      <c r="BV104" s="1613"/>
      <c r="BW104" s="1613"/>
      <c r="BX104" s="1613"/>
      <c r="BY104" s="1613"/>
      <c r="BZ104" s="1613"/>
      <c r="CA104" s="1613"/>
      <c r="CB104" s="1613"/>
      <c r="CC104" s="1613"/>
      <c r="CD104" s="1613"/>
      <c r="CE104" s="1613"/>
      <c r="CF104" s="1613"/>
      <c r="CG104" s="1613"/>
      <c r="CH104" s="1613"/>
      <c r="CI104" s="1613"/>
      <c r="CJ104" s="1613"/>
      <c r="CK104" s="1613"/>
      <c r="CL104" s="1613"/>
      <c r="CM104" s="1613"/>
      <c r="CN104" s="1613"/>
      <c r="CO104" s="1613"/>
      <c r="CP104" s="1613"/>
      <c r="CQ104" s="1613"/>
      <c r="CR104" s="1613"/>
      <c r="CS104" s="1613"/>
      <c r="CT104" s="1613"/>
      <c r="CU104" s="1613"/>
      <c r="CV104" s="1613"/>
      <c r="CW104" s="1613"/>
      <c r="CX104" s="1613"/>
      <c r="CY104" s="1613"/>
      <c r="CZ104" s="1613"/>
      <c r="DA104" s="1613"/>
      <c r="DB104" s="1613"/>
      <c r="DC104" s="1613"/>
      <c r="DD104" s="1613"/>
      <c r="DE104" s="1613"/>
      <c r="DF104" s="1613"/>
      <c r="DG104" s="1613"/>
      <c r="DH104" s="1613"/>
      <c r="DI104" s="1613"/>
      <c r="DJ104" s="1613"/>
      <c r="DK104" s="1613"/>
      <c r="DL104" s="1614"/>
    </row>
    <row r="105" spans="2:117" ht="7.5" customHeight="1">
      <c r="B105" s="1495" t="s">
        <v>1132</v>
      </c>
      <c r="C105" s="1496"/>
      <c r="D105" s="1496"/>
      <c r="E105" s="1496"/>
      <c r="F105" s="1496"/>
      <c r="G105" s="1497"/>
      <c r="H105" s="1461" t="s">
        <v>800</v>
      </c>
      <c r="I105" s="1462"/>
      <c r="J105" s="1462"/>
      <c r="K105" s="1462"/>
      <c r="L105" s="1462"/>
      <c r="M105" s="1462"/>
      <c r="N105" s="1462"/>
      <c r="O105" s="1463"/>
      <c r="P105" s="1470"/>
      <c r="Q105" s="1471"/>
      <c r="R105" s="1472" t="s">
        <v>827</v>
      </c>
      <c r="S105" s="1472"/>
      <c r="T105" s="1472"/>
      <c r="U105" s="1472"/>
      <c r="V105" s="1472"/>
      <c r="W105" s="1472"/>
      <c r="X105" s="1472"/>
      <c r="Y105" s="1473"/>
      <c r="Z105" s="1470"/>
      <c r="AA105" s="1474"/>
      <c r="AB105" s="1483"/>
      <c r="AC105" s="1484"/>
      <c r="AD105" s="1484"/>
      <c r="AE105" s="1484"/>
      <c r="AF105" s="1484"/>
      <c r="AG105" s="1484"/>
      <c r="AH105" s="1484"/>
      <c r="AI105" s="1484"/>
      <c r="AJ105" s="1484"/>
      <c r="AK105" s="1484"/>
      <c r="AL105" s="1484"/>
      <c r="AM105" s="1484"/>
      <c r="AN105" s="1484"/>
      <c r="AO105" s="1484"/>
      <c r="AP105" s="1484"/>
      <c r="AQ105" s="1484"/>
      <c r="AR105" s="1484"/>
      <c r="AS105" s="1484"/>
      <c r="AT105" s="1484"/>
      <c r="AU105" s="1484"/>
      <c r="AV105" s="1484"/>
      <c r="AW105" s="1484"/>
      <c r="AX105" s="1484"/>
      <c r="AY105" s="1484"/>
      <c r="AZ105" s="1484"/>
      <c r="BA105" s="1484"/>
      <c r="BB105" s="1484"/>
      <c r="BC105" s="1484"/>
      <c r="BD105" s="1484"/>
      <c r="BE105" s="1484"/>
      <c r="BF105" s="1484"/>
      <c r="BG105" s="1484"/>
      <c r="BH105" s="1484"/>
      <c r="BI105" s="1484"/>
      <c r="BJ105" s="1484"/>
      <c r="BK105" s="1484"/>
      <c r="BL105" s="1484"/>
      <c r="BM105" s="1484"/>
      <c r="BN105" s="1484"/>
      <c r="BO105" s="1484"/>
      <c r="BP105" s="1484"/>
      <c r="BQ105" s="1484"/>
      <c r="BR105" s="1484"/>
      <c r="BS105" s="1484"/>
      <c r="BT105" s="1484"/>
      <c r="BU105" s="1484"/>
      <c r="BV105" s="1484"/>
      <c r="BW105" s="1484"/>
      <c r="BX105" s="1484"/>
      <c r="BY105" s="1484"/>
      <c r="BZ105" s="1484"/>
      <c r="CA105" s="1484"/>
      <c r="CB105" s="1484"/>
      <c r="CC105" s="1484"/>
      <c r="CD105" s="1484"/>
      <c r="CE105" s="1484"/>
      <c r="CF105" s="1484"/>
      <c r="CG105" s="1484"/>
      <c r="CH105" s="1484"/>
      <c r="CI105" s="1484"/>
      <c r="CJ105" s="1484"/>
      <c r="CK105" s="1484"/>
      <c r="CL105" s="1484"/>
      <c r="CM105" s="1484"/>
      <c r="CN105" s="1484"/>
      <c r="CO105" s="1484"/>
      <c r="CP105" s="1484"/>
      <c r="CQ105" s="1484"/>
      <c r="CR105" s="1484"/>
      <c r="CS105" s="1484"/>
      <c r="CT105" s="1484"/>
      <c r="CU105" s="1484"/>
      <c r="CV105" s="1484"/>
      <c r="CW105" s="1484"/>
      <c r="CX105" s="1484"/>
      <c r="CY105" s="1484"/>
      <c r="CZ105" s="1484"/>
      <c r="DA105" s="1484"/>
      <c r="DB105" s="1484"/>
      <c r="DC105" s="1484"/>
      <c r="DD105" s="1484"/>
      <c r="DE105" s="1484"/>
      <c r="DF105" s="1484"/>
      <c r="DG105" s="1484"/>
      <c r="DH105" s="1484"/>
      <c r="DI105" s="1484"/>
      <c r="DJ105" s="1484"/>
      <c r="DK105" s="1484"/>
      <c r="DL105" s="1485"/>
      <c r="DM105" s="692"/>
    </row>
    <row r="106" spans="2:117" ht="7.5" customHeight="1">
      <c r="B106" s="1498"/>
      <c r="C106" s="1499"/>
      <c r="D106" s="1499"/>
      <c r="E106" s="1499"/>
      <c r="F106" s="1499"/>
      <c r="G106" s="1500"/>
      <c r="H106" s="1464"/>
      <c r="I106" s="1465"/>
      <c r="J106" s="1465"/>
      <c r="K106" s="1465"/>
      <c r="L106" s="1465"/>
      <c r="M106" s="1465"/>
      <c r="N106" s="1465"/>
      <c r="O106" s="1466"/>
      <c r="P106" s="1470"/>
      <c r="Q106" s="1471"/>
      <c r="R106" s="1472"/>
      <c r="S106" s="1472"/>
      <c r="T106" s="1472"/>
      <c r="U106" s="1472"/>
      <c r="V106" s="1472"/>
      <c r="W106" s="1472"/>
      <c r="X106" s="1472"/>
      <c r="Y106" s="1473"/>
      <c r="Z106" s="1470"/>
      <c r="AA106" s="1474"/>
      <c r="AB106" s="1483"/>
      <c r="AC106" s="1484"/>
      <c r="AD106" s="1484"/>
      <c r="AE106" s="1484"/>
      <c r="AF106" s="1484"/>
      <c r="AG106" s="1484"/>
      <c r="AH106" s="1484"/>
      <c r="AI106" s="1484"/>
      <c r="AJ106" s="1484"/>
      <c r="AK106" s="1484"/>
      <c r="AL106" s="1484"/>
      <c r="AM106" s="1484"/>
      <c r="AN106" s="1484"/>
      <c r="AO106" s="1484"/>
      <c r="AP106" s="1484"/>
      <c r="AQ106" s="1484"/>
      <c r="AR106" s="1484"/>
      <c r="AS106" s="1484"/>
      <c r="AT106" s="1484"/>
      <c r="AU106" s="1484"/>
      <c r="AV106" s="1484"/>
      <c r="AW106" s="1484"/>
      <c r="AX106" s="1484"/>
      <c r="AY106" s="1484"/>
      <c r="AZ106" s="1484"/>
      <c r="BA106" s="1484"/>
      <c r="BB106" s="1484"/>
      <c r="BC106" s="1484"/>
      <c r="BD106" s="1484"/>
      <c r="BE106" s="1484"/>
      <c r="BF106" s="1484"/>
      <c r="BG106" s="1484"/>
      <c r="BH106" s="1484"/>
      <c r="BI106" s="1484"/>
      <c r="BJ106" s="1484"/>
      <c r="BK106" s="1484"/>
      <c r="BL106" s="1484"/>
      <c r="BM106" s="1484"/>
      <c r="BN106" s="1484"/>
      <c r="BO106" s="1484"/>
      <c r="BP106" s="1484"/>
      <c r="BQ106" s="1484"/>
      <c r="BR106" s="1484"/>
      <c r="BS106" s="1484"/>
      <c r="BT106" s="1484"/>
      <c r="BU106" s="1484"/>
      <c r="BV106" s="1484"/>
      <c r="BW106" s="1484"/>
      <c r="BX106" s="1484"/>
      <c r="BY106" s="1484"/>
      <c r="BZ106" s="1484"/>
      <c r="CA106" s="1484"/>
      <c r="CB106" s="1484"/>
      <c r="CC106" s="1484"/>
      <c r="CD106" s="1484"/>
      <c r="CE106" s="1484"/>
      <c r="CF106" s="1484"/>
      <c r="CG106" s="1484"/>
      <c r="CH106" s="1484"/>
      <c r="CI106" s="1484"/>
      <c r="CJ106" s="1484"/>
      <c r="CK106" s="1484"/>
      <c r="CL106" s="1484"/>
      <c r="CM106" s="1484"/>
      <c r="CN106" s="1484"/>
      <c r="CO106" s="1484"/>
      <c r="CP106" s="1484"/>
      <c r="CQ106" s="1484"/>
      <c r="CR106" s="1484"/>
      <c r="CS106" s="1484"/>
      <c r="CT106" s="1484"/>
      <c r="CU106" s="1484"/>
      <c r="CV106" s="1484"/>
      <c r="CW106" s="1484"/>
      <c r="CX106" s="1484"/>
      <c r="CY106" s="1484"/>
      <c r="CZ106" s="1484"/>
      <c r="DA106" s="1484"/>
      <c r="DB106" s="1484"/>
      <c r="DC106" s="1484"/>
      <c r="DD106" s="1484"/>
      <c r="DE106" s="1484"/>
      <c r="DF106" s="1484"/>
      <c r="DG106" s="1484"/>
      <c r="DH106" s="1484"/>
      <c r="DI106" s="1484"/>
      <c r="DJ106" s="1484"/>
      <c r="DK106" s="1484"/>
      <c r="DL106" s="1485"/>
      <c r="DM106" s="692"/>
    </row>
    <row r="107" spans="2:117" ht="7.5" customHeight="1" thickBot="1">
      <c r="B107" s="1501"/>
      <c r="C107" s="1502"/>
      <c r="D107" s="1502"/>
      <c r="E107" s="1502"/>
      <c r="F107" s="1502"/>
      <c r="G107" s="1503"/>
      <c r="H107" s="1467"/>
      <c r="I107" s="1468"/>
      <c r="J107" s="1468"/>
      <c r="K107" s="1468"/>
      <c r="L107" s="1468"/>
      <c r="M107" s="1468"/>
      <c r="N107" s="1468"/>
      <c r="O107" s="1469"/>
      <c r="P107" s="1470"/>
      <c r="Q107" s="1471"/>
      <c r="R107" s="1472"/>
      <c r="S107" s="1472"/>
      <c r="T107" s="1472"/>
      <c r="U107" s="1472"/>
      <c r="V107" s="1472"/>
      <c r="W107" s="1472"/>
      <c r="X107" s="1472"/>
      <c r="Y107" s="1473"/>
      <c r="Z107" s="1470"/>
      <c r="AA107" s="1474"/>
      <c r="AB107" s="1486"/>
      <c r="AC107" s="1487"/>
      <c r="AD107" s="1487"/>
      <c r="AE107" s="1487"/>
      <c r="AF107" s="1487"/>
      <c r="AG107" s="1487"/>
      <c r="AH107" s="1487"/>
      <c r="AI107" s="1487"/>
      <c r="AJ107" s="1487"/>
      <c r="AK107" s="1487"/>
      <c r="AL107" s="1487"/>
      <c r="AM107" s="1487"/>
      <c r="AN107" s="1487"/>
      <c r="AO107" s="1487"/>
      <c r="AP107" s="1487"/>
      <c r="AQ107" s="1487"/>
      <c r="AR107" s="1487"/>
      <c r="AS107" s="1487"/>
      <c r="AT107" s="1487"/>
      <c r="AU107" s="1487"/>
      <c r="AV107" s="1487"/>
      <c r="AW107" s="1487"/>
      <c r="AX107" s="1487"/>
      <c r="AY107" s="1487"/>
      <c r="AZ107" s="1487"/>
      <c r="BA107" s="1487"/>
      <c r="BB107" s="1487"/>
      <c r="BC107" s="1487"/>
      <c r="BD107" s="1487"/>
      <c r="BE107" s="1487"/>
      <c r="BF107" s="1487"/>
      <c r="BG107" s="1487"/>
      <c r="BH107" s="1487"/>
      <c r="BI107" s="1487"/>
      <c r="BJ107" s="1487"/>
      <c r="BK107" s="1487"/>
      <c r="BL107" s="1487"/>
      <c r="BM107" s="1487"/>
      <c r="BN107" s="1487"/>
      <c r="BO107" s="1487"/>
      <c r="BP107" s="1487"/>
      <c r="BQ107" s="1487"/>
      <c r="BR107" s="1487"/>
      <c r="BS107" s="1487"/>
      <c r="BT107" s="1487"/>
      <c r="BU107" s="1487"/>
      <c r="BV107" s="1487"/>
      <c r="BW107" s="1487"/>
      <c r="BX107" s="1487"/>
      <c r="BY107" s="1487"/>
      <c r="BZ107" s="1487"/>
      <c r="CA107" s="1487"/>
      <c r="CB107" s="1487"/>
      <c r="CC107" s="1487"/>
      <c r="CD107" s="1487"/>
      <c r="CE107" s="1487"/>
      <c r="CF107" s="1487"/>
      <c r="CG107" s="1487"/>
      <c r="CH107" s="1487"/>
      <c r="CI107" s="1487"/>
      <c r="CJ107" s="1487"/>
      <c r="CK107" s="1487"/>
      <c r="CL107" s="1487"/>
      <c r="CM107" s="1487"/>
      <c r="CN107" s="1487"/>
      <c r="CO107" s="1487"/>
      <c r="CP107" s="1487"/>
      <c r="CQ107" s="1487"/>
      <c r="CR107" s="1487"/>
      <c r="CS107" s="1487"/>
      <c r="CT107" s="1487"/>
      <c r="CU107" s="1487"/>
      <c r="CV107" s="1487"/>
      <c r="CW107" s="1487"/>
      <c r="CX107" s="1487"/>
      <c r="CY107" s="1487"/>
      <c r="CZ107" s="1487"/>
      <c r="DA107" s="1487"/>
      <c r="DB107" s="1487"/>
      <c r="DC107" s="1487"/>
      <c r="DD107" s="1487"/>
      <c r="DE107" s="1487"/>
      <c r="DF107" s="1487"/>
      <c r="DG107" s="1487"/>
      <c r="DH107" s="1487"/>
      <c r="DI107" s="1487"/>
      <c r="DJ107" s="1487"/>
      <c r="DK107" s="1487"/>
      <c r="DL107" s="1488"/>
      <c r="DM107" s="692"/>
    </row>
    <row r="108" spans="2:117" ht="8.15" customHeight="1" thickTop="1">
      <c r="B108" s="1522" t="s">
        <v>1117</v>
      </c>
      <c r="C108" s="1523"/>
      <c r="D108" s="1523"/>
      <c r="E108" s="1523"/>
      <c r="F108" s="1523"/>
      <c r="G108" s="1523"/>
      <c r="H108" s="1523"/>
      <c r="I108" s="1523"/>
      <c r="J108" s="1524"/>
      <c r="K108" s="1524"/>
      <c r="L108" s="1524"/>
      <c r="M108" s="1524"/>
      <c r="N108" s="1524"/>
      <c r="O108" s="1525"/>
      <c r="P108" s="1526" t="s">
        <v>1115</v>
      </c>
      <c r="Q108" s="1527"/>
      <c r="R108" s="1527"/>
      <c r="S108" s="1527"/>
      <c r="T108" s="1527"/>
      <c r="U108" s="1528"/>
      <c r="V108" s="1529"/>
      <c r="W108" s="1530"/>
      <c r="X108" s="1530"/>
      <c r="Y108" s="1530"/>
      <c r="Z108" s="1530"/>
      <c r="AA108" s="1530"/>
      <c r="AB108" s="1443" t="s">
        <v>1139</v>
      </c>
      <c r="AC108" s="1444"/>
      <c r="AD108" s="1444"/>
      <c r="AE108" s="1444"/>
      <c r="AF108" s="1444"/>
      <c r="AG108" s="1444"/>
      <c r="AH108" s="1444"/>
      <c r="AI108" s="1444"/>
      <c r="AJ108" s="1444"/>
      <c r="AK108" s="1444"/>
      <c r="AL108" s="1444"/>
      <c r="AM108" s="1444"/>
      <c r="AN108" s="1444"/>
      <c r="AO108" s="1444"/>
      <c r="AP108" s="1437" t="s">
        <v>1553</v>
      </c>
      <c r="AQ108" s="1438"/>
      <c r="AR108" s="1438"/>
      <c r="AS108" s="1438"/>
      <c r="AT108" s="1438"/>
      <c r="AU108" s="1438"/>
      <c r="AV108" s="1438"/>
      <c r="AW108" s="1438"/>
      <c r="AX108" s="1506"/>
      <c r="AY108" s="1506"/>
      <c r="AZ108" s="1506"/>
      <c r="BA108" s="1506"/>
      <c r="BB108" s="1437" t="s">
        <v>1554</v>
      </c>
      <c r="BC108" s="1438"/>
      <c r="BD108" s="1438"/>
      <c r="BE108" s="1438"/>
      <c r="BF108" s="1438"/>
      <c r="BG108" s="1438"/>
      <c r="BH108" s="1438"/>
      <c r="BI108" s="1438"/>
      <c r="BJ108" s="1506"/>
      <c r="BK108" s="1506"/>
      <c r="BL108" s="1506"/>
      <c r="BM108" s="1506"/>
      <c r="BN108" s="1531" t="s">
        <v>1160</v>
      </c>
      <c r="BO108" s="1532"/>
      <c r="BP108" s="1532"/>
      <c r="BQ108" s="1532"/>
      <c r="BR108" s="1532"/>
      <c r="BS108" s="1537">
        <f>SUM(AX108,BJ108)</f>
        <v>0</v>
      </c>
      <c r="BT108" s="1538"/>
      <c r="BU108" s="1538"/>
      <c r="BV108" s="1538"/>
      <c r="BW108" s="1538"/>
      <c r="BX108" s="1615" t="s">
        <v>1543</v>
      </c>
      <c r="BY108" s="1616"/>
      <c r="BZ108" s="1616"/>
      <c r="CA108" s="1616"/>
      <c r="CB108" s="1616"/>
      <c r="CC108" s="1616"/>
      <c r="CD108" s="1616"/>
      <c r="CE108" s="1616"/>
      <c r="CF108" s="1616"/>
      <c r="CG108" s="1616"/>
      <c r="CH108" s="1616"/>
      <c r="CI108" s="1616"/>
      <c r="CJ108" s="1616"/>
      <c r="CK108" s="1616"/>
      <c r="CL108" s="1616"/>
      <c r="CM108" s="1616"/>
      <c r="CN108" s="1616"/>
      <c r="CO108" s="1616"/>
      <c r="CP108" s="1616"/>
      <c r="CQ108" s="1616"/>
      <c r="CR108" s="1616"/>
      <c r="CS108" s="1616"/>
      <c r="CT108" s="1616"/>
      <c r="CU108" s="1616"/>
      <c r="CV108" s="1616"/>
      <c r="CW108" s="1616"/>
      <c r="CX108" s="1616"/>
      <c r="CY108" s="1616"/>
      <c r="CZ108" s="1616"/>
      <c r="DA108" s="1616"/>
      <c r="DB108" s="1616"/>
      <c r="DC108" s="1616"/>
      <c r="DD108" s="1616"/>
      <c r="DE108" s="1616"/>
      <c r="DF108" s="1616"/>
      <c r="DG108" s="1616"/>
      <c r="DH108" s="1616"/>
      <c r="DI108" s="1616"/>
      <c r="DJ108" s="1616"/>
      <c r="DK108" s="1616"/>
      <c r="DL108" s="1617"/>
    </row>
    <row r="109" spans="2:117" ht="7.5" customHeight="1">
      <c r="B109" s="1522"/>
      <c r="C109" s="1523"/>
      <c r="D109" s="1523"/>
      <c r="E109" s="1523"/>
      <c r="F109" s="1523"/>
      <c r="G109" s="1523"/>
      <c r="H109" s="1523"/>
      <c r="I109" s="1523"/>
      <c r="J109" s="1524"/>
      <c r="K109" s="1524"/>
      <c r="L109" s="1524"/>
      <c r="M109" s="1524"/>
      <c r="N109" s="1524"/>
      <c r="O109" s="1525"/>
      <c r="P109" s="1526"/>
      <c r="Q109" s="1527"/>
      <c r="R109" s="1527"/>
      <c r="S109" s="1527"/>
      <c r="T109" s="1527"/>
      <c r="U109" s="1528"/>
      <c r="V109" s="1529"/>
      <c r="W109" s="1530"/>
      <c r="X109" s="1530"/>
      <c r="Y109" s="1530"/>
      <c r="Z109" s="1530"/>
      <c r="AA109" s="1530"/>
      <c r="AB109" s="1445"/>
      <c r="AC109" s="1446"/>
      <c r="AD109" s="1446"/>
      <c r="AE109" s="1446"/>
      <c r="AF109" s="1446"/>
      <c r="AG109" s="1446"/>
      <c r="AH109" s="1446"/>
      <c r="AI109" s="1446"/>
      <c r="AJ109" s="1446"/>
      <c r="AK109" s="1446"/>
      <c r="AL109" s="1446"/>
      <c r="AM109" s="1446"/>
      <c r="AN109" s="1446"/>
      <c r="AO109" s="1446"/>
      <c r="AP109" s="1439"/>
      <c r="AQ109" s="1440"/>
      <c r="AR109" s="1440"/>
      <c r="AS109" s="1440"/>
      <c r="AT109" s="1440"/>
      <c r="AU109" s="1440"/>
      <c r="AV109" s="1440"/>
      <c r="AW109" s="1440"/>
      <c r="AX109" s="1507"/>
      <c r="AY109" s="1507"/>
      <c r="AZ109" s="1507"/>
      <c r="BA109" s="1507"/>
      <c r="BB109" s="1439"/>
      <c r="BC109" s="1440"/>
      <c r="BD109" s="1440"/>
      <c r="BE109" s="1440"/>
      <c r="BF109" s="1440"/>
      <c r="BG109" s="1440"/>
      <c r="BH109" s="1440"/>
      <c r="BI109" s="1440"/>
      <c r="BJ109" s="1507"/>
      <c r="BK109" s="1507"/>
      <c r="BL109" s="1507"/>
      <c r="BM109" s="1507"/>
      <c r="BN109" s="1533"/>
      <c r="BO109" s="1534"/>
      <c r="BP109" s="1534"/>
      <c r="BQ109" s="1534"/>
      <c r="BR109" s="1534"/>
      <c r="BS109" s="1539"/>
      <c r="BT109" s="1539"/>
      <c r="BU109" s="1539"/>
      <c r="BV109" s="1539"/>
      <c r="BW109" s="1539"/>
      <c r="BX109" s="1621" t="s">
        <v>1162</v>
      </c>
      <c r="BY109" s="1622"/>
      <c r="BZ109" s="1622"/>
      <c r="CA109" s="1622"/>
      <c r="CB109" s="1622"/>
      <c r="CC109" s="1622"/>
      <c r="CD109" s="1622"/>
      <c r="CE109" s="1622"/>
      <c r="CF109" s="1622"/>
      <c r="CG109" s="1622"/>
      <c r="CH109" s="1622"/>
      <c r="CI109" s="1622"/>
      <c r="CJ109" s="1622"/>
      <c r="CK109" s="1622"/>
      <c r="CL109" s="1622"/>
      <c r="CM109" s="1622"/>
      <c r="CN109" s="1622"/>
      <c r="CO109" s="1622"/>
      <c r="CP109" s="1622"/>
      <c r="CQ109" s="1622"/>
      <c r="CR109" s="1622"/>
      <c r="CS109" s="1622"/>
      <c r="CT109" s="1622"/>
      <c r="CU109" s="1622"/>
      <c r="CV109" s="1622"/>
      <c r="CW109" s="1622"/>
      <c r="CX109" s="1622"/>
      <c r="CY109" s="1622"/>
      <c r="CZ109" s="1622"/>
      <c r="DA109" s="1622"/>
      <c r="DB109" s="1622"/>
      <c r="DC109" s="1622"/>
      <c r="DD109" s="1622"/>
      <c r="DE109" s="1622"/>
      <c r="DF109" s="1622"/>
      <c r="DG109" s="1622"/>
      <c r="DH109" s="1622"/>
      <c r="DI109" s="1622"/>
      <c r="DJ109" s="1622"/>
      <c r="DK109" s="1622"/>
      <c r="DL109" s="1623"/>
    </row>
    <row r="110" spans="2:117" ht="7.5" customHeight="1" thickBot="1">
      <c r="B110" s="1522"/>
      <c r="C110" s="1523"/>
      <c r="D110" s="1523"/>
      <c r="E110" s="1523"/>
      <c r="F110" s="1523"/>
      <c r="G110" s="1523"/>
      <c r="H110" s="1523"/>
      <c r="I110" s="1523"/>
      <c r="J110" s="1524"/>
      <c r="K110" s="1524"/>
      <c r="L110" s="1524"/>
      <c r="M110" s="1524"/>
      <c r="N110" s="1524"/>
      <c r="O110" s="1525"/>
      <c r="P110" s="1526"/>
      <c r="Q110" s="1527"/>
      <c r="R110" s="1527"/>
      <c r="S110" s="1527"/>
      <c r="T110" s="1527"/>
      <c r="U110" s="1528"/>
      <c r="V110" s="1529"/>
      <c r="W110" s="1530"/>
      <c r="X110" s="1530"/>
      <c r="Y110" s="1530"/>
      <c r="Z110" s="1530"/>
      <c r="AA110" s="1530"/>
      <c r="AB110" s="1447"/>
      <c r="AC110" s="1448"/>
      <c r="AD110" s="1448"/>
      <c r="AE110" s="1448"/>
      <c r="AF110" s="1448"/>
      <c r="AG110" s="1448"/>
      <c r="AH110" s="1448"/>
      <c r="AI110" s="1448"/>
      <c r="AJ110" s="1448"/>
      <c r="AK110" s="1448"/>
      <c r="AL110" s="1448"/>
      <c r="AM110" s="1448"/>
      <c r="AN110" s="1448"/>
      <c r="AO110" s="1448"/>
      <c r="AP110" s="1441"/>
      <c r="AQ110" s="1442"/>
      <c r="AR110" s="1442"/>
      <c r="AS110" s="1442"/>
      <c r="AT110" s="1442"/>
      <c r="AU110" s="1442"/>
      <c r="AV110" s="1442"/>
      <c r="AW110" s="1442"/>
      <c r="AX110" s="1508"/>
      <c r="AY110" s="1508"/>
      <c r="AZ110" s="1508"/>
      <c r="BA110" s="1508"/>
      <c r="BB110" s="1441"/>
      <c r="BC110" s="1442"/>
      <c r="BD110" s="1442"/>
      <c r="BE110" s="1442"/>
      <c r="BF110" s="1442"/>
      <c r="BG110" s="1442"/>
      <c r="BH110" s="1442"/>
      <c r="BI110" s="1442"/>
      <c r="BJ110" s="1508"/>
      <c r="BK110" s="1508"/>
      <c r="BL110" s="1508"/>
      <c r="BM110" s="1508"/>
      <c r="BN110" s="1535"/>
      <c r="BO110" s="1536"/>
      <c r="BP110" s="1536"/>
      <c r="BQ110" s="1536"/>
      <c r="BR110" s="1536"/>
      <c r="BS110" s="1540"/>
      <c r="BT110" s="1540"/>
      <c r="BU110" s="1540"/>
      <c r="BV110" s="1540"/>
      <c r="BW110" s="1540"/>
      <c r="BX110" s="1624"/>
      <c r="BY110" s="1625"/>
      <c r="BZ110" s="1625"/>
      <c r="CA110" s="1625"/>
      <c r="CB110" s="1625"/>
      <c r="CC110" s="1625"/>
      <c r="CD110" s="1625"/>
      <c r="CE110" s="1625"/>
      <c r="CF110" s="1625"/>
      <c r="CG110" s="1625"/>
      <c r="CH110" s="1625"/>
      <c r="CI110" s="1625"/>
      <c r="CJ110" s="1625"/>
      <c r="CK110" s="1625"/>
      <c r="CL110" s="1625"/>
      <c r="CM110" s="1625"/>
      <c r="CN110" s="1625"/>
      <c r="CO110" s="1625"/>
      <c r="CP110" s="1625"/>
      <c r="CQ110" s="1625"/>
      <c r="CR110" s="1625"/>
      <c r="CS110" s="1625"/>
      <c r="CT110" s="1625"/>
      <c r="CU110" s="1625"/>
      <c r="CV110" s="1625"/>
      <c r="CW110" s="1625"/>
      <c r="CX110" s="1625"/>
      <c r="CY110" s="1625"/>
      <c r="CZ110" s="1625"/>
      <c r="DA110" s="1625"/>
      <c r="DB110" s="1625"/>
      <c r="DC110" s="1625"/>
      <c r="DD110" s="1625"/>
      <c r="DE110" s="1625"/>
      <c r="DF110" s="1625"/>
      <c r="DG110" s="1625"/>
      <c r="DH110" s="1625"/>
      <c r="DI110" s="1625"/>
      <c r="DJ110" s="1625"/>
      <c r="DK110" s="1625"/>
      <c r="DL110" s="1626"/>
    </row>
    <row r="111" spans="2:117" ht="7.5" customHeight="1" thickTop="1">
      <c r="B111" s="1509" t="s">
        <v>1252</v>
      </c>
      <c r="C111" s="1510"/>
      <c r="D111" s="1510"/>
      <c r="E111" s="1510"/>
      <c r="F111" s="1510"/>
      <c r="G111" s="1510"/>
      <c r="H111" s="1510"/>
      <c r="I111" s="1510"/>
      <c r="J111" s="1510"/>
      <c r="K111" s="1510"/>
      <c r="L111" s="1510"/>
      <c r="M111" s="1510"/>
      <c r="N111" s="1511"/>
      <c r="O111" s="1511"/>
      <c r="P111" s="1513" t="str" cm="1">
        <f t="array" ref="P111">IF(V108="","",_xlfn.IFS(AND(OR(J91="GIGAスクール版",J91=""),BS108&lt;=V108),"正常",(AND(OR(J91="GIGAスクール版",J91=""),BS108&gt;V108)),"要確認",AND(NOT(OR(J91="GIGAスクール版",J91="")),NOT(OR(BS108&gt;V108,BS108&lt;V108))),"正常",AND(NOT(OR(J91="GIGAスクール版",J91="")),OR(BS108&gt;V108,BS108&lt;V108)),"要確認"))</f>
        <v/>
      </c>
      <c r="Q111" s="1514"/>
      <c r="R111" s="1514"/>
      <c r="S111" s="1514"/>
      <c r="T111" s="1514"/>
      <c r="U111" s="1514"/>
      <c r="V111" s="1514"/>
      <c r="W111" s="1514"/>
      <c r="X111" s="1514"/>
      <c r="Y111" s="1514"/>
      <c r="Z111" s="1514"/>
      <c r="AA111" s="1515"/>
      <c r="AB111" s="1516" t="str">
        <f>IFERROR(VLOOKUP(P111,中間データ共通・DACloud!O4:P5,2,FALSE),"")</f>
        <v/>
      </c>
      <c r="AC111" s="1517"/>
      <c r="AD111" s="1517"/>
      <c r="AE111" s="1517"/>
      <c r="AF111" s="1517"/>
      <c r="AG111" s="1517"/>
      <c r="AH111" s="1517"/>
      <c r="AI111" s="1517"/>
      <c r="AJ111" s="1517"/>
      <c r="AK111" s="1517"/>
      <c r="AL111" s="1517"/>
      <c r="AM111" s="1517"/>
      <c r="AN111" s="1517"/>
      <c r="AO111" s="1517"/>
      <c r="AP111" s="1517"/>
      <c r="AQ111" s="1517"/>
      <c r="AR111" s="1517"/>
      <c r="AS111" s="1517"/>
      <c r="AT111" s="1517"/>
      <c r="AU111" s="1517"/>
      <c r="AV111" s="1517"/>
      <c r="AW111" s="1517"/>
      <c r="AX111" s="1517"/>
      <c r="AY111" s="1517"/>
      <c r="AZ111" s="1517"/>
      <c r="BA111" s="1517"/>
      <c r="BB111" s="1517"/>
      <c r="BC111" s="1517"/>
      <c r="BD111" s="1517"/>
      <c r="BE111" s="1517"/>
      <c r="BF111" s="1517"/>
      <c r="BG111" s="1517"/>
      <c r="BH111" s="1517"/>
      <c r="BI111" s="1517"/>
      <c r="BJ111" s="1517"/>
      <c r="BK111" s="1517"/>
      <c r="BL111" s="1517"/>
      <c r="BM111" s="1517"/>
      <c r="BN111" s="1517"/>
      <c r="BO111" s="1517"/>
      <c r="BP111" s="1517"/>
      <c r="BQ111" s="1517"/>
      <c r="BR111" s="1517"/>
      <c r="BS111" s="1517"/>
      <c r="BT111" s="1517"/>
      <c r="BU111" s="1517"/>
      <c r="BV111" s="1517"/>
      <c r="BW111" s="1517"/>
      <c r="BX111" s="1517"/>
      <c r="BY111" s="1517"/>
      <c r="BZ111" s="1517"/>
      <c r="CA111" s="1517"/>
      <c r="CB111" s="1517"/>
      <c r="CC111" s="1517"/>
      <c r="CD111" s="1517"/>
      <c r="CE111" s="1517"/>
      <c r="CF111" s="1517"/>
      <c r="CG111" s="1517"/>
      <c r="CH111" s="1517"/>
      <c r="CI111" s="1517"/>
      <c r="CJ111" s="1517"/>
      <c r="CK111" s="1517"/>
      <c r="CL111" s="1517"/>
      <c r="CM111" s="1517"/>
      <c r="CN111" s="1517"/>
      <c r="CO111" s="1517"/>
      <c r="CP111" s="1517"/>
      <c r="CQ111" s="1517"/>
      <c r="CR111" s="1517"/>
      <c r="CS111" s="1517"/>
      <c r="CT111" s="1517"/>
      <c r="CU111" s="1517"/>
      <c r="CV111" s="1517"/>
      <c r="CW111" s="1517"/>
      <c r="CX111" s="1517"/>
      <c r="CY111" s="1517"/>
      <c r="CZ111" s="1517"/>
      <c r="DA111" s="1517"/>
      <c r="DB111" s="1517"/>
      <c r="DC111" s="1517"/>
      <c r="DD111" s="1517"/>
      <c r="DE111" s="1517"/>
      <c r="DF111" s="1517"/>
      <c r="DG111" s="1517"/>
      <c r="DH111" s="1517"/>
      <c r="DI111" s="1517"/>
      <c r="DJ111" s="1517"/>
      <c r="DK111" s="1517"/>
      <c r="DL111" s="1518"/>
      <c r="DM111" s="692"/>
    </row>
    <row r="112" spans="2:117" ht="15" customHeight="1">
      <c r="B112" s="1512"/>
      <c r="C112" s="1511"/>
      <c r="D112" s="1511"/>
      <c r="E112" s="1511"/>
      <c r="F112" s="1511"/>
      <c r="G112" s="1511"/>
      <c r="H112" s="1511"/>
      <c r="I112" s="1511"/>
      <c r="J112" s="1511"/>
      <c r="K112" s="1511"/>
      <c r="L112" s="1511"/>
      <c r="M112" s="1511"/>
      <c r="N112" s="1511"/>
      <c r="O112" s="1511"/>
      <c r="P112" s="1513"/>
      <c r="Q112" s="1514"/>
      <c r="R112" s="1514"/>
      <c r="S112" s="1514"/>
      <c r="T112" s="1514"/>
      <c r="U112" s="1514"/>
      <c r="V112" s="1514"/>
      <c r="W112" s="1514"/>
      <c r="X112" s="1514"/>
      <c r="Y112" s="1514"/>
      <c r="Z112" s="1514"/>
      <c r="AA112" s="1515"/>
      <c r="AB112" s="1519"/>
      <c r="AC112" s="1520"/>
      <c r="AD112" s="1520"/>
      <c r="AE112" s="1520"/>
      <c r="AF112" s="1520"/>
      <c r="AG112" s="1520"/>
      <c r="AH112" s="1520"/>
      <c r="AI112" s="1520"/>
      <c r="AJ112" s="1520"/>
      <c r="AK112" s="1520"/>
      <c r="AL112" s="1520"/>
      <c r="AM112" s="1520"/>
      <c r="AN112" s="1520"/>
      <c r="AO112" s="1520"/>
      <c r="AP112" s="1520"/>
      <c r="AQ112" s="1520"/>
      <c r="AR112" s="1520"/>
      <c r="AS112" s="1520"/>
      <c r="AT112" s="1520"/>
      <c r="AU112" s="1520"/>
      <c r="AV112" s="1520"/>
      <c r="AW112" s="1520"/>
      <c r="AX112" s="1520"/>
      <c r="AY112" s="1520"/>
      <c r="AZ112" s="1520"/>
      <c r="BA112" s="1520"/>
      <c r="BB112" s="1520"/>
      <c r="BC112" s="1520"/>
      <c r="BD112" s="1520"/>
      <c r="BE112" s="1520"/>
      <c r="BF112" s="1520"/>
      <c r="BG112" s="1520"/>
      <c r="BH112" s="1520"/>
      <c r="BI112" s="1520"/>
      <c r="BJ112" s="1520"/>
      <c r="BK112" s="1520"/>
      <c r="BL112" s="1520"/>
      <c r="BM112" s="1520"/>
      <c r="BN112" s="1520"/>
      <c r="BO112" s="1520"/>
      <c r="BP112" s="1520"/>
      <c r="BQ112" s="1520"/>
      <c r="BR112" s="1520"/>
      <c r="BS112" s="1520"/>
      <c r="BT112" s="1520"/>
      <c r="BU112" s="1520"/>
      <c r="BV112" s="1520"/>
      <c r="BW112" s="1520"/>
      <c r="BX112" s="1520"/>
      <c r="BY112" s="1520"/>
      <c r="BZ112" s="1520"/>
      <c r="CA112" s="1520"/>
      <c r="CB112" s="1520"/>
      <c r="CC112" s="1520"/>
      <c r="CD112" s="1520"/>
      <c r="CE112" s="1520"/>
      <c r="CF112" s="1520"/>
      <c r="CG112" s="1520"/>
      <c r="CH112" s="1520"/>
      <c r="CI112" s="1520"/>
      <c r="CJ112" s="1520"/>
      <c r="CK112" s="1520"/>
      <c r="CL112" s="1520"/>
      <c r="CM112" s="1520"/>
      <c r="CN112" s="1520"/>
      <c r="CO112" s="1520"/>
      <c r="CP112" s="1520"/>
      <c r="CQ112" s="1520"/>
      <c r="CR112" s="1520"/>
      <c r="CS112" s="1520"/>
      <c r="CT112" s="1520"/>
      <c r="CU112" s="1520"/>
      <c r="CV112" s="1520"/>
      <c r="CW112" s="1520"/>
      <c r="CX112" s="1520"/>
      <c r="CY112" s="1520"/>
      <c r="CZ112" s="1520"/>
      <c r="DA112" s="1520"/>
      <c r="DB112" s="1520"/>
      <c r="DC112" s="1520"/>
      <c r="DD112" s="1520"/>
      <c r="DE112" s="1520"/>
      <c r="DF112" s="1520"/>
      <c r="DG112" s="1520"/>
      <c r="DH112" s="1520"/>
      <c r="DI112" s="1520"/>
      <c r="DJ112" s="1520"/>
      <c r="DK112" s="1520"/>
      <c r="DL112" s="1521"/>
    </row>
    <row r="113" spans="1:117" ht="15" customHeight="1">
      <c r="A113" s="674"/>
      <c r="B113" s="1564" t="s">
        <v>1550</v>
      </c>
      <c r="C113" s="1565"/>
      <c r="D113" s="1565"/>
      <c r="E113" s="1565"/>
      <c r="F113" s="1565"/>
      <c r="G113" s="1565"/>
      <c r="H113" s="1565"/>
      <c r="I113" s="1565"/>
      <c r="J113" s="1565"/>
      <c r="K113" s="1565"/>
      <c r="L113" s="1565"/>
      <c r="M113" s="1565"/>
      <c r="N113" s="1565"/>
      <c r="O113" s="1565"/>
      <c r="P113" s="1565"/>
      <c r="Q113" s="1565"/>
      <c r="R113" s="1565"/>
      <c r="S113" s="1565"/>
      <c r="T113" s="1565"/>
      <c r="U113" s="1565"/>
      <c r="V113" s="1565"/>
      <c r="W113" s="1565"/>
      <c r="X113" s="1565"/>
      <c r="Y113" s="1565"/>
      <c r="Z113" s="1565"/>
      <c r="AA113" s="1565"/>
      <c r="AB113" s="1565"/>
      <c r="AC113" s="1565"/>
      <c r="AD113" s="1565"/>
      <c r="AE113" s="1565"/>
      <c r="AF113" s="1565"/>
      <c r="AG113" s="1565"/>
      <c r="AH113" s="1565"/>
      <c r="AI113" s="1565"/>
      <c r="AJ113" s="1565"/>
      <c r="AK113" s="1565"/>
      <c r="AL113" s="1565"/>
      <c r="AM113" s="1565"/>
      <c r="AN113" s="1565"/>
      <c r="AO113" s="1565"/>
      <c r="AP113" s="1565"/>
      <c r="AQ113" s="1565"/>
      <c r="AR113" s="1565"/>
      <c r="AS113" s="1565"/>
      <c r="AT113" s="1565"/>
      <c r="AU113" s="1565"/>
      <c r="AV113" s="1565"/>
      <c r="AW113" s="1565"/>
      <c r="AX113" s="1565"/>
      <c r="AY113" s="1565"/>
      <c r="AZ113" s="1565"/>
      <c r="BA113" s="1565"/>
      <c r="BB113" s="1565"/>
      <c r="BC113" s="1565"/>
      <c r="BD113" s="1565"/>
      <c r="BE113" s="1565"/>
      <c r="BF113" s="1565"/>
      <c r="BG113" s="1565"/>
      <c r="BH113" s="1565"/>
      <c r="BI113" s="1565"/>
      <c r="BJ113" s="1565"/>
      <c r="BK113" s="1565"/>
      <c r="BL113" s="1565"/>
      <c r="BM113" s="1565"/>
      <c r="BN113" s="1565"/>
      <c r="BO113" s="1565"/>
      <c r="BP113" s="1565"/>
      <c r="BQ113" s="1565"/>
      <c r="BR113" s="1565"/>
      <c r="BS113" s="1565"/>
      <c r="BT113" s="1565"/>
      <c r="BU113" s="1565"/>
      <c r="BV113" s="1565"/>
      <c r="BW113" s="1565"/>
      <c r="BX113" s="1565"/>
      <c r="BY113" s="1565"/>
      <c r="BZ113" s="1565"/>
      <c r="CA113" s="1565"/>
      <c r="CB113" s="1565"/>
      <c r="CC113" s="1565"/>
      <c r="CD113" s="1565"/>
      <c r="CE113" s="1565"/>
      <c r="CF113" s="1565"/>
      <c r="CG113" s="1565"/>
      <c r="CH113" s="1565"/>
      <c r="CI113" s="1565"/>
      <c r="CJ113" s="1565"/>
      <c r="CK113" s="1565"/>
      <c r="CL113" s="1565"/>
      <c r="CM113" s="1565"/>
      <c r="CN113" s="1565"/>
      <c r="CO113" s="1565"/>
      <c r="CP113" s="1565"/>
      <c r="CQ113" s="1565"/>
      <c r="CR113" s="1565"/>
      <c r="CS113" s="1565"/>
      <c r="CT113" s="1565"/>
      <c r="CU113" s="1565"/>
      <c r="CV113" s="1565"/>
      <c r="CW113" s="1565"/>
      <c r="CX113" s="1565"/>
      <c r="CY113" s="1565"/>
      <c r="CZ113" s="1565"/>
      <c r="DA113" s="1565"/>
      <c r="DB113" s="1565"/>
      <c r="DC113" s="1565"/>
      <c r="DD113" s="1565"/>
      <c r="DE113" s="1565"/>
      <c r="DF113" s="1565"/>
      <c r="DG113" s="1565"/>
      <c r="DH113" s="1565"/>
      <c r="DI113" s="1565"/>
      <c r="DJ113" s="1565"/>
      <c r="DK113" s="1565"/>
      <c r="DL113" s="1566"/>
    </row>
    <row r="114" spans="1:117" ht="7.5" customHeight="1">
      <c r="A114" s="674"/>
      <c r="B114" s="774" t="s">
        <v>397</v>
      </c>
      <c r="C114" s="774"/>
      <c r="D114" s="774"/>
      <c r="E114" s="774"/>
      <c r="F114" s="774"/>
      <c r="G114" s="774"/>
      <c r="H114" s="1567"/>
      <c r="I114" s="1568"/>
      <c r="J114" s="1568"/>
      <c r="K114" s="1568"/>
      <c r="L114" s="1568"/>
      <c r="M114" s="1568"/>
      <c r="N114" s="1568"/>
      <c r="O114" s="1568"/>
      <c r="P114" s="1568"/>
      <c r="Q114" s="1568"/>
      <c r="R114" s="1568"/>
      <c r="S114" s="1569"/>
      <c r="T114" s="1362" t="s">
        <v>398</v>
      </c>
      <c r="U114" s="1275"/>
      <c r="V114" s="1275"/>
      <c r="W114" s="1275"/>
      <c r="X114" s="1275"/>
      <c r="Y114" s="1275"/>
      <c r="Z114" s="1275"/>
      <c r="AA114" s="1421"/>
      <c r="AB114" s="1424"/>
      <c r="AC114" s="1425"/>
      <c r="AD114" s="1426"/>
      <c r="AE114" s="1429" t="s">
        <v>1390</v>
      </c>
      <c r="AF114" s="1430"/>
      <c r="AG114" s="1430"/>
      <c r="AH114" s="1430"/>
      <c r="AI114" s="1430"/>
      <c r="AJ114" s="1430"/>
      <c r="AK114" s="1430"/>
      <c r="AL114" s="1431"/>
      <c r="AM114" s="1434"/>
      <c r="AN114" s="1435"/>
      <c r="AO114" s="1435"/>
      <c r="AP114" s="1435"/>
      <c r="AQ114" s="1435"/>
      <c r="AR114" s="1435"/>
      <c r="AS114" s="1435"/>
      <c r="AT114" s="1435"/>
      <c r="AU114" s="1435"/>
      <c r="AV114" s="1435"/>
      <c r="AW114" s="1436"/>
      <c r="AX114" s="1429" t="s">
        <v>1380</v>
      </c>
      <c r="AY114" s="1430"/>
      <c r="AZ114" s="1430"/>
      <c r="BA114" s="1430"/>
      <c r="BB114" s="1430"/>
      <c r="BC114" s="1430"/>
      <c r="BD114" s="1430"/>
      <c r="BE114" s="1430"/>
      <c r="BF114" s="1430"/>
      <c r="BG114" s="1633"/>
      <c r="BH114" s="1666"/>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c r="CE114" s="1568"/>
      <c r="CF114" s="1667"/>
      <c r="CG114" s="1672"/>
      <c r="CH114" s="1673"/>
      <c r="CI114" s="1673"/>
      <c r="CJ114" s="1673"/>
      <c r="CK114" s="1673"/>
      <c r="CL114" s="1673"/>
      <c r="CM114" s="1673"/>
      <c r="CN114" s="1673"/>
      <c r="CO114" s="1673"/>
      <c r="CP114" s="1673"/>
      <c r="CQ114" s="1673"/>
      <c r="CR114" s="1673"/>
      <c r="CS114" s="1673"/>
      <c r="CT114" s="1673"/>
      <c r="CU114" s="1673"/>
      <c r="CV114" s="1673"/>
      <c r="CW114" s="1673"/>
      <c r="CX114" s="1673"/>
      <c r="CY114" s="1673"/>
      <c r="CZ114" s="1673"/>
      <c r="DA114" s="1673"/>
      <c r="DB114" s="1673"/>
      <c r="DC114" s="1673"/>
      <c r="DD114" s="1673"/>
      <c r="DE114" s="1673"/>
      <c r="DF114" s="1673"/>
      <c r="DG114" s="1673"/>
      <c r="DH114" s="1673"/>
      <c r="DI114" s="1673"/>
      <c r="DJ114" s="1673"/>
      <c r="DK114" s="1673"/>
      <c r="DL114" s="1674"/>
    </row>
    <row r="115" spans="1:117" ht="7.5" customHeight="1">
      <c r="A115" s="674"/>
      <c r="B115" s="774"/>
      <c r="C115" s="774"/>
      <c r="D115" s="774"/>
      <c r="E115" s="774"/>
      <c r="F115" s="774"/>
      <c r="G115" s="774"/>
      <c r="H115" s="1570"/>
      <c r="I115" s="1571"/>
      <c r="J115" s="1571"/>
      <c r="K115" s="1571"/>
      <c r="L115" s="1571"/>
      <c r="M115" s="1571"/>
      <c r="N115" s="1571"/>
      <c r="O115" s="1571"/>
      <c r="P115" s="1571"/>
      <c r="Q115" s="1571"/>
      <c r="R115" s="1571"/>
      <c r="S115" s="1572"/>
      <c r="T115" s="1422"/>
      <c r="U115" s="774"/>
      <c r="V115" s="774"/>
      <c r="W115" s="774"/>
      <c r="X115" s="774"/>
      <c r="Y115" s="774"/>
      <c r="Z115" s="774"/>
      <c r="AA115" s="1423"/>
      <c r="AB115" s="1427"/>
      <c r="AC115" s="1367"/>
      <c r="AD115" s="1428"/>
      <c r="AE115" s="1432"/>
      <c r="AF115" s="774"/>
      <c r="AG115" s="774"/>
      <c r="AH115" s="774"/>
      <c r="AI115" s="774"/>
      <c r="AJ115" s="774"/>
      <c r="AK115" s="774"/>
      <c r="AL115" s="1433"/>
      <c r="AM115" s="1434"/>
      <c r="AN115" s="1435"/>
      <c r="AO115" s="1435"/>
      <c r="AP115" s="1435"/>
      <c r="AQ115" s="1435"/>
      <c r="AR115" s="1435"/>
      <c r="AS115" s="1435"/>
      <c r="AT115" s="1435"/>
      <c r="AU115" s="1435"/>
      <c r="AV115" s="1435"/>
      <c r="AW115" s="1436"/>
      <c r="AX115" s="1432"/>
      <c r="AY115" s="774"/>
      <c r="AZ115" s="774"/>
      <c r="BA115" s="774"/>
      <c r="BB115" s="774"/>
      <c r="BC115" s="774"/>
      <c r="BD115" s="774"/>
      <c r="BE115" s="774"/>
      <c r="BF115" s="774"/>
      <c r="BG115" s="1423"/>
      <c r="BH115" s="1668"/>
      <c r="BI115" s="1571"/>
      <c r="BJ115" s="1571"/>
      <c r="BK115" s="1571"/>
      <c r="BL115" s="1571"/>
      <c r="BM115" s="1571"/>
      <c r="BN115" s="1571"/>
      <c r="BO115" s="1571"/>
      <c r="BP115" s="1571"/>
      <c r="BQ115" s="1571"/>
      <c r="BR115" s="1571"/>
      <c r="BS115" s="1571"/>
      <c r="BT115" s="1571"/>
      <c r="BU115" s="1571"/>
      <c r="BV115" s="1571"/>
      <c r="BW115" s="1571"/>
      <c r="BX115" s="1571"/>
      <c r="BY115" s="1571"/>
      <c r="BZ115" s="1571"/>
      <c r="CA115" s="1571"/>
      <c r="CB115" s="1571"/>
      <c r="CC115" s="1571"/>
      <c r="CD115" s="1571"/>
      <c r="CE115" s="1571"/>
      <c r="CF115" s="1669"/>
      <c r="CG115" s="1672"/>
      <c r="CH115" s="1673"/>
      <c r="CI115" s="1673"/>
      <c r="CJ115" s="1673"/>
      <c r="CK115" s="1673"/>
      <c r="CL115" s="1673"/>
      <c r="CM115" s="1673"/>
      <c r="CN115" s="1673"/>
      <c r="CO115" s="1673"/>
      <c r="CP115" s="1673"/>
      <c r="CQ115" s="1673"/>
      <c r="CR115" s="1673"/>
      <c r="CS115" s="1673"/>
      <c r="CT115" s="1673"/>
      <c r="CU115" s="1673"/>
      <c r="CV115" s="1673"/>
      <c r="CW115" s="1673"/>
      <c r="CX115" s="1673"/>
      <c r="CY115" s="1673"/>
      <c r="CZ115" s="1673"/>
      <c r="DA115" s="1673"/>
      <c r="DB115" s="1673"/>
      <c r="DC115" s="1673"/>
      <c r="DD115" s="1673"/>
      <c r="DE115" s="1673"/>
      <c r="DF115" s="1673"/>
      <c r="DG115" s="1673"/>
      <c r="DH115" s="1673"/>
      <c r="DI115" s="1673"/>
      <c r="DJ115" s="1673"/>
      <c r="DK115" s="1673"/>
      <c r="DL115" s="1674"/>
    </row>
    <row r="116" spans="1:117" ht="7.5" customHeight="1">
      <c r="A116" s="674"/>
      <c r="B116" s="774"/>
      <c r="C116" s="774"/>
      <c r="D116" s="774"/>
      <c r="E116" s="774"/>
      <c r="F116" s="774"/>
      <c r="G116" s="774"/>
      <c r="H116" s="1573"/>
      <c r="I116" s="1574"/>
      <c r="J116" s="1574"/>
      <c r="K116" s="1574"/>
      <c r="L116" s="1574"/>
      <c r="M116" s="1574"/>
      <c r="N116" s="1574"/>
      <c r="O116" s="1574"/>
      <c r="P116" s="1574"/>
      <c r="Q116" s="1574"/>
      <c r="R116" s="1574"/>
      <c r="S116" s="1575"/>
      <c r="T116" s="1422"/>
      <c r="U116" s="774"/>
      <c r="V116" s="774"/>
      <c r="W116" s="774"/>
      <c r="X116" s="774"/>
      <c r="Y116" s="774"/>
      <c r="Z116" s="774"/>
      <c r="AA116" s="1423"/>
      <c r="AB116" s="1427"/>
      <c r="AC116" s="1367"/>
      <c r="AD116" s="1428"/>
      <c r="AE116" s="1432"/>
      <c r="AF116" s="774"/>
      <c r="AG116" s="774"/>
      <c r="AH116" s="774"/>
      <c r="AI116" s="774"/>
      <c r="AJ116" s="774"/>
      <c r="AK116" s="774"/>
      <c r="AL116" s="1433"/>
      <c r="AM116" s="1434"/>
      <c r="AN116" s="1435"/>
      <c r="AO116" s="1435"/>
      <c r="AP116" s="1435"/>
      <c r="AQ116" s="1435"/>
      <c r="AR116" s="1435"/>
      <c r="AS116" s="1435"/>
      <c r="AT116" s="1435"/>
      <c r="AU116" s="1435"/>
      <c r="AV116" s="1435"/>
      <c r="AW116" s="1436"/>
      <c r="AX116" s="1432"/>
      <c r="AY116" s="774"/>
      <c r="AZ116" s="774"/>
      <c r="BA116" s="774"/>
      <c r="BB116" s="774"/>
      <c r="BC116" s="774"/>
      <c r="BD116" s="774"/>
      <c r="BE116" s="774"/>
      <c r="BF116" s="774"/>
      <c r="BG116" s="1423"/>
      <c r="BH116" s="1670"/>
      <c r="BI116" s="1574"/>
      <c r="BJ116" s="1574"/>
      <c r="BK116" s="1574"/>
      <c r="BL116" s="1574"/>
      <c r="BM116" s="1574"/>
      <c r="BN116" s="1574"/>
      <c r="BO116" s="1574"/>
      <c r="BP116" s="1574"/>
      <c r="BQ116" s="1574"/>
      <c r="BR116" s="1574"/>
      <c r="BS116" s="1574"/>
      <c r="BT116" s="1574"/>
      <c r="BU116" s="1574"/>
      <c r="BV116" s="1574"/>
      <c r="BW116" s="1574"/>
      <c r="BX116" s="1574"/>
      <c r="BY116" s="1574"/>
      <c r="BZ116" s="1574"/>
      <c r="CA116" s="1574"/>
      <c r="CB116" s="1574"/>
      <c r="CC116" s="1574"/>
      <c r="CD116" s="1574"/>
      <c r="CE116" s="1574"/>
      <c r="CF116" s="1671"/>
      <c r="CG116" s="1675"/>
      <c r="CH116" s="1676"/>
      <c r="CI116" s="1676"/>
      <c r="CJ116" s="1676"/>
      <c r="CK116" s="1676"/>
      <c r="CL116" s="1676"/>
      <c r="CM116" s="1676"/>
      <c r="CN116" s="1676"/>
      <c r="CO116" s="1676"/>
      <c r="CP116" s="1676"/>
      <c r="CQ116" s="1676"/>
      <c r="CR116" s="1676"/>
      <c r="CS116" s="1676"/>
      <c r="CT116" s="1676"/>
      <c r="CU116" s="1676"/>
      <c r="CV116" s="1676"/>
      <c r="CW116" s="1676"/>
      <c r="CX116" s="1676"/>
      <c r="CY116" s="1676"/>
      <c r="CZ116" s="1676"/>
      <c r="DA116" s="1676"/>
      <c r="DB116" s="1676"/>
      <c r="DC116" s="1676"/>
      <c r="DD116" s="1676"/>
      <c r="DE116" s="1676"/>
      <c r="DF116" s="1676"/>
      <c r="DG116" s="1676"/>
      <c r="DH116" s="1676"/>
      <c r="DI116" s="1676"/>
      <c r="DJ116" s="1676"/>
      <c r="DK116" s="1676"/>
      <c r="DL116" s="1677"/>
    </row>
    <row r="117" spans="1:117" ht="7.5" customHeight="1">
      <c r="B117" s="1509" t="s">
        <v>1523</v>
      </c>
      <c r="C117" s="1510"/>
      <c r="D117" s="1510"/>
      <c r="E117" s="1510"/>
      <c r="F117" s="1510"/>
      <c r="G117" s="1510"/>
      <c r="H117" s="1510"/>
      <c r="I117" s="1510"/>
      <c r="J117" s="1510"/>
      <c r="K117" s="1510"/>
      <c r="L117" s="1556"/>
      <c r="M117" s="1627"/>
      <c r="N117" s="1628"/>
      <c r="O117" s="1628"/>
      <c r="P117" s="1628"/>
      <c r="Q117" s="1550" t="s">
        <v>1304</v>
      </c>
      <c r="R117" s="1551"/>
      <c r="S117" s="1551"/>
      <c r="T117" s="1551"/>
      <c r="U117" s="1551"/>
      <c r="V117" s="1551"/>
      <c r="W117" s="1551"/>
      <c r="X117" s="1551"/>
      <c r="Y117" s="1551"/>
      <c r="Z117" s="1551"/>
      <c r="AA117" s="1551"/>
      <c r="AB117" s="1551"/>
      <c r="AC117" s="1551"/>
      <c r="AD117" s="1541" t="s">
        <v>1566</v>
      </c>
      <c r="AE117" s="1542"/>
      <c r="AF117" s="1542"/>
      <c r="AG117" s="1542"/>
      <c r="AH117" s="1542"/>
      <c r="AI117" s="1542"/>
      <c r="AJ117" s="1542"/>
      <c r="AK117" s="1542"/>
      <c r="AL117" s="1542"/>
      <c r="AM117" s="1542"/>
      <c r="AN117" s="1542"/>
      <c r="AO117" s="1542"/>
      <c r="AP117" s="1542"/>
      <c r="AQ117" s="1542"/>
      <c r="AR117" s="1542"/>
      <c r="AS117" s="1542"/>
      <c r="AT117" s="1542"/>
      <c r="AU117" s="1542"/>
      <c r="AV117" s="1542"/>
      <c r="AW117" s="1542"/>
      <c r="AX117" s="1542"/>
      <c r="AY117" s="1542"/>
      <c r="AZ117" s="1542"/>
      <c r="BA117" s="1542"/>
      <c r="BB117" s="1542"/>
      <c r="BC117" s="1542"/>
      <c r="BD117" s="1542"/>
      <c r="BE117" s="1542"/>
      <c r="BF117" s="1542"/>
      <c r="BG117" s="1542"/>
      <c r="BH117" s="1542"/>
      <c r="BI117" s="1542"/>
      <c r="BJ117" s="1542"/>
      <c r="BK117" s="1542"/>
      <c r="BL117" s="1542"/>
      <c r="BM117" s="1542"/>
      <c r="BN117" s="1542"/>
      <c r="BO117" s="1542"/>
      <c r="BP117" s="1542"/>
      <c r="BQ117" s="1542"/>
      <c r="BR117" s="1542"/>
      <c r="BS117" s="1542"/>
      <c r="BT117" s="1542"/>
      <c r="BU117" s="1542"/>
      <c r="BV117" s="1542"/>
      <c r="BW117" s="1542"/>
      <c r="BX117" s="1542"/>
      <c r="BY117" s="1542"/>
      <c r="BZ117" s="1542"/>
      <c r="CA117" s="1542"/>
      <c r="CB117" s="1542"/>
      <c r="CC117" s="1542"/>
      <c r="CD117" s="1542"/>
      <c r="CE117" s="1542"/>
      <c r="CF117" s="1542"/>
      <c r="CG117" s="1542"/>
      <c r="CH117" s="1542"/>
      <c r="CI117" s="1542"/>
      <c r="CJ117" s="1542"/>
      <c r="CK117" s="1542"/>
      <c r="CL117" s="1542"/>
      <c r="CM117" s="1542"/>
      <c r="CN117" s="1542"/>
      <c r="CO117" s="1542"/>
      <c r="CP117" s="1542"/>
      <c r="CQ117" s="1542"/>
      <c r="CR117" s="1542"/>
      <c r="CS117" s="1542"/>
      <c r="CT117" s="1542"/>
      <c r="CU117" s="1542"/>
      <c r="CV117" s="1542"/>
      <c r="CW117" s="1542"/>
      <c r="CX117" s="1542"/>
      <c r="CY117" s="1542"/>
      <c r="CZ117" s="1542"/>
      <c r="DA117" s="1542"/>
      <c r="DB117" s="1542"/>
      <c r="DC117" s="1542"/>
      <c r="DD117" s="1543"/>
      <c r="DE117" s="1567"/>
      <c r="DF117" s="1568"/>
      <c r="DG117" s="1568"/>
      <c r="DH117" s="1568"/>
      <c r="DI117" s="1568"/>
      <c r="DJ117" s="1568"/>
      <c r="DK117" s="1568"/>
      <c r="DL117" s="1664"/>
    </row>
    <row r="118" spans="1:117" ht="7.5" customHeight="1">
      <c r="B118" s="1512"/>
      <c r="C118" s="1511"/>
      <c r="D118" s="1511"/>
      <c r="E118" s="1511"/>
      <c r="F118" s="1511"/>
      <c r="G118" s="1511"/>
      <c r="H118" s="1511"/>
      <c r="I118" s="1511"/>
      <c r="J118" s="1511"/>
      <c r="K118" s="1511"/>
      <c r="L118" s="1557"/>
      <c r="M118" s="1629"/>
      <c r="N118" s="1630"/>
      <c r="O118" s="1630"/>
      <c r="P118" s="1630"/>
      <c r="Q118" s="1552"/>
      <c r="R118" s="1553"/>
      <c r="S118" s="1553"/>
      <c r="T118" s="1553"/>
      <c r="U118" s="1553"/>
      <c r="V118" s="1553"/>
      <c r="W118" s="1553"/>
      <c r="X118" s="1553"/>
      <c r="Y118" s="1553"/>
      <c r="Z118" s="1553"/>
      <c r="AA118" s="1553"/>
      <c r="AB118" s="1553"/>
      <c r="AC118" s="1553"/>
      <c r="AD118" s="1544"/>
      <c r="AE118" s="1545"/>
      <c r="AF118" s="1545"/>
      <c r="AG118" s="1545"/>
      <c r="AH118" s="1545"/>
      <c r="AI118" s="1545"/>
      <c r="AJ118" s="1545"/>
      <c r="AK118" s="1545"/>
      <c r="AL118" s="1545"/>
      <c r="AM118" s="1545"/>
      <c r="AN118" s="1545"/>
      <c r="AO118" s="1545"/>
      <c r="AP118" s="1545"/>
      <c r="AQ118" s="1545"/>
      <c r="AR118" s="1545"/>
      <c r="AS118" s="1545"/>
      <c r="AT118" s="1545"/>
      <c r="AU118" s="1545"/>
      <c r="AV118" s="1545"/>
      <c r="AW118" s="1545"/>
      <c r="AX118" s="1545"/>
      <c r="AY118" s="1545"/>
      <c r="AZ118" s="1545"/>
      <c r="BA118" s="1545"/>
      <c r="BB118" s="1545"/>
      <c r="BC118" s="1545"/>
      <c r="BD118" s="1545"/>
      <c r="BE118" s="1545"/>
      <c r="BF118" s="1545"/>
      <c r="BG118" s="1545"/>
      <c r="BH118" s="1545"/>
      <c r="BI118" s="1545"/>
      <c r="BJ118" s="1545"/>
      <c r="BK118" s="1545"/>
      <c r="BL118" s="1545"/>
      <c r="BM118" s="1545"/>
      <c r="BN118" s="1545"/>
      <c r="BO118" s="1545"/>
      <c r="BP118" s="1545"/>
      <c r="BQ118" s="1545"/>
      <c r="BR118" s="1545"/>
      <c r="BS118" s="1545"/>
      <c r="BT118" s="1545"/>
      <c r="BU118" s="1545"/>
      <c r="BV118" s="1545"/>
      <c r="BW118" s="1545"/>
      <c r="BX118" s="1545"/>
      <c r="BY118" s="1545"/>
      <c r="BZ118" s="1545"/>
      <c r="CA118" s="1545"/>
      <c r="CB118" s="1545"/>
      <c r="CC118" s="1545"/>
      <c r="CD118" s="1545"/>
      <c r="CE118" s="1545"/>
      <c r="CF118" s="1545"/>
      <c r="CG118" s="1545"/>
      <c r="CH118" s="1545"/>
      <c r="CI118" s="1545"/>
      <c r="CJ118" s="1545"/>
      <c r="CK118" s="1545"/>
      <c r="CL118" s="1545"/>
      <c r="CM118" s="1545"/>
      <c r="CN118" s="1545"/>
      <c r="CO118" s="1545"/>
      <c r="CP118" s="1545"/>
      <c r="CQ118" s="1545"/>
      <c r="CR118" s="1545"/>
      <c r="CS118" s="1545"/>
      <c r="CT118" s="1545"/>
      <c r="CU118" s="1545"/>
      <c r="CV118" s="1545"/>
      <c r="CW118" s="1545"/>
      <c r="CX118" s="1545"/>
      <c r="CY118" s="1545"/>
      <c r="CZ118" s="1545"/>
      <c r="DA118" s="1545"/>
      <c r="DB118" s="1545"/>
      <c r="DC118" s="1545"/>
      <c r="DD118" s="1546"/>
      <c r="DE118" s="1570"/>
      <c r="DF118" s="1571"/>
      <c r="DG118" s="1571"/>
      <c r="DH118" s="1571"/>
      <c r="DI118" s="1571"/>
      <c r="DJ118" s="1571"/>
      <c r="DK118" s="1571"/>
      <c r="DL118" s="1665"/>
    </row>
    <row r="119" spans="1:117" ht="7.5" customHeight="1">
      <c r="B119" s="1558"/>
      <c r="C119" s="1559"/>
      <c r="D119" s="1559"/>
      <c r="E119" s="1559"/>
      <c r="F119" s="1559"/>
      <c r="G119" s="1559"/>
      <c r="H119" s="1559"/>
      <c r="I119" s="1559"/>
      <c r="J119" s="1559"/>
      <c r="K119" s="1559"/>
      <c r="L119" s="1560"/>
      <c r="M119" s="1631"/>
      <c r="N119" s="1632"/>
      <c r="O119" s="1632"/>
      <c r="P119" s="1632"/>
      <c r="Q119" s="1554"/>
      <c r="R119" s="1555"/>
      <c r="S119" s="1555"/>
      <c r="T119" s="1555"/>
      <c r="U119" s="1555"/>
      <c r="V119" s="1555"/>
      <c r="W119" s="1555"/>
      <c r="X119" s="1555"/>
      <c r="Y119" s="1555"/>
      <c r="Z119" s="1555"/>
      <c r="AA119" s="1555"/>
      <c r="AB119" s="1555"/>
      <c r="AC119" s="1555"/>
      <c r="AD119" s="1547"/>
      <c r="AE119" s="1548"/>
      <c r="AF119" s="1548"/>
      <c r="AG119" s="1548"/>
      <c r="AH119" s="1548"/>
      <c r="AI119" s="1548"/>
      <c r="AJ119" s="1548"/>
      <c r="AK119" s="1548"/>
      <c r="AL119" s="1548"/>
      <c r="AM119" s="1548"/>
      <c r="AN119" s="1548"/>
      <c r="AO119" s="1548"/>
      <c r="AP119" s="1548"/>
      <c r="AQ119" s="1548"/>
      <c r="AR119" s="1548"/>
      <c r="AS119" s="1548"/>
      <c r="AT119" s="1548"/>
      <c r="AU119" s="1548"/>
      <c r="AV119" s="1548"/>
      <c r="AW119" s="1548"/>
      <c r="AX119" s="1548"/>
      <c r="AY119" s="1548"/>
      <c r="AZ119" s="1548"/>
      <c r="BA119" s="1548"/>
      <c r="BB119" s="1548"/>
      <c r="BC119" s="1548"/>
      <c r="BD119" s="1548"/>
      <c r="BE119" s="1548"/>
      <c r="BF119" s="1548"/>
      <c r="BG119" s="1548"/>
      <c r="BH119" s="1548"/>
      <c r="BI119" s="1548"/>
      <c r="BJ119" s="1548"/>
      <c r="BK119" s="1548"/>
      <c r="BL119" s="1548"/>
      <c r="BM119" s="1548"/>
      <c r="BN119" s="1548"/>
      <c r="BO119" s="1548"/>
      <c r="BP119" s="1548"/>
      <c r="BQ119" s="1548"/>
      <c r="BR119" s="1548"/>
      <c r="BS119" s="1548"/>
      <c r="BT119" s="1548"/>
      <c r="BU119" s="1548"/>
      <c r="BV119" s="1548"/>
      <c r="BW119" s="1548"/>
      <c r="BX119" s="1548"/>
      <c r="BY119" s="1548"/>
      <c r="BZ119" s="1548"/>
      <c r="CA119" s="1548"/>
      <c r="CB119" s="1548"/>
      <c r="CC119" s="1548"/>
      <c r="CD119" s="1548"/>
      <c r="CE119" s="1548"/>
      <c r="CF119" s="1548"/>
      <c r="CG119" s="1548"/>
      <c r="CH119" s="1548"/>
      <c r="CI119" s="1548"/>
      <c r="CJ119" s="1548"/>
      <c r="CK119" s="1548"/>
      <c r="CL119" s="1548"/>
      <c r="CM119" s="1548"/>
      <c r="CN119" s="1548"/>
      <c r="CO119" s="1548"/>
      <c r="CP119" s="1548"/>
      <c r="CQ119" s="1548"/>
      <c r="CR119" s="1548"/>
      <c r="CS119" s="1548"/>
      <c r="CT119" s="1548"/>
      <c r="CU119" s="1548"/>
      <c r="CV119" s="1548"/>
      <c r="CW119" s="1548"/>
      <c r="CX119" s="1548"/>
      <c r="CY119" s="1548"/>
      <c r="CZ119" s="1548"/>
      <c r="DA119" s="1548"/>
      <c r="DB119" s="1548"/>
      <c r="DC119" s="1548"/>
      <c r="DD119" s="1549"/>
      <c r="DE119" s="1570"/>
      <c r="DF119" s="1571"/>
      <c r="DG119" s="1571"/>
      <c r="DH119" s="1571"/>
      <c r="DI119" s="1571"/>
      <c r="DJ119" s="1571"/>
      <c r="DK119" s="1571"/>
      <c r="DL119" s="1665"/>
    </row>
    <row r="120" spans="1:117" ht="15" customHeight="1">
      <c r="B120" s="1475" t="s">
        <v>1483</v>
      </c>
      <c r="C120" s="1430"/>
      <c r="D120" s="1430"/>
      <c r="E120" s="1430"/>
      <c r="F120" s="1430"/>
      <c r="G120" s="1430"/>
      <c r="H120" s="1430"/>
      <c r="I120" s="1430"/>
      <c r="J120" s="1430"/>
      <c r="K120" s="1430"/>
      <c r="L120" s="1430"/>
      <c r="M120" s="1638"/>
      <c r="N120" s="1410"/>
      <c r="O120" s="1410"/>
      <c r="P120" s="1639"/>
      <c r="Q120" s="1429" t="s">
        <v>1479</v>
      </c>
      <c r="R120" s="1430"/>
      <c r="S120" s="1430"/>
      <c r="T120" s="1430"/>
      <c r="U120" s="1430"/>
      <c r="V120" s="1430"/>
      <c r="W120" s="1430"/>
      <c r="X120" s="1430"/>
      <c r="Y120" s="1430"/>
      <c r="Z120" s="1430"/>
      <c r="AA120" s="1430"/>
      <c r="AB120" s="1430"/>
      <c r="AC120" s="1633"/>
      <c r="AD120" s="1580"/>
      <c r="AE120" s="1581"/>
      <c r="AF120" s="1581"/>
      <c r="AG120" s="1586" t="s">
        <v>1564</v>
      </c>
      <c r="AH120" s="1586"/>
      <c r="AI120" s="1587"/>
      <c r="AJ120" s="1609" t="s">
        <v>1556</v>
      </c>
      <c r="AK120" s="1610"/>
      <c r="AL120" s="1610"/>
      <c r="AM120" s="1610"/>
      <c r="AN120" s="1610"/>
      <c r="AO120" s="1610"/>
      <c r="AP120" s="1610"/>
      <c r="AQ120" s="1610"/>
      <c r="AR120" s="1610"/>
      <c r="AS120" s="1610"/>
      <c r="AT120" s="1610"/>
      <c r="AU120" s="1610"/>
      <c r="AV120" s="1610"/>
      <c r="AW120" s="1610"/>
      <c r="AX120" s="1610"/>
      <c r="AY120" s="1610"/>
      <c r="AZ120" s="1610"/>
      <c r="BA120" s="1610"/>
      <c r="BB120" s="1610"/>
      <c r="BC120" s="1610"/>
      <c r="BD120" s="1610"/>
      <c r="BE120" s="1610"/>
      <c r="BF120" s="1610"/>
      <c r="BG120" s="1610"/>
      <c r="BH120" s="1610"/>
      <c r="BI120" s="1610"/>
      <c r="BJ120" s="1610"/>
      <c r="BK120" s="1610"/>
      <c r="BL120" s="1610"/>
      <c r="BM120" s="1610"/>
      <c r="BN120" s="1610"/>
      <c r="BO120" s="1610"/>
      <c r="BP120" s="1610"/>
      <c r="BQ120" s="1610"/>
      <c r="BR120" s="1610"/>
      <c r="BS120" s="1610"/>
      <c r="BT120" s="1610"/>
      <c r="BU120" s="1610"/>
      <c r="BV120" s="1610"/>
      <c r="BW120" s="1610"/>
      <c r="BX120" s="1610"/>
      <c r="BY120" s="1610"/>
      <c r="BZ120" s="1610"/>
      <c r="CA120" s="1610"/>
      <c r="CB120" s="1610"/>
      <c r="CC120" s="1610"/>
      <c r="CD120" s="1610"/>
      <c r="CE120" s="1610"/>
      <c r="CF120" s="1610"/>
      <c r="CG120" s="1610"/>
      <c r="CH120" s="1610"/>
      <c r="CI120" s="1610"/>
      <c r="CJ120" s="1610"/>
      <c r="CK120" s="1610"/>
      <c r="CL120" s="1610"/>
      <c r="CM120" s="1610"/>
      <c r="CN120" s="1610"/>
      <c r="CO120" s="1610"/>
      <c r="CP120" s="1610"/>
      <c r="CQ120" s="1610"/>
      <c r="CR120" s="1610"/>
      <c r="CS120" s="1610"/>
      <c r="CT120" s="1610"/>
      <c r="CU120" s="1610"/>
      <c r="CV120" s="1610"/>
      <c r="CW120" s="1610"/>
      <c r="CX120" s="1610"/>
      <c r="CY120" s="1610"/>
      <c r="CZ120" s="1610"/>
      <c r="DA120" s="1610"/>
      <c r="DB120" s="1610"/>
      <c r="DC120" s="1610"/>
      <c r="DD120" s="1610"/>
      <c r="DE120" s="1610"/>
      <c r="DF120" s="1610"/>
      <c r="DG120" s="1610"/>
      <c r="DH120" s="1610"/>
      <c r="DI120" s="1610"/>
      <c r="DJ120" s="1610"/>
      <c r="DK120" s="1610"/>
      <c r="DL120" s="1611"/>
    </row>
    <row r="121" spans="1:117" ht="15" customHeight="1">
      <c r="B121" s="1476"/>
      <c r="C121" s="774"/>
      <c r="D121" s="774"/>
      <c r="E121" s="774"/>
      <c r="F121" s="774"/>
      <c r="G121" s="774"/>
      <c r="H121" s="774"/>
      <c r="I121" s="774"/>
      <c r="J121" s="774"/>
      <c r="K121" s="774"/>
      <c r="L121" s="774"/>
      <c r="M121" s="1640"/>
      <c r="N121" s="1641"/>
      <c r="O121" s="1641"/>
      <c r="P121" s="1642"/>
      <c r="Q121" s="1432"/>
      <c r="R121" s="774"/>
      <c r="S121" s="774"/>
      <c r="T121" s="774"/>
      <c r="U121" s="774"/>
      <c r="V121" s="774"/>
      <c r="W121" s="774"/>
      <c r="X121" s="774"/>
      <c r="Y121" s="774"/>
      <c r="Z121" s="774"/>
      <c r="AA121" s="774"/>
      <c r="AB121" s="774"/>
      <c r="AC121" s="1423"/>
      <c r="AD121" s="1582"/>
      <c r="AE121" s="1583"/>
      <c r="AF121" s="1583"/>
      <c r="AG121" s="1588"/>
      <c r="AH121" s="1588"/>
      <c r="AI121" s="1589"/>
      <c r="AJ121" s="1612"/>
      <c r="AK121" s="1613"/>
      <c r="AL121" s="1613"/>
      <c r="AM121" s="1613"/>
      <c r="AN121" s="1613"/>
      <c r="AO121" s="1613"/>
      <c r="AP121" s="1613"/>
      <c r="AQ121" s="1613"/>
      <c r="AR121" s="1613"/>
      <c r="AS121" s="1613"/>
      <c r="AT121" s="1613"/>
      <c r="AU121" s="1613"/>
      <c r="AV121" s="1613"/>
      <c r="AW121" s="1613"/>
      <c r="AX121" s="1613"/>
      <c r="AY121" s="1613"/>
      <c r="AZ121" s="1613"/>
      <c r="BA121" s="1613"/>
      <c r="BB121" s="1613"/>
      <c r="BC121" s="1613"/>
      <c r="BD121" s="1613"/>
      <c r="BE121" s="1613"/>
      <c r="BF121" s="1613"/>
      <c r="BG121" s="1613"/>
      <c r="BH121" s="1613"/>
      <c r="BI121" s="1613"/>
      <c r="BJ121" s="1613"/>
      <c r="BK121" s="1613"/>
      <c r="BL121" s="1613"/>
      <c r="BM121" s="1613"/>
      <c r="BN121" s="1613"/>
      <c r="BO121" s="1613"/>
      <c r="BP121" s="1613"/>
      <c r="BQ121" s="1613"/>
      <c r="BR121" s="1613"/>
      <c r="BS121" s="1613"/>
      <c r="BT121" s="1613"/>
      <c r="BU121" s="1613"/>
      <c r="BV121" s="1613"/>
      <c r="BW121" s="1613"/>
      <c r="BX121" s="1613"/>
      <c r="BY121" s="1613"/>
      <c r="BZ121" s="1613"/>
      <c r="CA121" s="1613"/>
      <c r="CB121" s="1613"/>
      <c r="CC121" s="1613"/>
      <c r="CD121" s="1613"/>
      <c r="CE121" s="1613"/>
      <c r="CF121" s="1613"/>
      <c r="CG121" s="1613"/>
      <c r="CH121" s="1613"/>
      <c r="CI121" s="1613"/>
      <c r="CJ121" s="1613"/>
      <c r="CK121" s="1613"/>
      <c r="CL121" s="1613"/>
      <c r="CM121" s="1613"/>
      <c r="CN121" s="1613"/>
      <c r="CO121" s="1613"/>
      <c r="CP121" s="1613"/>
      <c r="CQ121" s="1613"/>
      <c r="CR121" s="1613"/>
      <c r="CS121" s="1613"/>
      <c r="CT121" s="1613"/>
      <c r="CU121" s="1613"/>
      <c r="CV121" s="1613"/>
      <c r="CW121" s="1613"/>
      <c r="CX121" s="1613"/>
      <c r="CY121" s="1613"/>
      <c r="CZ121" s="1613"/>
      <c r="DA121" s="1613"/>
      <c r="DB121" s="1613"/>
      <c r="DC121" s="1613"/>
      <c r="DD121" s="1613"/>
      <c r="DE121" s="1613"/>
      <c r="DF121" s="1613"/>
      <c r="DG121" s="1613"/>
      <c r="DH121" s="1613"/>
      <c r="DI121" s="1613"/>
      <c r="DJ121" s="1613"/>
      <c r="DK121" s="1613"/>
      <c r="DL121" s="1614"/>
    </row>
    <row r="122" spans="1:117" ht="15" customHeight="1">
      <c r="B122" s="1477"/>
      <c r="C122" s="1478"/>
      <c r="D122" s="1478"/>
      <c r="E122" s="1478"/>
      <c r="F122" s="1478"/>
      <c r="G122" s="1478"/>
      <c r="H122" s="1478"/>
      <c r="I122" s="1478"/>
      <c r="J122" s="1478"/>
      <c r="K122" s="1478"/>
      <c r="L122" s="1478"/>
      <c r="M122" s="1643"/>
      <c r="N122" s="1644"/>
      <c r="O122" s="1644"/>
      <c r="P122" s="1645"/>
      <c r="Q122" s="1601"/>
      <c r="R122" s="1478"/>
      <c r="S122" s="1478"/>
      <c r="T122" s="1478"/>
      <c r="U122" s="1478"/>
      <c r="V122" s="1478"/>
      <c r="W122" s="1478"/>
      <c r="X122" s="1478"/>
      <c r="Y122" s="1478"/>
      <c r="Z122" s="1478"/>
      <c r="AA122" s="1478"/>
      <c r="AB122" s="1478"/>
      <c r="AC122" s="1634"/>
      <c r="AD122" s="1584"/>
      <c r="AE122" s="1585"/>
      <c r="AF122" s="1585"/>
      <c r="AG122" s="1590"/>
      <c r="AH122" s="1590"/>
      <c r="AI122" s="1591"/>
      <c r="AJ122" s="1635"/>
      <c r="AK122" s="1636"/>
      <c r="AL122" s="1636"/>
      <c r="AM122" s="1636"/>
      <c r="AN122" s="1636"/>
      <c r="AO122" s="1636"/>
      <c r="AP122" s="1636"/>
      <c r="AQ122" s="1636"/>
      <c r="AR122" s="1636"/>
      <c r="AS122" s="1636"/>
      <c r="AT122" s="1636"/>
      <c r="AU122" s="1636"/>
      <c r="AV122" s="1636"/>
      <c r="AW122" s="1636"/>
      <c r="AX122" s="1636"/>
      <c r="AY122" s="1636"/>
      <c r="AZ122" s="1636"/>
      <c r="BA122" s="1636"/>
      <c r="BB122" s="1636"/>
      <c r="BC122" s="1636"/>
      <c r="BD122" s="1636"/>
      <c r="BE122" s="1636"/>
      <c r="BF122" s="1636"/>
      <c r="BG122" s="1636"/>
      <c r="BH122" s="1636"/>
      <c r="BI122" s="1636"/>
      <c r="BJ122" s="1636"/>
      <c r="BK122" s="1636"/>
      <c r="BL122" s="1636"/>
      <c r="BM122" s="1636"/>
      <c r="BN122" s="1636"/>
      <c r="BO122" s="1636"/>
      <c r="BP122" s="1636"/>
      <c r="BQ122" s="1636"/>
      <c r="BR122" s="1636"/>
      <c r="BS122" s="1636"/>
      <c r="BT122" s="1636"/>
      <c r="BU122" s="1636"/>
      <c r="BV122" s="1636"/>
      <c r="BW122" s="1636"/>
      <c r="BX122" s="1636"/>
      <c r="BY122" s="1636"/>
      <c r="BZ122" s="1636"/>
      <c r="CA122" s="1636"/>
      <c r="CB122" s="1636"/>
      <c r="CC122" s="1636"/>
      <c r="CD122" s="1636"/>
      <c r="CE122" s="1636"/>
      <c r="CF122" s="1636"/>
      <c r="CG122" s="1636"/>
      <c r="CH122" s="1636"/>
      <c r="CI122" s="1636"/>
      <c r="CJ122" s="1636"/>
      <c r="CK122" s="1636"/>
      <c r="CL122" s="1636"/>
      <c r="CM122" s="1636"/>
      <c r="CN122" s="1636"/>
      <c r="CO122" s="1636"/>
      <c r="CP122" s="1636"/>
      <c r="CQ122" s="1636"/>
      <c r="CR122" s="1636"/>
      <c r="CS122" s="1636"/>
      <c r="CT122" s="1636"/>
      <c r="CU122" s="1636"/>
      <c r="CV122" s="1636"/>
      <c r="CW122" s="1636"/>
      <c r="CX122" s="1636"/>
      <c r="CY122" s="1636"/>
      <c r="CZ122" s="1636"/>
      <c r="DA122" s="1636"/>
      <c r="DB122" s="1636"/>
      <c r="DC122" s="1636"/>
      <c r="DD122" s="1636"/>
      <c r="DE122" s="1636"/>
      <c r="DF122" s="1636"/>
      <c r="DG122" s="1636"/>
      <c r="DH122" s="1636"/>
      <c r="DI122" s="1636"/>
      <c r="DJ122" s="1636"/>
      <c r="DK122" s="1636"/>
      <c r="DL122" s="1637"/>
    </row>
    <row r="123" spans="1:117" ht="15" customHeight="1">
      <c r="B123" s="1475" t="s">
        <v>1548</v>
      </c>
      <c r="C123" s="1430"/>
      <c r="D123" s="1430"/>
      <c r="E123" s="1430"/>
      <c r="F123" s="1430"/>
      <c r="G123" s="1430"/>
      <c r="H123" s="1430"/>
      <c r="I123" s="1430"/>
      <c r="J123" s="1430"/>
      <c r="K123" s="1430"/>
      <c r="L123" s="1633"/>
      <c r="M123" s="1649"/>
      <c r="N123" s="1650"/>
      <c r="O123" s="1650"/>
      <c r="P123" s="1650"/>
      <c r="Q123" s="1429" t="s">
        <v>1530</v>
      </c>
      <c r="R123" s="1430"/>
      <c r="S123" s="1430"/>
      <c r="T123" s="1431"/>
      <c r="U123" s="1656" t="s">
        <v>1532</v>
      </c>
      <c r="V123" s="1657"/>
      <c r="W123" s="1657"/>
      <c r="X123" s="1657"/>
      <c r="Y123" s="1657"/>
      <c r="Z123" s="1657"/>
      <c r="AA123" s="1657"/>
      <c r="AB123" s="1657"/>
      <c r="AC123" s="1657"/>
      <c r="AD123" s="1576"/>
      <c r="AE123" s="1576"/>
      <c r="AF123" s="1576"/>
      <c r="AG123" s="1681" t="s">
        <v>1563</v>
      </c>
      <c r="AH123" s="1682"/>
      <c r="AI123" s="1682"/>
      <c r="AJ123" s="1682"/>
      <c r="AK123" s="1689" t="str">
        <f>'中間データ共通・Desk・f-FILTER・Z-FILTER'!V18</f>
        <v>0Mbps</v>
      </c>
      <c r="AL123" s="1689"/>
      <c r="AM123" s="1689"/>
      <c r="AN123" s="1689"/>
      <c r="AO123" s="1689"/>
      <c r="AP123" s="1689"/>
      <c r="AQ123" s="1690"/>
      <c r="AR123" s="1609" t="s">
        <v>1555</v>
      </c>
      <c r="AS123" s="1610"/>
      <c r="AT123" s="1610"/>
      <c r="AU123" s="1610"/>
      <c r="AV123" s="1610"/>
      <c r="AW123" s="1610"/>
      <c r="AX123" s="1610"/>
      <c r="AY123" s="1610"/>
      <c r="AZ123" s="1610"/>
      <c r="BA123" s="1610"/>
      <c r="BB123" s="1610"/>
      <c r="BC123" s="1610"/>
      <c r="BD123" s="1610"/>
      <c r="BE123" s="1610"/>
      <c r="BF123" s="1610"/>
      <c r="BG123" s="1610"/>
      <c r="BH123" s="1610"/>
      <c r="BI123" s="1610"/>
      <c r="BJ123" s="1610"/>
      <c r="BK123" s="1610"/>
      <c r="BL123" s="1610"/>
      <c r="BM123" s="1610"/>
      <c r="BN123" s="1610"/>
      <c r="BO123" s="1610"/>
      <c r="BP123" s="1610"/>
      <c r="BQ123" s="1610"/>
      <c r="BR123" s="1610"/>
      <c r="BS123" s="1610"/>
      <c r="BT123" s="1610"/>
      <c r="BU123" s="1610"/>
      <c r="BV123" s="1610"/>
      <c r="BW123" s="1610"/>
      <c r="BX123" s="1610"/>
      <c r="BY123" s="1610"/>
      <c r="BZ123" s="1610"/>
      <c r="CA123" s="1610"/>
      <c r="CB123" s="1610"/>
      <c r="CC123" s="1610"/>
      <c r="CD123" s="1610"/>
      <c r="CE123" s="1610"/>
      <c r="CF123" s="1610"/>
      <c r="CG123" s="1610"/>
      <c r="CH123" s="1610"/>
      <c r="CI123" s="1610"/>
      <c r="CJ123" s="1610"/>
      <c r="CK123" s="1610"/>
      <c r="CL123" s="1610"/>
      <c r="CM123" s="1610"/>
      <c r="CN123" s="1610"/>
      <c r="CO123" s="1610"/>
      <c r="CP123" s="1610"/>
      <c r="CQ123" s="1610"/>
      <c r="CR123" s="1610"/>
      <c r="CS123" s="1610"/>
      <c r="CT123" s="1610"/>
      <c r="CU123" s="1610"/>
      <c r="CV123" s="1610"/>
      <c r="CW123" s="1610"/>
      <c r="CX123" s="1610"/>
      <c r="CY123" s="1610"/>
      <c r="CZ123" s="1610"/>
      <c r="DA123" s="1610"/>
      <c r="DB123" s="1610"/>
      <c r="DC123" s="1610"/>
      <c r="DD123" s="1610"/>
      <c r="DE123" s="1610"/>
      <c r="DF123" s="1610"/>
      <c r="DG123" s="1610"/>
      <c r="DH123" s="1610"/>
      <c r="DI123" s="1610"/>
      <c r="DJ123" s="1610"/>
      <c r="DK123" s="1610"/>
      <c r="DL123" s="1611"/>
    </row>
    <row r="124" spans="1:117" ht="15" customHeight="1">
      <c r="B124" s="1476"/>
      <c r="C124" s="774"/>
      <c r="D124" s="774"/>
      <c r="E124" s="774"/>
      <c r="F124" s="774"/>
      <c r="G124" s="774"/>
      <c r="H124" s="774"/>
      <c r="I124" s="774"/>
      <c r="J124" s="774"/>
      <c r="K124" s="774"/>
      <c r="L124" s="1423"/>
      <c r="M124" s="1651"/>
      <c r="N124" s="1641"/>
      <c r="O124" s="1641"/>
      <c r="P124" s="1641"/>
      <c r="Q124" s="1432"/>
      <c r="R124" s="774"/>
      <c r="S124" s="774"/>
      <c r="T124" s="1433"/>
      <c r="U124" s="1658"/>
      <c r="V124" s="1659"/>
      <c r="W124" s="1659"/>
      <c r="X124" s="1659"/>
      <c r="Y124" s="1659"/>
      <c r="Z124" s="1659"/>
      <c r="AA124" s="1659"/>
      <c r="AB124" s="1659"/>
      <c r="AC124" s="1659"/>
      <c r="AD124" s="1577"/>
      <c r="AE124" s="1577"/>
      <c r="AF124" s="1577"/>
      <c r="AG124" s="1683"/>
      <c r="AH124" s="1684"/>
      <c r="AI124" s="1684"/>
      <c r="AJ124" s="1684"/>
      <c r="AK124" s="1691"/>
      <c r="AL124" s="1691"/>
      <c r="AM124" s="1691"/>
      <c r="AN124" s="1691"/>
      <c r="AO124" s="1691"/>
      <c r="AP124" s="1691"/>
      <c r="AQ124" s="1692"/>
      <c r="AR124" s="1612"/>
      <c r="AS124" s="1613"/>
      <c r="AT124" s="1613"/>
      <c r="AU124" s="1613"/>
      <c r="AV124" s="1613"/>
      <c r="AW124" s="1613"/>
      <c r="AX124" s="1613"/>
      <c r="AY124" s="1613"/>
      <c r="AZ124" s="1613"/>
      <c r="BA124" s="1613"/>
      <c r="BB124" s="1613"/>
      <c r="BC124" s="1613"/>
      <c r="BD124" s="1613"/>
      <c r="BE124" s="1613"/>
      <c r="BF124" s="1613"/>
      <c r="BG124" s="1613"/>
      <c r="BH124" s="1613"/>
      <c r="BI124" s="1613"/>
      <c r="BJ124" s="1613"/>
      <c r="BK124" s="1613"/>
      <c r="BL124" s="1613"/>
      <c r="BM124" s="1613"/>
      <c r="BN124" s="1613"/>
      <c r="BO124" s="1613"/>
      <c r="BP124" s="1613"/>
      <c r="BQ124" s="1613"/>
      <c r="BR124" s="1613"/>
      <c r="BS124" s="1613"/>
      <c r="BT124" s="1613"/>
      <c r="BU124" s="1613"/>
      <c r="BV124" s="1613"/>
      <c r="BW124" s="1613"/>
      <c r="BX124" s="1613"/>
      <c r="BY124" s="1613"/>
      <c r="BZ124" s="1613"/>
      <c r="CA124" s="1613"/>
      <c r="CB124" s="1613"/>
      <c r="CC124" s="1613"/>
      <c r="CD124" s="1613"/>
      <c r="CE124" s="1613"/>
      <c r="CF124" s="1613"/>
      <c r="CG124" s="1613"/>
      <c r="CH124" s="1613"/>
      <c r="CI124" s="1613"/>
      <c r="CJ124" s="1613"/>
      <c r="CK124" s="1613"/>
      <c r="CL124" s="1613"/>
      <c r="CM124" s="1613"/>
      <c r="CN124" s="1613"/>
      <c r="CO124" s="1613"/>
      <c r="CP124" s="1613"/>
      <c r="CQ124" s="1613"/>
      <c r="CR124" s="1613"/>
      <c r="CS124" s="1613"/>
      <c r="CT124" s="1613"/>
      <c r="CU124" s="1613"/>
      <c r="CV124" s="1613"/>
      <c r="CW124" s="1613"/>
      <c r="CX124" s="1613"/>
      <c r="CY124" s="1613"/>
      <c r="CZ124" s="1613"/>
      <c r="DA124" s="1613"/>
      <c r="DB124" s="1613"/>
      <c r="DC124" s="1613"/>
      <c r="DD124" s="1613"/>
      <c r="DE124" s="1613"/>
      <c r="DF124" s="1613"/>
      <c r="DG124" s="1613"/>
      <c r="DH124" s="1613"/>
      <c r="DI124" s="1613"/>
      <c r="DJ124" s="1613"/>
      <c r="DK124" s="1613"/>
      <c r="DL124" s="1614"/>
    </row>
    <row r="125" spans="1:117" ht="15" customHeight="1">
      <c r="B125" s="1476"/>
      <c r="C125" s="774"/>
      <c r="D125" s="774"/>
      <c r="E125" s="774"/>
      <c r="F125" s="774"/>
      <c r="G125" s="774"/>
      <c r="H125" s="774"/>
      <c r="I125" s="774"/>
      <c r="J125" s="774"/>
      <c r="K125" s="774"/>
      <c r="L125" s="1423"/>
      <c r="M125" s="1651"/>
      <c r="N125" s="1641"/>
      <c r="O125" s="1641"/>
      <c r="P125" s="1641"/>
      <c r="Q125" s="1601"/>
      <c r="R125" s="1478"/>
      <c r="S125" s="1478"/>
      <c r="T125" s="1602"/>
      <c r="U125" s="1660"/>
      <c r="V125" s="1661"/>
      <c r="W125" s="1661"/>
      <c r="X125" s="1661"/>
      <c r="Y125" s="1661"/>
      <c r="Z125" s="1661"/>
      <c r="AA125" s="1661"/>
      <c r="AB125" s="1661"/>
      <c r="AC125" s="1661"/>
      <c r="AD125" s="1578"/>
      <c r="AE125" s="1578"/>
      <c r="AF125" s="1578"/>
      <c r="AG125" s="1685"/>
      <c r="AH125" s="1686"/>
      <c r="AI125" s="1686"/>
      <c r="AJ125" s="1686"/>
      <c r="AK125" s="1693"/>
      <c r="AL125" s="1693"/>
      <c r="AM125" s="1693"/>
      <c r="AN125" s="1693"/>
      <c r="AO125" s="1693"/>
      <c r="AP125" s="1693"/>
      <c r="AQ125" s="1694"/>
      <c r="AR125" s="1635"/>
      <c r="AS125" s="1636"/>
      <c r="AT125" s="1636"/>
      <c r="AU125" s="1636"/>
      <c r="AV125" s="1636"/>
      <c r="AW125" s="1636"/>
      <c r="AX125" s="1636"/>
      <c r="AY125" s="1636"/>
      <c r="AZ125" s="1636"/>
      <c r="BA125" s="1636"/>
      <c r="BB125" s="1636"/>
      <c r="BC125" s="1636"/>
      <c r="BD125" s="1636"/>
      <c r="BE125" s="1636"/>
      <c r="BF125" s="1636"/>
      <c r="BG125" s="1636"/>
      <c r="BH125" s="1636"/>
      <c r="BI125" s="1636"/>
      <c r="BJ125" s="1636"/>
      <c r="BK125" s="1636"/>
      <c r="BL125" s="1636"/>
      <c r="BM125" s="1636"/>
      <c r="BN125" s="1636"/>
      <c r="BO125" s="1636"/>
      <c r="BP125" s="1636"/>
      <c r="BQ125" s="1636"/>
      <c r="BR125" s="1636"/>
      <c r="BS125" s="1636"/>
      <c r="BT125" s="1636"/>
      <c r="BU125" s="1636"/>
      <c r="BV125" s="1636"/>
      <c r="BW125" s="1636"/>
      <c r="BX125" s="1636"/>
      <c r="BY125" s="1636"/>
      <c r="BZ125" s="1636"/>
      <c r="CA125" s="1636"/>
      <c r="CB125" s="1636"/>
      <c r="CC125" s="1636"/>
      <c r="CD125" s="1636"/>
      <c r="CE125" s="1636"/>
      <c r="CF125" s="1636"/>
      <c r="CG125" s="1636"/>
      <c r="CH125" s="1636"/>
      <c r="CI125" s="1636"/>
      <c r="CJ125" s="1636"/>
      <c r="CK125" s="1636"/>
      <c r="CL125" s="1636"/>
      <c r="CM125" s="1636"/>
      <c r="CN125" s="1636"/>
      <c r="CO125" s="1636"/>
      <c r="CP125" s="1636"/>
      <c r="CQ125" s="1636"/>
      <c r="CR125" s="1636"/>
      <c r="CS125" s="1636"/>
      <c r="CT125" s="1636"/>
      <c r="CU125" s="1636"/>
      <c r="CV125" s="1636"/>
      <c r="CW125" s="1636"/>
      <c r="CX125" s="1636"/>
      <c r="CY125" s="1636"/>
      <c r="CZ125" s="1636"/>
      <c r="DA125" s="1636"/>
      <c r="DB125" s="1636"/>
      <c r="DC125" s="1636"/>
      <c r="DD125" s="1636"/>
      <c r="DE125" s="1636"/>
      <c r="DF125" s="1636"/>
      <c r="DG125" s="1636"/>
      <c r="DH125" s="1636"/>
      <c r="DI125" s="1636"/>
      <c r="DJ125" s="1636"/>
      <c r="DK125" s="1636"/>
      <c r="DL125" s="1637"/>
    </row>
    <row r="126" spans="1:117" ht="15" customHeight="1">
      <c r="B126" s="1476"/>
      <c r="C126" s="774"/>
      <c r="D126" s="774"/>
      <c r="E126" s="774"/>
      <c r="F126" s="774"/>
      <c r="G126" s="774"/>
      <c r="H126" s="774"/>
      <c r="I126" s="774"/>
      <c r="J126" s="774"/>
      <c r="K126" s="774"/>
      <c r="L126" s="1423"/>
      <c r="M126" s="1651"/>
      <c r="N126" s="1641"/>
      <c r="O126" s="1641"/>
      <c r="P126" s="1641"/>
      <c r="Q126" s="1429" t="s">
        <v>1531</v>
      </c>
      <c r="R126" s="1430"/>
      <c r="S126" s="1430"/>
      <c r="T126" s="1431"/>
      <c r="U126" s="1656" t="s">
        <v>1533</v>
      </c>
      <c r="V126" s="1657"/>
      <c r="W126" s="1657"/>
      <c r="X126" s="1657"/>
      <c r="Y126" s="1657"/>
      <c r="Z126" s="1657"/>
      <c r="AA126" s="1657"/>
      <c r="AB126" s="1657"/>
      <c r="AC126" s="1657"/>
      <c r="AD126" s="1576"/>
      <c r="AE126" s="1576"/>
      <c r="AF126" s="1576"/>
      <c r="AG126" s="1681" t="s">
        <v>1561</v>
      </c>
      <c r="AH126" s="1682"/>
      <c r="AI126" s="1682"/>
      <c r="AJ126" s="1682"/>
      <c r="AK126" s="1689" t="str">
        <f>'中間データ共通・Desk・f-FILTER・Z-FILTER'!V19</f>
        <v>1TB</v>
      </c>
      <c r="AL126" s="1689"/>
      <c r="AM126" s="1689"/>
      <c r="AN126" s="1689"/>
      <c r="AO126" s="1689"/>
      <c r="AP126" s="1689"/>
      <c r="AQ126" s="1690"/>
      <c r="AR126" s="1609" t="s">
        <v>1570</v>
      </c>
      <c r="AS126" s="1610"/>
      <c r="AT126" s="1610"/>
      <c r="AU126" s="1610"/>
      <c r="AV126" s="1610"/>
      <c r="AW126" s="1610"/>
      <c r="AX126" s="1610"/>
      <c r="AY126" s="1610"/>
      <c r="AZ126" s="1610"/>
      <c r="BA126" s="1610"/>
      <c r="BB126" s="1610"/>
      <c r="BC126" s="1610"/>
      <c r="BD126" s="1610"/>
      <c r="BE126" s="1610"/>
      <c r="BF126" s="1610"/>
      <c r="BG126" s="1610"/>
      <c r="BH126" s="1610"/>
      <c r="BI126" s="1610"/>
      <c r="BJ126" s="1610"/>
      <c r="BK126" s="1610"/>
      <c r="BL126" s="1610"/>
      <c r="BM126" s="1610"/>
      <c r="BN126" s="1610"/>
      <c r="BO126" s="1610"/>
      <c r="BP126" s="1610"/>
      <c r="BQ126" s="1610"/>
      <c r="BR126" s="1610"/>
      <c r="BS126" s="1610"/>
      <c r="BT126" s="1610"/>
      <c r="BU126" s="1610"/>
      <c r="BV126" s="1610"/>
      <c r="BW126" s="1610"/>
      <c r="BX126" s="1610"/>
      <c r="BY126" s="1610"/>
      <c r="BZ126" s="1610"/>
      <c r="CA126" s="1610"/>
      <c r="CB126" s="1610"/>
      <c r="CC126" s="1610"/>
      <c r="CD126" s="1610"/>
      <c r="CE126" s="1610"/>
      <c r="CF126" s="1610"/>
      <c r="CG126" s="1610"/>
      <c r="CH126" s="1610"/>
      <c r="CI126" s="1610"/>
      <c r="CJ126" s="1610"/>
      <c r="CK126" s="1610"/>
      <c r="CL126" s="1610"/>
      <c r="CM126" s="1610"/>
      <c r="CN126" s="1610"/>
      <c r="CO126" s="1610"/>
      <c r="CP126" s="1610"/>
      <c r="CQ126" s="1610"/>
      <c r="CR126" s="1610"/>
      <c r="CS126" s="1610"/>
      <c r="CT126" s="1610"/>
      <c r="CU126" s="1610"/>
      <c r="CV126" s="1610"/>
      <c r="CW126" s="1610"/>
      <c r="CX126" s="1610"/>
      <c r="CY126" s="1610"/>
      <c r="CZ126" s="1610"/>
      <c r="DA126" s="1610"/>
      <c r="DB126" s="1610"/>
      <c r="DC126" s="1610"/>
      <c r="DD126" s="1610"/>
      <c r="DE126" s="1610"/>
      <c r="DF126" s="1610"/>
      <c r="DG126" s="1610"/>
      <c r="DH126" s="1610"/>
      <c r="DI126" s="1610"/>
      <c r="DJ126" s="1610"/>
      <c r="DK126" s="1610"/>
      <c r="DL126" s="1611"/>
    </row>
    <row r="127" spans="1:117" ht="15" customHeight="1">
      <c r="B127" s="1476"/>
      <c r="C127" s="774"/>
      <c r="D127" s="774"/>
      <c r="E127" s="774"/>
      <c r="F127" s="774"/>
      <c r="G127" s="774"/>
      <c r="H127" s="774"/>
      <c r="I127" s="774"/>
      <c r="J127" s="774"/>
      <c r="K127" s="774"/>
      <c r="L127" s="1423"/>
      <c r="M127" s="1651"/>
      <c r="N127" s="1641"/>
      <c r="O127" s="1641"/>
      <c r="P127" s="1641"/>
      <c r="Q127" s="1432"/>
      <c r="R127" s="774"/>
      <c r="S127" s="774"/>
      <c r="T127" s="1433"/>
      <c r="U127" s="1658"/>
      <c r="V127" s="1659"/>
      <c r="W127" s="1659"/>
      <c r="X127" s="1659"/>
      <c r="Y127" s="1659"/>
      <c r="Z127" s="1659"/>
      <c r="AA127" s="1659"/>
      <c r="AB127" s="1659"/>
      <c r="AC127" s="1659"/>
      <c r="AD127" s="1577"/>
      <c r="AE127" s="1577"/>
      <c r="AF127" s="1577"/>
      <c r="AG127" s="1683"/>
      <c r="AH127" s="1684"/>
      <c r="AI127" s="1684"/>
      <c r="AJ127" s="1684"/>
      <c r="AK127" s="1691"/>
      <c r="AL127" s="1691"/>
      <c r="AM127" s="1691"/>
      <c r="AN127" s="1691"/>
      <c r="AO127" s="1691"/>
      <c r="AP127" s="1691"/>
      <c r="AQ127" s="1692"/>
      <c r="AR127" s="1612"/>
      <c r="AS127" s="1613"/>
      <c r="AT127" s="1613"/>
      <c r="AU127" s="1613"/>
      <c r="AV127" s="1613"/>
      <c r="AW127" s="1613"/>
      <c r="AX127" s="1613"/>
      <c r="AY127" s="1613"/>
      <c r="AZ127" s="1613"/>
      <c r="BA127" s="1613"/>
      <c r="BB127" s="1613"/>
      <c r="BC127" s="1613"/>
      <c r="BD127" s="1613"/>
      <c r="BE127" s="1613"/>
      <c r="BF127" s="1613"/>
      <c r="BG127" s="1613"/>
      <c r="BH127" s="1613"/>
      <c r="BI127" s="1613"/>
      <c r="BJ127" s="1613"/>
      <c r="BK127" s="1613"/>
      <c r="BL127" s="1613"/>
      <c r="BM127" s="1613"/>
      <c r="BN127" s="1613"/>
      <c r="BO127" s="1613"/>
      <c r="BP127" s="1613"/>
      <c r="BQ127" s="1613"/>
      <c r="BR127" s="1613"/>
      <c r="BS127" s="1613"/>
      <c r="BT127" s="1613"/>
      <c r="BU127" s="1613"/>
      <c r="BV127" s="1613"/>
      <c r="BW127" s="1613"/>
      <c r="BX127" s="1613"/>
      <c r="BY127" s="1613"/>
      <c r="BZ127" s="1613"/>
      <c r="CA127" s="1613"/>
      <c r="CB127" s="1613"/>
      <c r="CC127" s="1613"/>
      <c r="CD127" s="1613"/>
      <c r="CE127" s="1613"/>
      <c r="CF127" s="1613"/>
      <c r="CG127" s="1613"/>
      <c r="CH127" s="1613"/>
      <c r="CI127" s="1613"/>
      <c r="CJ127" s="1613"/>
      <c r="CK127" s="1613"/>
      <c r="CL127" s="1613"/>
      <c r="CM127" s="1613"/>
      <c r="CN127" s="1613"/>
      <c r="CO127" s="1613"/>
      <c r="CP127" s="1613"/>
      <c r="CQ127" s="1613"/>
      <c r="CR127" s="1613"/>
      <c r="CS127" s="1613"/>
      <c r="CT127" s="1613"/>
      <c r="CU127" s="1613"/>
      <c r="CV127" s="1613"/>
      <c r="CW127" s="1613"/>
      <c r="CX127" s="1613"/>
      <c r="CY127" s="1613"/>
      <c r="CZ127" s="1613"/>
      <c r="DA127" s="1613"/>
      <c r="DB127" s="1613"/>
      <c r="DC127" s="1613"/>
      <c r="DD127" s="1613"/>
      <c r="DE127" s="1613"/>
      <c r="DF127" s="1613"/>
      <c r="DG127" s="1613"/>
      <c r="DH127" s="1613"/>
      <c r="DI127" s="1613"/>
      <c r="DJ127" s="1613"/>
      <c r="DK127" s="1613"/>
      <c r="DL127" s="1614"/>
      <c r="DM127" s="692"/>
    </row>
    <row r="128" spans="1:117" ht="15" customHeight="1" thickBot="1">
      <c r="B128" s="1654"/>
      <c r="C128" s="1647"/>
      <c r="D128" s="1647"/>
      <c r="E128" s="1647"/>
      <c r="F128" s="1647"/>
      <c r="G128" s="1647"/>
      <c r="H128" s="1647"/>
      <c r="I128" s="1647"/>
      <c r="J128" s="1647"/>
      <c r="K128" s="1647"/>
      <c r="L128" s="1655"/>
      <c r="M128" s="1652"/>
      <c r="N128" s="1653"/>
      <c r="O128" s="1653"/>
      <c r="P128" s="1653"/>
      <c r="Q128" s="1646"/>
      <c r="R128" s="1647"/>
      <c r="S128" s="1647"/>
      <c r="T128" s="1648"/>
      <c r="U128" s="1662"/>
      <c r="V128" s="1663"/>
      <c r="W128" s="1663"/>
      <c r="X128" s="1663"/>
      <c r="Y128" s="1663"/>
      <c r="Z128" s="1663"/>
      <c r="AA128" s="1663"/>
      <c r="AB128" s="1663"/>
      <c r="AC128" s="1663"/>
      <c r="AD128" s="1579"/>
      <c r="AE128" s="1579"/>
      <c r="AF128" s="1579"/>
      <c r="AG128" s="1687"/>
      <c r="AH128" s="1688"/>
      <c r="AI128" s="1688"/>
      <c r="AJ128" s="1688"/>
      <c r="AK128" s="1695"/>
      <c r="AL128" s="1695"/>
      <c r="AM128" s="1695"/>
      <c r="AN128" s="1695"/>
      <c r="AO128" s="1695"/>
      <c r="AP128" s="1695"/>
      <c r="AQ128" s="1696"/>
      <c r="AR128" s="1678"/>
      <c r="AS128" s="1679"/>
      <c r="AT128" s="1679"/>
      <c r="AU128" s="1679"/>
      <c r="AV128" s="1679"/>
      <c r="AW128" s="1679"/>
      <c r="AX128" s="1679"/>
      <c r="AY128" s="1679"/>
      <c r="AZ128" s="1679"/>
      <c r="BA128" s="1679"/>
      <c r="BB128" s="1679"/>
      <c r="BC128" s="1679"/>
      <c r="BD128" s="1679"/>
      <c r="BE128" s="1679"/>
      <c r="BF128" s="1679"/>
      <c r="BG128" s="1679"/>
      <c r="BH128" s="1679"/>
      <c r="BI128" s="1679"/>
      <c r="BJ128" s="1679"/>
      <c r="BK128" s="1679"/>
      <c r="BL128" s="1679"/>
      <c r="BM128" s="1679"/>
      <c r="BN128" s="1679"/>
      <c r="BO128" s="1679"/>
      <c r="BP128" s="1679"/>
      <c r="BQ128" s="1679"/>
      <c r="BR128" s="1679"/>
      <c r="BS128" s="1679"/>
      <c r="BT128" s="1679"/>
      <c r="BU128" s="1679"/>
      <c r="BV128" s="1679"/>
      <c r="BW128" s="1679"/>
      <c r="BX128" s="1679"/>
      <c r="BY128" s="1679"/>
      <c r="BZ128" s="1679"/>
      <c r="CA128" s="1679"/>
      <c r="CB128" s="1679"/>
      <c r="CC128" s="1679"/>
      <c r="CD128" s="1679"/>
      <c r="CE128" s="1679"/>
      <c r="CF128" s="1679"/>
      <c r="CG128" s="1679"/>
      <c r="CH128" s="1679"/>
      <c r="CI128" s="1679"/>
      <c r="CJ128" s="1679"/>
      <c r="CK128" s="1679"/>
      <c r="CL128" s="1679"/>
      <c r="CM128" s="1679"/>
      <c r="CN128" s="1679"/>
      <c r="CO128" s="1679"/>
      <c r="CP128" s="1679"/>
      <c r="CQ128" s="1679"/>
      <c r="CR128" s="1679"/>
      <c r="CS128" s="1679"/>
      <c r="CT128" s="1679"/>
      <c r="CU128" s="1679"/>
      <c r="CV128" s="1679"/>
      <c r="CW128" s="1679"/>
      <c r="CX128" s="1679"/>
      <c r="CY128" s="1679"/>
      <c r="CZ128" s="1679"/>
      <c r="DA128" s="1679"/>
      <c r="DB128" s="1679"/>
      <c r="DC128" s="1679"/>
      <c r="DD128" s="1679"/>
      <c r="DE128" s="1679"/>
      <c r="DF128" s="1679"/>
      <c r="DG128" s="1679"/>
      <c r="DH128" s="1679"/>
      <c r="DI128" s="1679"/>
      <c r="DJ128" s="1679"/>
      <c r="DK128" s="1679"/>
      <c r="DL128" s="1680"/>
    </row>
    <row r="129" spans="1:165" ht="4.5" customHeight="1" thickTop="1" thickBot="1">
      <c r="N129" s="618"/>
    </row>
    <row r="130" spans="1:165" s="200" customFormat="1" ht="11.25" customHeight="1" thickBot="1">
      <c r="A130" s="1592" t="s">
        <v>414</v>
      </c>
      <c r="B130" s="1593"/>
      <c r="C130" s="1593"/>
      <c r="D130" s="1593"/>
      <c r="E130" s="1593"/>
      <c r="F130" s="1593"/>
      <c r="G130" s="1593"/>
      <c r="H130" s="1593"/>
      <c r="I130" s="1593"/>
      <c r="J130" s="1593"/>
      <c r="K130" s="1593"/>
      <c r="L130" s="1593"/>
      <c r="M130" s="1593"/>
      <c r="N130" s="1593"/>
      <c r="O130" s="1593"/>
      <c r="P130" s="1593"/>
      <c r="Q130" s="1593"/>
      <c r="R130" s="1593"/>
      <c r="S130" s="1593"/>
      <c r="T130" s="1593"/>
      <c r="U130" s="1594"/>
      <c r="V130" s="1561" t="s">
        <v>415</v>
      </c>
      <c r="W130" s="1562"/>
      <c r="X130" s="1562"/>
      <c r="Y130" s="1562"/>
      <c r="Z130" s="1562"/>
      <c r="AA130" s="1562"/>
      <c r="AB130" s="1562"/>
      <c r="AC130" s="1562"/>
      <c r="AD130" s="1562"/>
      <c r="AE130" s="1562"/>
      <c r="AF130" s="1562"/>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562"/>
      <c r="BW130" s="1562"/>
      <c r="BX130" s="1562"/>
      <c r="BY130" s="1562"/>
      <c r="BZ130" s="1562"/>
      <c r="CA130" s="1562"/>
      <c r="CB130" s="1562"/>
      <c r="CC130" s="1562"/>
      <c r="CD130" s="1562"/>
      <c r="CE130" s="1562"/>
      <c r="CF130" s="1562"/>
      <c r="CG130" s="1562"/>
      <c r="CH130" s="1562"/>
      <c r="CI130" s="1562"/>
      <c r="CJ130" s="1562"/>
      <c r="CK130" s="1562"/>
      <c r="CL130" s="1562"/>
      <c r="CM130" s="1562"/>
      <c r="CN130" s="1562"/>
      <c r="CO130" s="1562"/>
      <c r="CP130" s="1562"/>
      <c r="CQ130" s="1562"/>
      <c r="CR130" s="1562"/>
      <c r="CS130" s="1562"/>
      <c r="CT130" s="1562"/>
      <c r="CU130" s="1562"/>
      <c r="CV130" s="1562"/>
      <c r="CW130" s="1562"/>
      <c r="CX130" s="1562"/>
      <c r="CY130" s="1562"/>
      <c r="CZ130" s="1562"/>
      <c r="DA130" s="1562"/>
      <c r="DB130" s="1562"/>
      <c r="DC130" s="1562"/>
      <c r="DD130" s="1562"/>
      <c r="DE130" s="1562"/>
      <c r="DF130" s="1562"/>
      <c r="DG130" s="1562"/>
      <c r="DH130" s="1562"/>
      <c r="DI130" s="1562"/>
      <c r="DJ130" s="1562"/>
      <c r="DK130" s="1562"/>
      <c r="DL130" s="1563"/>
      <c r="DM130" s="202"/>
      <c r="DN130" s="45"/>
      <c r="DO130" s="45"/>
      <c r="DP130" s="45"/>
      <c r="DQ130" s="45"/>
      <c r="DR130" s="45"/>
      <c r="DS130" s="45"/>
      <c r="DT130" s="45"/>
      <c r="DU130" s="45"/>
      <c r="DV130" s="45"/>
      <c r="DW130" s="45"/>
      <c r="DX130" s="45"/>
      <c r="DY130" s="45"/>
      <c r="DZ130" s="45"/>
      <c r="EA130" s="45"/>
      <c r="EB130" s="45"/>
      <c r="EC130" s="45"/>
      <c r="ED130" s="45"/>
      <c r="EE130" s="45"/>
      <c r="EF130" s="45"/>
      <c r="EG130" s="45"/>
      <c r="EH130" s="45"/>
      <c r="EI130" s="45"/>
      <c r="EJ130" s="45"/>
      <c r="EK130" s="45"/>
      <c r="EL130" s="45"/>
      <c r="EM130" s="45"/>
      <c r="EN130" s="45"/>
      <c r="EO130" s="45"/>
      <c r="EP130" s="45"/>
      <c r="EQ130" s="45"/>
      <c r="ER130" s="45"/>
      <c r="ES130" s="45"/>
      <c r="ET130" s="45"/>
      <c r="EU130" s="45"/>
      <c r="EV130" s="45"/>
      <c r="EW130" s="45"/>
      <c r="EX130" s="45"/>
      <c r="EY130" s="45"/>
      <c r="EZ130" s="45"/>
      <c r="FA130" s="45"/>
      <c r="FB130" s="45"/>
      <c r="FC130" s="45"/>
      <c r="FD130" s="45"/>
      <c r="FE130" s="45"/>
      <c r="FF130" s="45"/>
      <c r="FG130" s="45"/>
      <c r="FH130" s="45"/>
      <c r="FI130" s="45"/>
    </row>
    <row r="131" spans="1:165" s="200" customFormat="1" ht="8.25" customHeight="1">
      <c r="A131" s="1504" t="s">
        <v>1514</v>
      </c>
      <c r="B131" s="1504"/>
      <c r="C131" s="1504"/>
      <c r="D131" s="1504"/>
      <c r="E131" s="1504"/>
      <c r="F131" s="1504"/>
      <c r="G131" s="1504"/>
      <c r="H131" s="1504"/>
      <c r="I131" s="1504"/>
      <c r="J131" s="1504"/>
      <c r="K131" s="1504"/>
      <c r="L131" s="1504"/>
      <c r="M131" s="1504"/>
      <c r="N131" s="1504"/>
      <c r="O131" s="1504"/>
      <c r="P131" s="1504"/>
      <c r="Q131" s="1504"/>
      <c r="R131" s="1504"/>
      <c r="S131" s="1504"/>
      <c r="T131" s="1504"/>
      <c r="U131" s="1504"/>
      <c r="V131" s="1504"/>
      <c r="W131" s="1504"/>
      <c r="X131" s="1504"/>
      <c r="Y131" s="1504"/>
      <c r="Z131" s="1504"/>
      <c r="AA131" s="1504"/>
      <c r="AB131" s="1504"/>
      <c r="AC131" s="1504"/>
      <c r="AD131" s="1504"/>
      <c r="AE131" s="1504"/>
      <c r="AF131" s="1504"/>
      <c r="AG131" s="1504"/>
      <c r="AH131" s="1504"/>
      <c r="AI131" s="1504"/>
      <c r="AJ131" s="1504"/>
      <c r="AK131" s="1504"/>
      <c r="AL131" s="1504"/>
      <c r="AM131" s="1504"/>
      <c r="AN131" s="1504"/>
      <c r="AO131" s="1504"/>
      <c r="AP131" s="1504"/>
      <c r="AQ131" s="1504"/>
      <c r="AR131" s="1504"/>
      <c r="AS131" s="1504"/>
      <c r="AT131" s="1504"/>
      <c r="AU131" s="1504"/>
      <c r="AV131" s="1504"/>
      <c r="AW131" s="1504"/>
      <c r="AX131" s="1504"/>
      <c r="AY131" s="1504"/>
      <c r="AZ131" s="1504"/>
      <c r="BA131" s="1504"/>
      <c r="BB131" s="1504"/>
      <c r="BC131" s="1504"/>
      <c r="BD131" s="1504"/>
      <c r="BE131" s="1504"/>
      <c r="BF131" s="1504"/>
      <c r="BG131" s="1504"/>
      <c r="BH131" s="1504"/>
      <c r="BI131" s="1504"/>
      <c r="BJ131" s="1504"/>
      <c r="BK131" s="1504"/>
      <c r="BL131" s="1504"/>
      <c r="BM131" s="1504"/>
      <c r="BN131" s="1504"/>
      <c r="BO131" s="1504"/>
      <c r="BP131" s="1504"/>
      <c r="BQ131" s="1504"/>
      <c r="BR131" s="1504"/>
      <c r="BS131" s="1504"/>
      <c r="BT131" s="1504"/>
      <c r="BU131" s="1504"/>
      <c r="BV131" s="1504"/>
      <c r="BW131" s="1504"/>
      <c r="BX131" s="1504"/>
      <c r="BY131" s="1504"/>
      <c r="BZ131" s="1504"/>
      <c r="CA131" s="1504"/>
      <c r="CB131" s="1504"/>
      <c r="CC131" s="1504"/>
      <c r="CD131" s="1504"/>
      <c r="CE131" s="1504"/>
      <c r="CF131" s="1504"/>
      <c r="CG131" s="1504"/>
      <c r="CH131" s="1504"/>
      <c r="CI131" s="1504"/>
      <c r="CJ131" s="1504"/>
      <c r="CK131" s="1504"/>
      <c r="CL131" s="1504"/>
      <c r="CM131" s="1504"/>
      <c r="CN131" s="1504"/>
      <c r="CO131" s="1504"/>
      <c r="CP131" s="1504"/>
      <c r="CQ131" s="1504"/>
      <c r="CR131" s="1504"/>
      <c r="CS131" s="1504"/>
      <c r="CT131" s="1504"/>
      <c r="CU131" s="1504"/>
      <c r="CV131" s="1504"/>
      <c r="CW131" s="1504"/>
      <c r="CX131" s="1504"/>
      <c r="CY131" s="1504"/>
      <c r="CZ131" s="1504"/>
      <c r="DA131" s="1504"/>
      <c r="DB131" s="1504"/>
      <c r="DC131" s="1504"/>
      <c r="DD131" s="1504"/>
      <c r="DE131" s="1504"/>
      <c r="DF131" s="1504"/>
      <c r="DG131" s="1504"/>
      <c r="DH131" s="1504"/>
      <c r="DI131" s="1504"/>
      <c r="DJ131" s="1504"/>
      <c r="DK131" s="1504"/>
      <c r="DL131" s="1504"/>
      <c r="DM131" s="199"/>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row>
    <row r="132" spans="1:165" ht="7.5" customHeight="1">
      <c r="A132" s="1505" t="s">
        <v>1515</v>
      </c>
      <c r="B132" s="1505"/>
      <c r="C132" s="1505"/>
      <c r="D132" s="1505"/>
      <c r="E132" s="1505"/>
      <c r="F132" s="1505"/>
      <c r="G132" s="1505"/>
      <c r="H132" s="1505"/>
      <c r="I132" s="1505"/>
      <c r="J132" s="1505"/>
      <c r="K132" s="1505"/>
      <c r="L132" s="1505"/>
      <c r="M132" s="1505"/>
      <c r="N132" s="1505"/>
      <c r="O132" s="1505"/>
      <c r="P132" s="1505"/>
      <c r="Q132" s="1505"/>
      <c r="R132" s="1505"/>
      <c r="S132" s="1505"/>
      <c r="T132" s="1505"/>
      <c r="U132" s="1505"/>
      <c r="V132" s="1505"/>
      <c r="W132" s="1505"/>
      <c r="X132" s="1505"/>
      <c r="Y132" s="1505"/>
      <c r="Z132" s="1505"/>
      <c r="AA132" s="1505"/>
      <c r="AB132" s="1505"/>
      <c r="AC132" s="1505"/>
      <c r="AD132" s="1505"/>
      <c r="AE132" s="1505"/>
      <c r="AF132" s="1505"/>
      <c r="AG132" s="1505"/>
      <c r="AH132" s="1505"/>
      <c r="AI132" s="1505"/>
      <c r="AJ132" s="1505"/>
      <c r="AK132" s="1505"/>
      <c r="AL132" s="1505"/>
      <c r="AM132" s="1505"/>
      <c r="AN132" s="1505"/>
      <c r="AO132" s="1505"/>
      <c r="AP132" s="1505"/>
      <c r="AQ132" s="1505"/>
      <c r="AR132" s="1505"/>
      <c r="AS132" s="1505"/>
      <c r="AT132" s="1505"/>
      <c r="AU132" s="1505"/>
      <c r="AV132" s="1505"/>
      <c r="AW132" s="1505"/>
      <c r="AX132" s="1505"/>
      <c r="AY132" s="1505"/>
      <c r="AZ132" s="1505"/>
      <c r="BA132" s="1505"/>
      <c r="BB132" s="1505"/>
      <c r="BC132" s="1505"/>
      <c r="BD132" s="1505"/>
      <c r="BE132" s="1505"/>
      <c r="BF132" s="1505"/>
      <c r="BG132" s="1505"/>
      <c r="BH132" s="1505"/>
      <c r="BI132" s="1505"/>
      <c r="BJ132" s="1505"/>
      <c r="BK132" s="1505"/>
      <c r="BL132" s="1505"/>
      <c r="BM132" s="1505"/>
      <c r="BN132" s="1505"/>
      <c r="BO132" s="1505"/>
      <c r="BP132" s="1505"/>
      <c r="BQ132" s="1505"/>
      <c r="BR132" s="1505"/>
      <c r="BS132" s="1505"/>
      <c r="BT132" s="1505"/>
      <c r="BU132" s="1505"/>
      <c r="BV132" s="1505"/>
      <c r="BW132" s="1505"/>
      <c r="BX132" s="1505"/>
      <c r="BY132" s="1505"/>
      <c r="BZ132" s="1505"/>
      <c r="CA132" s="1505"/>
      <c r="CB132" s="1505"/>
      <c r="CC132" s="1505"/>
      <c r="CD132" s="1505"/>
      <c r="CE132" s="1505"/>
      <c r="CF132" s="1505"/>
      <c r="CG132" s="1505"/>
      <c r="CH132" s="1505"/>
      <c r="CI132" s="1505"/>
      <c r="CJ132" s="1505"/>
      <c r="CK132" s="1505"/>
      <c r="CL132" s="1505"/>
      <c r="CM132" s="1505"/>
      <c r="CN132" s="1505"/>
      <c r="CO132" s="1505"/>
      <c r="CP132" s="1505"/>
      <c r="CQ132" s="1505"/>
      <c r="CR132" s="1505"/>
      <c r="CS132" s="1505"/>
      <c r="CT132" s="1505"/>
      <c r="CU132" s="1505"/>
      <c r="CV132" s="1505"/>
      <c r="CW132" s="1505"/>
      <c r="CX132" s="1505"/>
      <c r="CY132" s="1505"/>
      <c r="CZ132" s="1505"/>
      <c r="DA132" s="1505"/>
      <c r="DB132" s="1505"/>
      <c r="DC132" s="1505"/>
      <c r="DD132" s="1505"/>
      <c r="DE132" s="1505"/>
      <c r="DF132" s="1505"/>
      <c r="DG132" s="1505"/>
      <c r="DH132" s="1505"/>
      <c r="DI132" s="1505"/>
      <c r="DJ132" s="1505"/>
      <c r="DK132" s="1505"/>
      <c r="DL132" s="1505"/>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row>
    <row r="133" spans="1:165" ht="7.5" customHeight="1">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row>
    <row r="134" spans="1:165" ht="7.5" customHeight="1">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row>
    <row r="135" spans="1:165" ht="7.5" customHeight="1">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row>
    <row r="136" spans="1:165" ht="7.5" customHeight="1">
      <c r="DN136" s="125"/>
      <c r="DS136" s="109"/>
    </row>
    <row r="138" spans="1:165" ht="7.5" customHeight="1">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row>
    <row r="139" spans="1:165" ht="7.5" customHeight="1">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row>
    <row r="140" spans="1:165" ht="7.5" customHeight="1">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row>
    <row r="147" spans="118:280" ht="7.5" customHeight="1">
      <c r="DN147" s="198"/>
      <c r="DO147" s="198"/>
      <c r="DP147" s="198"/>
      <c r="DQ147" s="198"/>
      <c r="DR147" s="198"/>
      <c r="DS147" s="198"/>
      <c r="DT147" s="198"/>
      <c r="DU147" s="198"/>
      <c r="DV147" s="198"/>
      <c r="DW147" s="198"/>
      <c r="DX147" s="198"/>
      <c r="DY147" s="198"/>
      <c r="DZ147" s="198"/>
      <c r="EA147" s="198"/>
      <c r="EB147" s="198"/>
      <c r="EC147" s="198"/>
      <c r="ED147" s="198"/>
      <c r="EE147" s="198"/>
      <c r="EF147" s="198"/>
      <c r="EG147" s="198"/>
      <c r="EH147" s="198"/>
      <c r="EI147" s="198"/>
      <c r="EJ147" s="198"/>
      <c r="EK147" s="198"/>
      <c r="EL147" s="198"/>
      <c r="EM147" s="198"/>
      <c r="EN147" s="198"/>
      <c r="EO147" s="198"/>
      <c r="EP147" s="198"/>
      <c r="EQ147" s="198"/>
      <c r="ER147" s="198"/>
      <c r="ES147" s="198"/>
      <c r="ET147" s="198"/>
      <c r="EU147" s="198"/>
      <c r="EV147" s="198"/>
      <c r="EW147" s="198"/>
      <c r="EX147" s="198"/>
      <c r="EY147" s="198"/>
      <c r="EZ147" s="198"/>
      <c r="FA147" s="198"/>
      <c r="FB147" s="198"/>
      <c r="FC147" s="198"/>
      <c r="FD147" s="198"/>
      <c r="FE147" s="198"/>
      <c r="FF147" s="198"/>
      <c r="FG147" s="198"/>
      <c r="FH147" s="198"/>
      <c r="FI147" s="198"/>
      <c r="HY147" s="45"/>
      <c r="HZ147" s="45"/>
      <c r="IA147" s="45"/>
      <c r="IB147" s="45"/>
      <c r="IC147" s="45"/>
      <c r="ID147" s="45"/>
      <c r="IE147" s="45"/>
      <c r="IF147" s="45"/>
      <c r="IG147" s="45"/>
      <c r="IH147" s="45"/>
      <c r="II147" s="45"/>
      <c r="IJ147" s="45"/>
      <c r="IK147" s="45"/>
      <c r="IL147" s="45"/>
      <c r="IM147" s="45"/>
      <c r="IN147" s="45"/>
      <c r="IO147" s="45"/>
      <c r="IP147" s="45"/>
      <c r="IQ147" s="45"/>
      <c r="IR147" s="45"/>
      <c r="IS147" s="45"/>
      <c r="IT147" s="45"/>
      <c r="IU147" s="45"/>
      <c r="IV147" s="45"/>
      <c r="IW147" s="45"/>
      <c r="IX147" s="45"/>
      <c r="IY147" s="45"/>
      <c r="IZ147" s="45"/>
      <c r="JA147" s="45"/>
      <c r="JB147" s="45"/>
      <c r="JC147" s="45"/>
      <c r="JD147" s="45"/>
      <c r="JE147" s="45"/>
      <c r="JF147" s="45"/>
      <c r="JG147" s="45"/>
      <c r="JH147" s="45"/>
      <c r="JI147" s="45"/>
      <c r="JJ147" s="45"/>
      <c r="JK147" s="45"/>
      <c r="JL147" s="45"/>
      <c r="JM147" s="45"/>
      <c r="JN147" s="45"/>
      <c r="JO147" s="45"/>
      <c r="JP147" s="45"/>
      <c r="JQ147" s="45"/>
      <c r="JR147" s="45"/>
      <c r="JS147" s="45"/>
      <c r="JT147" s="45"/>
    </row>
    <row r="148" spans="118:280" ht="7.5" customHeight="1">
      <c r="DN148" s="198"/>
      <c r="DO148" s="198"/>
      <c r="DP148" s="198"/>
      <c r="DQ148" s="198"/>
      <c r="DR148" s="198"/>
      <c r="DS148" s="198"/>
      <c r="DT148" s="198"/>
      <c r="DU148" s="198"/>
      <c r="DV148" s="198"/>
      <c r="DW148" s="198"/>
      <c r="DX148" s="198"/>
      <c r="DY148" s="198"/>
      <c r="DZ148" s="198"/>
      <c r="EA148" s="198"/>
      <c r="EB148" s="198"/>
      <c r="EC148" s="198"/>
      <c r="ED148" s="198"/>
      <c r="EE148" s="198"/>
      <c r="EF148" s="198"/>
      <c r="EG148" s="198"/>
      <c r="EH148" s="198"/>
      <c r="EI148" s="198"/>
      <c r="EJ148" s="198"/>
      <c r="EK148" s="198"/>
      <c r="EL148" s="198"/>
      <c r="EM148" s="198"/>
      <c r="EN148" s="198"/>
      <c r="EO148" s="198"/>
      <c r="EP148" s="198"/>
      <c r="EQ148" s="198"/>
      <c r="ER148" s="198"/>
      <c r="ES148" s="198"/>
      <c r="ET148" s="198"/>
      <c r="EU148" s="198"/>
      <c r="EV148" s="198"/>
      <c r="EW148" s="198"/>
      <c r="EX148" s="198"/>
      <c r="EY148" s="198"/>
      <c r="EZ148" s="198"/>
      <c r="FA148" s="198"/>
      <c r="FB148" s="198"/>
      <c r="FC148" s="198"/>
      <c r="FD148" s="198"/>
      <c r="FE148" s="198"/>
      <c r="FF148" s="198"/>
      <c r="FG148" s="198"/>
      <c r="FH148" s="198"/>
      <c r="FI148" s="198"/>
      <c r="HY148" s="45"/>
      <c r="HZ148" s="45"/>
      <c r="IA148" s="45"/>
      <c r="IB148" s="45"/>
      <c r="IC148" s="45"/>
      <c r="ID148" s="45"/>
      <c r="IE148" s="45"/>
      <c r="IF148" s="45"/>
      <c r="IG148" s="45"/>
      <c r="IH148" s="45"/>
      <c r="II148" s="45"/>
      <c r="IJ148" s="45"/>
      <c r="IK148" s="45"/>
      <c r="IL148" s="45"/>
      <c r="IM148" s="45"/>
      <c r="IN148" s="45"/>
      <c r="IO148" s="45"/>
      <c r="IP148" s="45"/>
      <c r="IQ148" s="45"/>
      <c r="IR148" s="45"/>
      <c r="IS148" s="45"/>
      <c r="IT148" s="45"/>
      <c r="IU148" s="45"/>
      <c r="IV148" s="45"/>
      <c r="IW148" s="45"/>
      <c r="IX148" s="45"/>
      <c r="IY148" s="45"/>
      <c r="IZ148" s="45"/>
      <c r="JA148" s="45"/>
      <c r="JB148" s="45"/>
      <c r="JC148" s="45"/>
      <c r="JD148" s="45"/>
      <c r="JE148" s="45"/>
      <c r="JF148" s="45"/>
      <c r="JG148" s="45"/>
      <c r="JH148" s="45"/>
      <c r="JI148" s="45"/>
      <c r="JJ148" s="45"/>
      <c r="JK148" s="45"/>
      <c r="JL148" s="45"/>
      <c r="JM148" s="45"/>
      <c r="JN148" s="45"/>
      <c r="JO148" s="45"/>
      <c r="JP148" s="45"/>
      <c r="JQ148" s="45"/>
      <c r="JR148" s="45"/>
      <c r="JS148" s="45"/>
      <c r="JT148" s="45"/>
    </row>
    <row r="149" spans="118:280" ht="7.5" customHeight="1">
      <c r="DN149" s="198"/>
      <c r="DO149" s="198"/>
      <c r="DP149" s="198"/>
      <c r="DQ149" s="198"/>
      <c r="DR149" s="198"/>
      <c r="DS149" s="198"/>
      <c r="DT149" s="198"/>
      <c r="DU149" s="198"/>
      <c r="DV149" s="198"/>
      <c r="DW149" s="198"/>
      <c r="DX149" s="198"/>
      <c r="DY149" s="198"/>
      <c r="DZ149" s="198"/>
      <c r="EA149" s="198"/>
      <c r="EB149" s="198"/>
      <c r="EC149" s="198"/>
      <c r="ED149" s="198"/>
      <c r="EE149" s="198"/>
      <c r="EF149" s="198"/>
      <c r="EG149" s="198"/>
      <c r="EH149" s="198"/>
      <c r="EI149" s="198"/>
      <c r="EJ149" s="198"/>
      <c r="EK149" s="198"/>
      <c r="EL149" s="198"/>
      <c r="EM149" s="198"/>
      <c r="EN149" s="198"/>
      <c r="EO149" s="198"/>
      <c r="EP149" s="198"/>
      <c r="EQ149" s="198"/>
      <c r="ER149" s="198"/>
      <c r="ES149" s="198"/>
      <c r="ET149" s="198"/>
      <c r="EU149" s="198"/>
      <c r="EV149" s="198"/>
      <c r="EW149" s="198"/>
      <c r="EX149" s="198"/>
      <c r="EY149" s="198"/>
      <c r="EZ149" s="198"/>
      <c r="FA149" s="198"/>
      <c r="FB149" s="198"/>
      <c r="FC149" s="198"/>
      <c r="FD149" s="198"/>
      <c r="FE149" s="198"/>
      <c r="FF149" s="198"/>
      <c r="FG149" s="198"/>
      <c r="FH149" s="198"/>
      <c r="FI149" s="198"/>
      <c r="HY149" s="45"/>
      <c r="HZ149" s="45"/>
      <c r="IA149" s="45"/>
      <c r="IB149" s="45"/>
      <c r="IC149" s="45"/>
      <c r="ID149" s="45"/>
      <c r="IE149" s="45"/>
      <c r="IF149" s="45"/>
      <c r="IG149" s="45"/>
      <c r="IH149" s="45"/>
      <c r="II149" s="45"/>
      <c r="IJ149" s="45"/>
      <c r="IK149" s="45"/>
      <c r="IL149" s="45"/>
      <c r="IM149" s="45"/>
      <c r="IN149" s="45"/>
      <c r="IO149" s="45"/>
      <c r="IP149" s="45"/>
      <c r="IQ149" s="45"/>
      <c r="IR149" s="45"/>
      <c r="IS149" s="45"/>
      <c r="IT149" s="45"/>
      <c r="IU149" s="45"/>
      <c r="IV149" s="45"/>
      <c r="IW149" s="45"/>
      <c r="IX149" s="45"/>
      <c r="IY149" s="45"/>
      <c r="IZ149" s="45"/>
      <c r="JA149" s="45"/>
      <c r="JB149" s="45"/>
      <c r="JC149" s="45"/>
      <c r="JD149" s="45"/>
      <c r="JE149" s="45"/>
      <c r="JF149" s="45"/>
      <c r="JG149" s="45"/>
      <c r="JH149" s="45"/>
      <c r="JI149" s="45"/>
      <c r="JJ149" s="45"/>
      <c r="JK149" s="45"/>
      <c r="JL149" s="45"/>
      <c r="JM149" s="45"/>
      <c r="JN149" s="45"/>
      <c r="JO149" s="45"/>
      <c r="JP149" s="45"/>
      <c r="JQ149" s="45"/>
      <c r="JR149" s="45"/>
      <c r="JS149" s="45"/>
      <c r="JT149" s="45"/>
    </row>
    <row r="150" spans="118:280" ht="7.5" customHeight="1">
      <c r="DN150" s="198"/>
      <c r="DO150" s="198"/>
      <c r="DP150" s="198"/>
      <c r="DQ150" s="198"/>
      <c r="DR150" s="198"/>
      <c r="DS150" s="198"/>
      <c r="DT150" s="198"/>
      <c r="DU150" s="198"/>
      <c r="DV150" s="198"/>
      <c r="DW150" s="198"/>
      <c r="DX150" s="198"/>
      <c r="DY150" s="198"/>
      <c r="DZ150" s="198"/>
      <c r="EA150" s="198"/>
      <c r="EB150" s="198"/>
      <c r="EC150" s="198"/>
      <c r="ED150" s="198"/>
      <c r="EE150" s="198"/>
      <c r="EF150" s="198"/>
      <c r="EG150" s="198"/>
      <c r="EH150" s="198"/>
      <c r="EI150" s="198"/>
      <c r="EJ150" s="198"/>
      <c r="EK150" s="198"/>
      <c r="EL150" s="198"/>
      <c r="EM150" s="198"/>
      <c r="EN150" s="198"/>
      <c r="EO150" s="198"/>
      <c r="EP150" s="198"/>
      <c r="EQ150" s="198"/>
      <c r="ER150" s="198"/>
      <c r="ES150" s="198"/>
      <c r="ET150" s="198"/>
      <c r="EU150" s="198"/>
      <c r="EV150" s="198"/>
      <c r="EW150" s="198"/>
      <c r="EX150" s="198"/>
      <c r="EY150" s="198"/>
      <c r="EZ150" s="198"/>
      <c r="FA150" s="198"/>
      <c r="FB150" s="198"/>
      <c r="FC150" s="198"/>
      <c r="FD150" s="198"/>
      <c r="FE150" s="198"/>
      <c r="FF150" s="198"/>
      <c r="FG150" s="198"/>
      <c r="FH150" s="198"/>
      <c r="FI150" s="198"/>
      <c r="HY150" s="45"/>
      <c r="HZ150" s="45"/>
      <c r="IA150" s="45"/>
      <c r="IB150" s="45"/>
      <c r="IC150" s="45"/>
      <c r="ID150" s="45"/>
      <c r="IE150" s="45"/>
      <c r="IF150" s="45"/>
      <c r="IG150" s="45"/>
      <c r="IH150" s="45"/>
      <c r="II150" s="45"/>
      <c r="IJ150" s="45"/>
      <c r="IK150" s="45"/>
      <c r="IL150" s="45"/>
      <c r="IM150" s="45"/>
      <c r="IN150" s="45"/>
      <c r="IO150" s="45"/>
      <c r="IP150" s="45"/>
      <c r="IQ150" s="45"/>
      <c r="IR150" s="45"/>
      <c r="IS150" s="45"/>
      <c r="IT150" s="45"/>
      <c r="IU150" s="45"/>
      <c r="IV150" s="45"/>
      <c r="IW150" s="45"/>
      <c r="IX150" s="45"/>
      <c r="IY150" s="45"/>
      <c r="IZ150" s="45"/>
      <c r="JA150" s="45"/>
      <c r="JB150" s="45"/>
      <c r="JC150" s="45"/>
      <c r="JD150" s="45"/>
      <c r="JE150" s="45"/>
      <c r="JF150" s="45"/>
      <c r="JG150" s="45"/>
      <c r="JH150" s="45"/>
      <c r="JI150" s="45"/>
      <c r="JJ150" s="45"/>
      <c r="JK150" s="45"/>
      <c r="JL150" s="45"/>
      <c r="JM150" s="45"/>
      <c r="JN150" s="45"/>
      <c r="JO150" s="45"/>
      <c r="JP150" s="45"/>
      <c r="JQ150" s="45"/>
      <c r="JR150" s="45"/>
      <c r="JS150" s="45"/>
      <c r="JT150" s="45"/>
    </row>
    <row r="151" spans="118:280" ht="7.5" customHeight="1">
      <c r="DN151" s="198"/>
      <c r="DO151" s="198"/>
      <c r="DP151" s="198"/>
      <c r="DQ151" s="198"/>
      <c r="DR151" s="198"/>
      <c r="DS151" s="198"/>
      <c r="DT151" s="198"/>
      <c r="DU151" s="198"/>
      <c r="DV151" s="198"/>
      <c r="DW151" s="198"/>
      <c r="DX151" s="198"/>
      <c r="DY151" s="198"/>
      <c r="DZ151" s="198"/>
      <c r="EA151" s="198"/>
      <c r="EB151" s="198"/>
      <c r="EC151" s="198"/>
      <c r="ED151" s="198"/>
      <c r="EE151" s="198"/>
      <c r="EF151" s="198"/>
      <c r="EG151" s="198"/>
      <c r="EH151" s="198"/>
      <c r="EI151" s="198"/>
      <c r="EJ151" s="198"/>
      <c r="EK151" s="198"/>
      <c r="EL151" s="198"/>
      <c r="EM151" s="198"/>
      <c r="EN151" s="198"/>
      <c r="EO151" s="198"/>
      <c r="EP151" s="198"/>
      <c r="EQ151" s="198"/>
      <c r="ER151" s="198"/>
      <c r="ES151" s="198"/>
      <c r="ET151" s="198"/>
      <c r="EU151" s="198"/>
      <c r="EV151" s="198"/>
      <c r="EW151" s="198"/>
      <c r="EX151" s="198"/>
      <c r="EY151" s="198"/>
      <c r="EZ151" s="198"/>
      <c r="FA151" s="198"/>
      <c r="FB151" s="198"/>
      <c r="FC151" s="198"/>
      <c r="FD151" s="198"/>
      <c r="FE151" s="198"/>
      <c r="FF151" s="198"/>
      <c r="FG151" s="198"/>
      <c r="FH151" s="198"/>
      <c r="FI151" s="198"/>
      <c r="HY151" s="45"/>
      <c r="HZ151" s="45"/>
      <c r="IA151" s="45"/>
      <c r="IB151" s="45"/>
      <c r="IC151" s="45"/>
      <c r="ID151" s="45"/>
      <c r="IE151" s="45"/>
      <c r="IF151" s="45"/>
      <c r="IG151" s="45"/>
      <c r="IH151" s="45"/>
      <c r="II151" s="45"/>
      <c r="IJ151" s="45"/>
      <c r="IK151" s="45"/>
      <c r="IL151" s="45"/>
      <c r="IM151" s="45"/>
      <c r="IN151" s="45"/>
      <c r="IO151" s="45"/>
      <c r="IP151" s="45"/>
      <c r="IQ151" s="45"/>
      <c r="IR151" s="45"/>
      <c r="IS151" s="45"/>
      <c r="IT151" s="45"/>
      <c r="IU151" s="45"/>
      <c r="IV151" s="45"/>
      <c r="IW151" s="45"/>
      <c r="IX151" s="45"/>
      <c r="IY151" s="45"/>
      <c r="IZ151" s="45"/>
      <c r="JA151" s="45"/>
      <c r="JB151" s="45"/>
      <c r="JC151" s="45"/>
      <c r="JD151" s="45"/>
      <c r="JE151" s="45"/>
      <c r="JF151" s="45"/>
      <c r="JG151" s="45"/>
      <c r="JH151" s="45"/>
      <c r="JI151" s="45"/>
      <c r="JJ151" s="45"/>
      <c r="JK151" s="45"/>
      <c r="JL151" s="45"/>
      <c r="JM151" s="45"/>
      <c r="JN151" s="45"/>
      <c r="JO151" s="45"/>
      <c r="JP151" s="45"/>
      <c r="JQ151" s="45"/>
      <c r="JR151" s="45"/>
      <c r="JS151" s="45"/>
      <c r="JT151" s="45"/>
    </row>
  </sheetData>
  <sheetProtection algorithmName="SHA-512" hashValue="OkkXEGHdGqECS7LhNtlp1P5RttLL9knE0hqOaDeQNA2+b8Yx3m9ycybqbstFLjkM+0gk571+QBLcGjKJs8eLog==" saltValue="zZoEdDORZQzx4sFEOW1y3g==" spinCount="100000" sheet="1" selectLockedCells="1"/>
  <mergeCells count="291">
    <mergeCell ref="AR126:DL128"/>
    <mergeCell ref="AG123:AJ125"/>
    <mergeCell ref="AG126:AJ128"/>
    <mergeCell ref="AK123:AQ125"/>
    <mergeCell ref="AK126:AQ128"/>
    <mergeCell ref="AP104:AS104"/>
    <mergeCell ref="AT104:AV104"/>
    <mergeCell ref="AP102:AS102"/>
    <mergeCell ref="AT102:AV102"/>
    <mergeCell ref="AP103:AS103"/>
    <mergeCell ref="AT103:AV103"/>
    <mergeCell ref="A130:U130"/>
    <mergeCell ref="B97:I99"/>
    <mergeCell ref="U97:AF99"/>
    <mergeCell ref="U100:AF104"/>
    <mergeCell ref="BC100:DL104"/>
    <mergeCell ref="AG97:BB99"/>
    <mergeCell ref="BX108:DL108"/>
    <mergeCell ref="J97:T99"/>
    <mergeCell ref="BX109:DL110"/>
    <mergeCell ref="M117:P119"/>
    <mergeCell ref="Q120:AC122"/>
    <mergeCell ref="AJ120:DL122"/>
    <mergeCell ref="M120:P122"/>
    <mergeCell ref="Q123:T125"/>
    <mergeCell ref="Q126:T128"/>
    <mergeCell ref="M123:P128"/>
    <mergeCell ref="B123:L128"/>
    <mergeCell ref="U123:AC125"/>
    <mergeCell ref="U126:AC128"/>
    <mergeCell ref="DE117:DL119"/>
    <mergeCell ref="AX114:BG116"/>
    <mergeCell ref="BH114:CF116"/>
    <mergeCell ref="CG114:DL116"/>
    <mergeCell ref="AR123:DL125"/>
    <mergeCell ref="A131:DL131"/>
    <mergeCell ref="A132:DL132"/>
    <mergeCell ref="BJ108:BM110"/>
    <mergeCell ref="B111:O112"/>
    <mergeCell ref="P111:AA112"/>
    <mergeCell ref="AB111:DL112"/>
    <mergeCell ref="AX108:BA110"/>
    <mergeCell ref="B108:I110"/>
    <mergeCell ref="J108:O110"/>
    <mergeCell ref="P108:U110"/>
    <mergeCell ref="V108:AA110"/>
    <mergeCell ref="BN108:BR110"/>
    <mergeCell ref="BS108:BW110"/>
    <mergeCell ref="AD117:DD119"/>
    <mergeCell ref="Q117:AC119"/>
    <mergeCell ref="B120:L122"/>
    <mergeCell ref="B117:L119"/>
    <mergeCell ref="V130:DL130"/>
    <mergeCell ref="B113:DL113"/>
    <mergeCell ref="H114:S116"/>
    <mergeCell ref="AD123:AF125"/>
    <mergeCell ref="AD126:AF128"/>
    <mergeCell ref="AD120:AF122"/>
    <mergeCell ref="AG120:AI122"/>
    <mergeCell ref="H105:O107"/>
    <mergeCell ref="P105:Q107"/>
    <mergeCell ref="R105:Y107"/>
    <mergeCell ref="Z105:AA107"/>
    <mergeCell ref="B100:T104"/>
    <mergeCell ref="AG100:AO100"/>
    <mergeCell ref="AG101:AO101"/>
    <mergeCell ref="AG102:AO102"/>
    <mergeCell ref="AG103:AO103"/>
    <mergeCell ref="AG104:AO104"/>
    <mergeCell ref="AB105:DL107"/>
    <mergeCell ref="AW100:BB100"/>
    <mergeCell ref="AW101:BB101"/>
    <mergeCell ref="AW102:BB102"/>
    <mergeCell ref="AW103:BB103"/>
    <mergeCell ref="AW104:BB104"/>
    <mergeCell ref="AP100:AS100"/>
    <mergeCell ref="AT100:AV100"/>
    <mergeCell ref="AP101:AS101"/>
    <mergeCell ref="AT101:AV101"/>
    <mergeCell ref="B105:G107"/>
    <mergeCell ref="BZ91:CX93"/>
    <mergeCell ref="CY91:DF93"/>
    <mergeCell ref="DG91:DL93"/>
    <mergeCell ref="DE97:DL99"/>
    <mergeCell ref="T114:AA116"/>
    <mergeCell ref="AB114:AD116"/>
    <mergeCell ref="AE114:AL116"/>
    <mergeCell ref="AM114:AW116"/>
    <mergeCell ref="AP108:AW110"/>
    <mergeCell ref="BB108:BI110"/>
    <mergeCell ref="AB108:AO110"/>
    <mergeCell ref="BZ94:CX96"/>
    <mergeCell ref="CY94:DL96"/>
    <mergeCell ref="B89:DL90"/>
    <mergeCell ref="B91:I93"/>
    <mergeCell ref="J91:U93"/>
    <mergeCell ref="V91:AC93"/>
    <mergeCell ref="AD91:AR93"/>
    <mergeCell ref="AS91:AZ93"/>
    <mergeCell ref="BA91:BF93"/>
    <mergeCell ref="BC97:BN99"/>
    <mergeCell ref="BO97:DD99"/>
    <mergeCell ref="B94:I96"/>
    <mergeCell ref="J94:M96"/>
    <mergeCell ref="N94:Q96"/>
    <mergeCell ref="R94:T96"/>
    <mergeCell ref="U94:X96"/>
    <mergeCell ref="Y94:AA96"/>
    <mergeCell ref="AB94:AD96"/>
    <mergeCell ref="AE94:AH96"/>
    <mergeCell ref="AI94:BB96"/>
    <mergeCell ref="BC94:BN96"/>
    <mergeCell ref="BG91:BN93"/>
    <mergeCell ref="BO91:BQ93"/>
    <mergeCell ref="BR91:BY93"/>
    <mergeCell ref="BO94:BQ96"/>
    <mergeCell ref="BR94:BY96"/>
    <mergeCell ref="B82:L84"/>
    <mergeCell ref="M82:AR84"/>
    <mergeCell ref="AS82:DL84"/>
    <mergeCell ref="B85:L87"/>
    <mergeCell ref="M85:AK87"/>
    <mergeCell ref="AL85:DL87"/>
    <mergeCell ref="CF70:DB71"/>
    <mergeCell ref="A73:BB74"/>
    <mergeCell ref="BC73:CT74"/>
    <mergeCell ref="B77:DL78"/>
    <mergeCell ref="B79:L81"/>
    <mergeCell ref="M79:P81"/>
    <mergeCell ref="Q79:DL81"/>
    <mergeCell ref="DS61:DY62"/>
    <mergeCell ref="EU61:FA62"/>
    <mergeCell ref="G62:L63"/>
    <mergeCell ref="M62:AF63"/>
    <mergeCell ref="AG62:AL63"/>
    <mergeCell ref="AM62:BF63"/>
    <mergeCell ref="BI62:CE63"/>
    <mergeCell ref="CF62:DB63"/>
    <mergeCell ref="CF64:DB65"/>
    <mergeCell ref="AB65:AF66"/>
    <mergeCell ref="AG65:AS66"/>
    <mergeCell ref="AT65:BF66"/>
    <mergeCell ref="BI66:CE67"/>
    <mergeCell ref="CF66:DB67"/>
    <mergeCell ref="G64:AA66"/>
    <mergeCell ref="AB64:AF64"/>
    <mergeCell ref="AG64:AS64"/>
    <mergeCell ref="AT64:BF64"/>
    <mergeCell ref="BI64:CE65"/>
    <mergeCell ref="G67:AA68"/>
    <mergeCell ref="AB67:AF68"/>
    <mergeCell ref="AG67:BF68"/>
    <mergeCell ref="BI68:CE69"/>
    <mergeCell ref="CF68:DB69"/>
    <mergeCell ref="B60:F63"/>
    <mergeCell ref="G60:L61"/>
    <mergeCell ref="M60:W61"/>
    <mergeCell ref="X60:AC61"/>
    <mergeCell ref="AD60:AN61"/>
    <mergeCell ref="AO60:AT61"/>
    <mergeCell ref="AU60:BF61"/>
    <mergeCell ref="BI60:DB61"/>
    <mergeCell ref="DC60:DK71"/>
    <mergeCell ref="B64:F66"/>
    <mergeCell ref="B67:F68"/>
    <mergeCell ref="B69:F71"/>
    <mergeCell ref="G69:AY71"/>
    <mergeCell ref="AZ69:BF71"/>
    <mergeCell ref="BI70:CE71"/>
    <mergeCell ref="B55:AK56"/>
    <mergeCell ref="AL55:BF56"/>
    <mergeCell ref="BI56:DB57"/>
    <mergeCell ref="DC56:DK59"/>
    <mergeCell ref="B57:F57"/>
    <mergeCell ref="G57:BF57"/>
    <mergeCell ref="B58:F59"/>
    <mergeCell ref="G58:AN59"/>
    <mergeCell ref="AO58:AZ59"/>
    <mergeCell ref="BA58:BF59"/>
    <mergeCell ref="BI58:CE59"/>
    <mergeCell ref="CF58:DB59"/>
    <mergeCell ref="B42:F52"/>
    <mergeCell ref="B37:F39"/>
    <mergeCell ref="G37:AA39"/>
    <mergeCell ref="AB37:AF37"/>
    <mergeCell ref="AG37:AS37"/>
    <mergeCell ref="B40:F41"/>
    <mergeCell ref="G40:AA41"/>
    <mergeCell ref="AB40:AF41"/>
    <mergeCell ref="AG40:BF41"/>
    <mergeCell ref="AT37:BF37"/>
    <mergeCell ref="AB38:AF39"/>
    <mergeCell ref="AG38:AS39"/>
    <mergeCell ref="AT38:BF39"/>
    <mergeCell ref="G51:AB52"/>
    <mergeCell ref="AC51:BF52"/>
    <mergeCell ref="AU33:BF34"/>
    <mergeCell ref="BI33:CB34"/>
    <mergeCell ref="CP41:CZ42"/>
    <mergeCell ref="DA41:DK42"/>
    <mergeCell ref="X33:AC34"/>
    <mergeCell ref="AD33:AN34"/>
    <mergeCell ref="AO33:AT34"/>
    <mergeCell ref="CC33:DD34"/>
    <mergeCell ref="DE33:DK34"/>
    <mergeCell ref="G42:BF50"/>
    <mergeCell ref="BI43:BM44"/>
    <mergeCell ref="BN43:CJ44"/>
    <mergeCell ref="CK43:CO44"/>
    <mergeCell ref="CP43:DK44"/>
    <mergeCell ref="BI41:BM42"/>
    <mergeCell ref="BN41:CJ42"/>
    <mergeCell ref="CK41:CO42"/>
    <mergeCell ref="BI37:BJ37"/>
    <mergeCell ref="BI38:BM39"/>
    <mergeCell ref="BN37:BS38"/>
    <mergeCell ref="BT37:CD38"/>
    <mergeCell ref="G35:L36"/>
    <mergeCell ref="M35:AF36"/>
    <mergeCell ref="AG35:AL36"/>
    <mergeCell ref="AM35:BF36"/>
    <mergeCell ref="BI35:BM36"/>
    <mergeCell ref="BN35:DK36"/>
    <mergeCell ref="BN39:BS40"/>
    <mergeCell ref="BT39:CM40"/>
    <mergeCell ref="CN39:CS40"/>
    <mergeCell ref="CT39:DK40"/>
    <mergeCell ref="CE37:CJ38"/>
    <mergeCell ref="CK37:CU38"/>
    <mergeCell ref="CV37:DA38"/>
    <mergeCell ref="DB37:DK38"/>
    <mergeCell ref="CT26:DK27"/>
    <mergeCell ref="B28:AM29"/>
    <mergeCell ref="AN28:AQ29"/>
    <mergeCell ref="AR28:BF29"/>
    <mergeCell ref="BI28:BM29"/>
    <mergeCell ref="BN28:CJ29"/>
    <mergeCell ref="CK28:CO29"/>
    <mergeCell ref="CP28:CZ29"/>
    <mergeCell ref="DA28:DK29"/>
    <mergeCell ref="BI25:BM26"/>
    <mergeCell ref="BN26:BS27"/>
    <mergeCell ref="BT26:CM27"/>
    <mergeCell ref="B30:F30"/>
    <mergeCell ref="G30:BF30"/>
    <mergeCell ref="BI30:BM31"/>
    <mergeCell ref="DE20:DK21"/>
    <mergeCell ref="A1:DM3"/>
    <mergeCell ref="A4:BC6"/>
    <mergeCell ref="BD4:BX6"/>
    <mergeCell ref="BY4:CS6"/>
    <mergeCell ref="B20:F21"/>
    <mergeCell ref="G20:I21"/>
    <mergeCell ref="J20:L21"/>
    <mergeCell ref="M20:O21"/>
    <mergeCell ref="P20:T21"/>
    <mergeCell ref="U20:W21"/>
    <mergeCell ref="BN30:CJ31"/>
    <mergeCell ref="BT24:CD25"/>
    <mergeCell ref="CE24:CJ25"/>
    <mergeCell ref="CK30:CO31"/>
    <mergeCell ref="CP30:DK31"/>
    <mergeCell ref="B31:F32"/>
    <mergeCell ref="G31:P32"/>
    <mergeCell ref="Q31:AY32"/>
    <mergeCell ref="AZ31:BF32"/>
    <mergeCell ref="CN26:CS27"/>
    <mergeCell ref="B114:G116"/>
    <mergeCell ref="X20:AB21"/>
    <mergeCell ref="AC20:AE21"/>
    <mergeCell ref="AF20:BF21"/>
    <mergeCell ref="BI20:CB21"/>
    <mergeCell ref="CC20:DD21"/>
    <mergeCell ref="CK24:CU25"/>
    <mergeCell ref="CV24:DA25"/>
    <mergeCell ref="DB24:DK25"/>
    <mergeCell ref="B25:F26"/>
    <mergeCell ref="G25:AD26"/>
    <mergeCell ref="AE25:AI26"/>
    <mergeCell ref="AJ25:BF26"/>
    <mergeCell ref="B22:X24"/>
    <mergeCell ref="Z22:BF24"/>
    <mergeCell ref="BI22:BM23"/>
    <mergeCell ref="BN22:CU23"/>
    <mergeCell ref="CV22:DE23"/>
    <mergeCell ref="DF22:DK23"/>
    <mergeCell ref="BI24:BJ24"/>
    <mergeCell ref="BN24:BS25"/>
    <mergeCell ref="B33:F36"/>
    <mergeCell ref="G33:L34"/>
    <mergeCell ref="M33:W34"/>
  </mergeCells>
  <phoneticPr fontId="68"/>
  <conditionalFormatting sqref="B105:AA107">
    <cfRule type="expression" dxfId="1685" priority="52">
      <formula>$M$79&lt;&gt;""</formula>
    </cfRule>
  </conditionalFormatting>
  <conditionalFormatting sqref="B94:AI94 BC94 BZ94 CY94 BO94:BY96 B95:AH96 B100:U100 B101:T104 B117:P119">
    <cfRule type="expression" dxfId="1684" priority="2">
      <formula>NOT(OR($AD$91="",$AD$91="新規"))</formula>
    </cfRule>
  </conditionalFormatting>
  <conditionalFormatting sqref="B114:AW116 B120:P128">
    <cfRule type="expression" dxfId="1683" priority="15">
      <formula>OR($AD$91="更新",$AD$91="更新(減数)",$AD$91="更新(エディション移行：バージョンアップ同時)")</formula>
    </cfRule>
  </conditionalFormatting>
  <conditionalFormatting sqref="B82:DL84">
    <cfRule type="expression" dxfId="1682" priority="21023">
      <formula>OR($BO$91="有",#REF!="有",#REF!="有",#REF!="有")</formula>
    </cfRule>
    <cfRule type="expression" dxfId="1681" priority="21073">
      <formula>AND($M$79="無",COUNTIF(#REF!,"*エディション移行*"))</formula>
    </cfRule>
  </conditionalFormatting>
  <conditionalFormatting sqref="B85:DL87">
    <cfRule type="expression" dxfId="1680" priority="259">
      <formula>OR($M$79="",$M$79="無")</formula>
    </cfRule>
  </conditionalFormatting>
  <conditionalFormatting sqref="B91:DL93 B94:AI94 BC94 B95:AH96 B97 J97 U97 AG97 BC97 BO97 DE97:DL99 B100:U100 BC100 AG100:AG104 AP100:BB104 B101:T104 AB105 B105:AA110 AB108 AP108 BB108 BX108:BX109 AX108:BA110 BJ108:BW110 B111:DL119 B120:AD120 AG120 AJ120:DL122 B121:AC122 B123:AD123 AR123 B124:AC125 B126:AD126 AR126 B127:AC128">
    <cfRule type="expression" dxfId="1679" priority="4">
      <formula>$M$79=""</formula>
    </cfRule>
  </conditionalFormatting>
  <conditionalFormatting sqref="B100:DL104">
    <cfRule type="expression" dxfId="1678" priority="33">
      <formula>$BO$91="有"</formula>
    </cfRule>
  </conditionalFormatting>
  <conditionalFormatting sqref="G25">
    <cfRule type="notContainsBlanks" dxfId="1677" priority="133" stopIfTrue="1">
      <formula>LEN(TRIM(G25))&gt;0</formula>
    </cfRule>
  </conditionalFormatting>
  <conditionalFormatting sqref="G30:G31 Q31 AZ31">
    <cfRule type="notContainsBlanks" dxfId="1676" priority="129" stopIfTrue="1">
      <formula>LEN(TRIM(G30))&gt;0</formula>
    </cfRule>
  </conditionalFormatting>
  <conditionalFormatting sqref="G37 G40">
    <cfRule type="notContainsBlanks" dxfId="1675" priority="124" stopIfTrue="1">
      <formula>LEN(TRIM(G37))&gt;0</formula>
    </cfRule>
  </conditionalFormatting>
  <conditionalFormatting sqref="G57:G58">
    <cfRule type="notContainsBlanks" dxfId="1674" priority="119" stopIfTrue="1">
      <formula>LEN(TRIM(G57))&gt;0</formula>
    </cfRule>
  </conditionalFormatting>
  <conditionalFormatting sqref="G64 G67">
    <cfRule type="notContainsBlanks" dxfId="1673" priority="114" stopIfTrue="1">
      <formula>LEN(TRIM(G64))&gt;0</formula>
    </cfRule>
  </conditionalFormatting>
  <conditionalFormatting sqref="J20 P20 X20">
    <cfRule type="notContainsBlanks" dxfId="1672" priority="204" stopIfTrue="1">
      <formula>LEN(TRIM(J20))&gt;0</formula>
    </cfRule>
  </conditionalFormatting>
  <conditionalFormatting sqref="J97 B97 U97">
    <cfRule type="expression" dxfId="1671" priority="34">
      <formula>NOT(OR(COUNTIF($AD$91,"*エディション移行*"),$AD$91="新規"))</formula>
    </cfRule>
  </conditionalFormatting>
  <conditionalFormatting sqref="J97 B120:AD120 B97 U97 AG120 AJ120:DL122 B121:AC122">
    <cfRule type="expression" dxfId="1670" priority="17">
      <formula>$J$91="SWG"</formula>
    </cfRule>
  </conditionalFormatting>
  <conditionalFormatting sqref="J97 U100 BO91 DG91 AB114:AB115 AM114:AM115 M123 M120 H114:H115 BA91:BF93 J108 V108 AX108 BJ108 N94 U94 M117:M118">
    <cfRule type="expression" dxfId="1669" priority="53">
      <formula>COUNTIF($AD$91,"新規")</formula>
    </cfRule>
  </conditionalFormatting>
  <conditionalFormatting sqref="J97 AB114:AB115 AM114:AM115 M123 BZ91 M120 H114:H115 BA91:BF93 J108 V108 AX108 BJ108">
    <cfRule type="expression" dxfId="1668" priority="55">
      <formula>COUNTIF($AD$91,"*エディション移行*")</formula>
    </cfRule>
  </conditionalFormatting>
  <conditionalFormatting sqref="M33">
    <cfRule type="notContainsBlanks" dxfId="1667" priority="128" stopIfTrue="1">
      <formula>LEN(TRIM(M33))&gt;0</formula>
    </cfRule>
  </conditionalFormatting>
  <conditionalFormatting sqref="M35">
    <cfRule type="notContainsBlanks" dxfId="1666" priority="125" stopIfTrue="1">
      <formula>LEN(TRIM(M35))&gt;0</formula>
    </cfRule>
  </conditionalFormatting>
  <conditionalFormatting sqref="M60">
    <cfRule type="notContainsBlanks" dxfId="1665" priority="118" stopIfTrue="1">
      <formula>LEN(TRIM(M60))&gt;0</formula>
    </cfRule>
  </conditionalFormatting>
  <conditionalFormatting sqref="M62">
    <cfRule type="notContainsBlanks" dxfId="1664" priority="115" stopIfTrue="1">
      <formula>LEN(TRIM(M62))&gt;0</formula>
    </cfRule>
  </conditionalFormatting>
  <conditionalFormatting sqref="M79">
    <cfRule type="expression" dxfId="1663" priority="21070">
      <formula>AND($M$79="無",OR(COUNTIF($AD$91,"*更新*"),COUNTIF(#REF!,"*更新*"),COUNTIF(#REF!,"*更新*")))</formula>
    </cfRule>
    <cfRule type="expression" dxfId="1662" priority="21069">
      <formula>AND($M$79="無",OR(COUNTIF($AD$91,"*追加*"),COUNTIF(#REF!,"*追加*"),COUNTIF(#REF!,"*追加*")))</formula>
    </cfRule>
    <cfRule type="expression" dxfId="1661" priority="21068">
      <formula>AND($M$79="無",AND(COUNTIF(#REF!,"*更新*"),COUNTIF(#REF!,"&lt;&gt;*エディション移行*")))</formula>
    </cfRule>
    <cfRule type="expression" dxfId="1660" priority="21067">
      <formula>AND($M$79="無",AND(COUNTIF(#REF!,"*追加*"),COUNTIF(#REF!,"&lt;&gt;*エディション移行*")))</formula>
    </cfRule>
    <cfRule type="expression" dxfId="1659" priority="21071">
      <formula>AND($M$79="無",$AD$91="エディション移行")</formula>
    </cfRule>
    <cfRule type="expression" dxfId="1658" priority="21066">
      <formula>AND($M$79="有",OR(COUNTIF(#REF!,"*同時購入*"),COUNTIF(#REF!,"*他製品*")))</formula>
    </cfRule>
    <cfRule type="notContainsBlanks" dxfId="1657" priority="21065" stopIfTrue="1">
      <formula>LEN(TRIM(M79))&gt;0</formula>
    </cfRule>
    <cfRule type="containsBlanks" dxfId="1654" priority="21072">
      <formula>LEN(TRIM(M79))=0</formula>
    </cfRule>
  </conditionalFormatting>
  <conditionalFormatting sqref="M82 AS82 B82:L84">
    <cfRule type="expression" dxfId="1653" priority="20967">
      <formula>OR($M$79="",$M$79="有")</formula>
    </cfRule>
  </conditionalFormatting>
  <conditionalFormatting sqref="M82">
    <cfRule type="notContainsBlanks" dxfId="1652" priority="149" stopIfTrue="1">
      <formula>LEN(TRIM(M82))&gt;0</formula>
    </cfRule>
    <cfRule type="expression" dxfId="1651" priority="21074">
      <formula>AND($M$79="無",OR(AND($AD$91="新規",$BO$91="無"),AND(#REF!="新規",#REF!="無"),AND(#REF!="新規",#REF!="無")))</formula>
    </cfRule>
  </conditionalFormatting>
  <conditionalFormatting sqref="M85">
    <cfRule type="notContainsBlanks" dxfId="1650" priority="260">
      <formula>LEN(TRIM(M85))&gt;0</formula>
    </cfRule>
  </conditionalFormatting>
  <conditionalFormatting sqref="M85:AK87">
    <cfRule type="expression" dxfId="1649" priority="261">
      <formula>$M$79="有"</formula>
    </cfRule>
  </conditionalFormatting>
  <conditionalFormatting sqref="M82:AR84">
    <cfRule type="expression" dxfId="1648" priority="21022">
      <formula>AND(OR(#REF!="標準(DigitalArts@Cloud同時購入)",#REF!="標準(弊社他製品利用)",#REF!="標準(Desk@Cloud単独購入/保有)"),#REF!="無")</formula>
    </cfRule>
    <cfRule type="expression" dxfId="1647" priority="20968">
      <formula>$M$79="無"</formula>
    </cfRule>
  </conditionalFormatting>
  <conditionalFormatting sqref="P111:AA112">
    <cfRule type="expression" dxfId="1646" priority="14">
      <formula>$P$111="正常"</formula>
    </cfRule>
    <cfRule type="expression" dxfId="1645" priority="25">
      <formula>$P$111="要確認"</formula>
    </cfRule>
  </conditionalFormatting>
  <conditionalFormatting sqref="Q120:AD120 AG120 AJ120:DL122 Q121:AC122">
    <cfRule type="expression" dxfId="1644" priority="28">
      <formula>OR($M$120="",$M$120="無")</formula>
    </cfRule>
  </conditionalFormatting>
  <conditionalFormatting sqref="Q123:AD123 Q126:AD126 AG123:AR123 Q124:AC125 AG124:AQ128 AR126 Q127:AC128">
    <cfRule type="expression" dxfId="1643" priority="16">
      <formula>OR($M$123="",$M$123="無")</formula>
    </cfRule>
  </conditionalFormatting>
  <conditionalFormatting sqref="Q117:DL119">
    <cfRule type="expression" dxfId="1642" priority="20">
      <formula>OR($M$117="",$M$117="無")</formula>
    </cfRule>
  </conditionalFormatting>
  <conditionalFormatting sqref="T114:AW116 B123:P128">
    <cfRule type="expression" dxfId="1641" priority="27">
      <formula>$J$91="ZTNA"</formula>
    </cfRule>
  </conditionalFormatting>
  <conditionalFormatting sqref="U100">
    <cfRule type="expression" dxfId="1640" priority="60">
      <formula>$AD$91="新規"</formula>
    </cfRule>
  </conditionalFormatting>
  <conditionalFormatting sqref="AB114 AM114 M123 BZ91 M120 H114 BA91 J108 V108 AX108 BJ108">
    <cfRule type="expression" dxfId="1639" priority="31">
      <formula>COUNTIF($AD$91,"*追加*")</formula>
    </cfRule>
  </conditionalFormatting>
  <conditionalFormatting sqref="AD33">
    <cfRule type="notContainsBlanks" dxfId="1638" priority="127" stopIfTrue="1">
      <formula>LEN(TRIM(AD33))&gt;0</formula>
    </cfRule>
  </conditionalFormatting>
  <conditionalFormatting sqref="AD60">
    <cfRule type="notContainsBlanks" dxfId="1637" priority="117" stopIfTrue="1">
      <formula>LEN(TRIM(AD60))&gt;0</formula>
    </cfRule>
  </conditionalFormatting>
  <conditionalFormatting sqref="AD91 J91:U93">
    <cfRule type="expression" dxfId="1636" priority="50">
      <formula>$M$79&lt;&gt;""</formula>
    </cfRule>
  </conditionalFormatting>
  <conditionalFormatting sqref="AD120">
    <cfRule type="expression" dxfId="1635" priority="40">
      <formula>$M$120="有"</formula>
    </cfRule>
  </conditionalFormatting>
  <conditionalFormatting sqref="AD123 AD126">
    <cfRule type="expression" dxfId="1634" priority="39">
      <formula>$M$123="有"</formula>
    </cfRule>
  </conditionalFormatting>
  <conditionalFormatting sqref="AG97 DE97:DL99 U97 BC97 BO97">
    <cfRule type="expression" dxfId="1633" priority="20993">
      <formula>OR($J$97="",$J$97="無")</formula>
    </cfRule>
  </conditionalFormatting>
  <conditionalFormatting sqref="AG97">
    <cfRule type="expression" dxfId="1632" priority="20998">
      <formula>COUNTIF($J$97,"*有*")</formula>
    </cfRule>
  </conditionalFormatting>
  <conditionalFormatting sqref="AG100:BB104 BC100">
    <cfRule type="expression" dxfId="1631" priority="21">
      <formula>OR($U$100="",$U$100="デジタルアーツにお任せする")</formula>
    </cfRule>
  </conditionalFormatting>
  <conditionalFormatting sqref="AG37:BF39 AG40">
    <cfRule type="notContainsBlanks" dxfId="1630" priority="123" stopIfTrue="1">
      <formula>LEN(TRIM(AG37))&gt;0</formula>
    </cfRule>
  </conditionalFormatting>
  <conditionalFormatting sqref="AG64:BF66 AG67">
    <cfRule type="notContainsBlanks" dxfId="1629" priority="113" stopIfTrue="1">
      <formula>LEN(TRIM(AG64))&gt;0</formula>
    </cfRule>
  </conditionalFormatting>
  <conditionalFormatting sqref="AJ25">
    <cfRule type="notContainsBlanks" dxfId="1628" priority="206" stopIfTrue="1">
      <formula>LEN(TRIM(AJ25))&gt;0</formula>
    </cfRule>
  </conditionalFormatting>
  <conditionalFormatting sqref="AM35">
    <cfRule type="notContainsBlanks" dxfId="1627" priority="130" stopIfTrue="1">
      <formula>LEN(TRIM(AM35))&gt;0</formula>
    </cfRule>
  </conditionalFormatting>
  <conditionalFormatting sqref="AM62">
    <cfRule type="notContainsBlanks" dxfId="1626" priority="120" stopIfTrue="1">
      <formula>LEN(TRIM(AM62))&gt;0</formula>
    </cfRule>
  </conditionalFormatting>
  <conditionalFormatting sqref="AR28">
    <cfRule type="notContainsBlanks" dxfId="1625" priority="205" stopIfTrue="1">
      <formula>LEN(TRIM(AR28))&gt;0</formula>
    </cfRule>
  </conditionalFormatting>
  <conditionalFormatting sqref="AR28:BF29">
    <cfRule type="expression" dxfId="1624" priority="203" stopIfTrue="1">
      <formula>OR($AR$28="文教",$AR$28="官公庁／自治体",$AR$28="その他公共",$AR$28="企業")</formula>
    </cfRule>
  </conditionalFormatting>
  <conditionalFormatting sqref="AS91:BF93 B105:AA110 AX108:BA110 BJ108:BW110 AB105 AB108 AP108 BB108 BX108:BX109 B111:DL112">
    <cfRule type="expression" dxfId="1623" priority="12">
      <formula>$AD$91="更新"</formula>
    </cfRule>
  </conditionalFormatting>
  <conditionalFormatting sqref="AT100:AV104 J91 AD91 BA91 BO91 BZ91 DG91 N94 U94 J97 AG97 DE97:DE98 U100 J108 V108 BJ108 AX108:BA110 H114:H115 AB114:AB115 AM114:AM115 BH114:BH115 M117:M118 DE117:DE118 M120 AD120 M123 AD123 AD126">
    <cfRule type="notContainsBlanks" dxfId="1622" priority="11">
      <formula>LEN(TRIM(H91))&gt;0</formula>
    </cfRule>
  </conditionalFormatting>
  <conditionalFormatting sqref="AT100:AV104">
    <cfRule type="expression" dxfId="1621" priority="7">
      <formula>COUNTIF($AT$100:$AT$104, AT100) &gt; 1</formula>
    </cfRule>
    <cfRule type="expression" dxfId="1620" priority="41">
      <formula>$U$100="使用希望のIPを指定する"</formula>
    </cfRule>
  </conditionalFormatting>
  <conditionalFormatting sqref="AU33">
    <cfRule type="notContainsBlanks" dxfId="1619" priority="126" stopIfTrue="1">
      <formula>LEN(TRIM(AU33))&gt;0</formula>
    </cfRule>
  </conditionalFormatting>
  <conditionalFormatting sqref="AU60">
    <cfRule type="notContainsBlanks" dxfId="1618" priority="116" stopIfTrue="1">
      <formula>LEN(TRIM(AU60))&gt;0</formula>
    </cfRule>
  </conditionalFormatting>
  <conditionalFormatting sqref="AX114:CF116">
    <cfRule type="expression" dxfId="1617" priority="18">
      <formula>OR($AM$114="",$AM$114="無",$AM$114="有（f-FILTERシリアルなし）")</formula>
    </cfRule>
  </conditionalFormatting>
  <conditionalFormatting sqref="AZ69:BF71">
    <cfRule type="expression" dxfId="1616" priority="122">
      <formula>$AZ$69="はい"</formula>
    </cfRule>
    <cfRule type="expression" dxfId="1615" priority="121">
      <formula>$AZ$69="いいえ"</formula>
    </cfRule>
  </conditionalFormatting>
  <conditionalFormatting sqref="BA91 J108 V108 AX108 BJ108">
    <cfRule type="expression" dxfId="1614" priority="54">
      <formula>OR(COUNTIF($AD$91,"*減数*"))</formula>
    </cfRule>
  </conditionalFormatting>
  <conditionalFormatting sqref="BA91:BF93">
    <cfRule type="expression" dxfId="1613" priority="21014">
      <formula>OR(AND($J$108="端末数",$BA$91&lt;&gt;$BS$108,$BS$108&lt;&gt;0),AND($BA$91&gt;$V$108,$V$108&lt;&gt;0),AND($BS$108&gt;$BA$91*3,$BS$108&lt;&gt;0))</formula>
    </cfRule>
  </conditionalFormatting>
  <conditionalFormatting sqref="BD4:BX6">
    <cfRule type="expression" dxfId="1612" priority="211">
      <formula>OR($DE$20="",AND($DE$20="異なる",$DE$33=""))</formula>
    </cfRule>
  </conditionalFormatting>
  <conditionalFormatting sqref="BG91 AB114 AM114 M123 BZ91 M120 H114 J108 V108 AX108 BJ108">
    <cfRule type="expression" dxfId="1611" priority="48">
      <formula>OR(COUNTIF($AD$91,"*追加*"))</formula>
    </cfRule>
  </conditionalFormatting>
  <conditionalFormatting sqref="BG91:BQ93">
    <cfRule type="expression" dxfId="1610" priority="32">
      <formula>NOT(OR($AD$91="",$AD$91="新規"))</formula>
    </cfRule>
  </conditionalFormatting>
  <conditionalFormatting sqref="BH114:CF116">
    <cfRule type="expression" dxfId="1609" priority="36">
      <formula>OR($AM$114="有（f-FILTER保有シリアルあり）",$AM$114="有（f-FILTER試用版シリアルあり）")</formula>
    </cfRule>
  </conditionalFormatting>
  <conditionalFormatting sqref="BI58">
    <cfRule type="containsBlanks" dxfId="1608" priority="112">
      <formula>LEN(TRIM(BI58))=0</formula>
    </cfRule>
  </conditionalFormatting>
  <conditionalFormatting sqref="BI22:BN22 BI23:BM23 BI33:DK34 BI35:BN35 BI36:BM36">
    <cfRule type="expression" dxfId="1607" priority="232">
      <formula>$DE$20="同じ"</formula>
    </cfRule>
  </conditionalFormatting>
  <conditionalFormatting sqref="BI35:BN35 BI36:BM36">
    <cfRule type="expression" dxfId="1606" priority="233">
      <formula>$DE$33="同じ"</formula>
    </cfRule>
  </conditionalFormatting>
  <conditionalFormatting sqref="BI62:CE71">
    <cfRule type="notContainsBlanks" dxfId="1605" priority="238">
      <formula>LEN(TRIM(BI62))&gt;0</formula>
    </cfRule>
  </conditionalFormatting>
  <conditionalFormatting sqref="BI24:DK31">
    <cfRule type="expression" dxfId="1604" priority="212">
      <formula>$DE$20="同じ"</formula>
    </cfRule>
  </conditionalFormatting>
  <conditionalFormatting sqref="BI37:DK44">
    <cfRule type="expression" dxfId="1603" priority="214">
      <formula>$DE$33="同じ"</formula>
    </cfRule>
    <cfRule type="expression" dxfId="1602" priority="170">
      <formula>$DE$20="同じ"</formula>
    </cfRule>
  </conditionalFormatting>
  <conditionalFormatting sqref="BN35 BN22 DE33 BT37 CK37 BT39 CT39 BN41:CJ44 CP41:DK44 BT24 CK24 BT26 CT26 BN28:CJ31 CP28:DK31 DE20">
    <cfRule type="notContainsBlanks" dxfId="1601" priority="234" stopIfTrue="1">
      <formula>LEN(TRIM(BN20))&gt;0</formula>
    </cfRule>
  </conditionalFormatting>
  <conditionalFormatting sqref="BO94">
    <cfRule type="notContainsBlanks" dxfId="1600" priority="8">
      <formula>LEN(TRIM(BO94))&gt;0</formula>
    </cfRule>
  </conditionalFormatting>
  <conditionalFormatting sqref="BO94:BQ96">
    <cfRule type="expression" dxfId="1599" priority="10">
      <formula>NOT($J$91="")</formula>
    </cfRule>
  </conditionalFormatting>
  <conditionalFormatting sqref="BR94:BZ94 CY94 BR95:BY96">
    <cfRule type="expression" dxfId="1598" priority="5">
      <formula>OR($BO$94="",$BO$94="無")</formula>
    </cfRule>
  </conditionalFormatting>
  <conditionalFormatting sqref="BR91:CX93">
    <cfRule type="expression" dxfId="1597" priority="22">
      <formula>AND($AD$91="新規",$BO$91="無")</formula>
    </cfRule>
  </conditionalFormatting>
  <conditionalFormatting sqref="BY4">
    <cfRule type="expression" dxfId="1596" priority="21118">
      <formula>OR($M$79="",AND($J$91="",#REF!="",#REF!="",#REF!=""))</formula>
    </cfRule>
  </conditionalFormatting>
  <conditionalFormatting sqref="BZ94 CY94 BC94:BY96">
    <cfRule type="expression" dxfId="1595" priority="1">
      <formula>$J$91=""</formula>
    </cfRule>
  </conditionalFormatting>
  <conditionalFormatting sqref="BZ91:CX93">
    <cfRule type="expression" dxfId="1594" priority="56">
      <formula>$BO$91="有"</formula>
    </cfRule>
  </conditionalFormatting>
  <conditionalFormatting sqref="BZ94:CX96">
    <cfRule type="notContainsBlanks" dxfId="1593" priority="6">
      <formula>LEN(TRIM(BZ94))&gt;0</formula>
    </cfRule>
    <cfRule type="expression" dxfId="1592" priority="9">
      <formula>$BO$94="有"</formula>
    </cfRule>
  </conditionalFormatting>
  <conditionalFormatting sqref="CF66">
    <cfRule type="expression" dxfId="1591" priority="235">
      <formula>AND(BI66&lt;&gt;"",CF66="")</formula>
    </cfRule>
  </conditionalFormatting>
  <conditionalFormatting sqref="CF68">
    <cfRule type="expression" dxfId="1590" priority="230">
      <formula>AND(BI68&lt;&gt;"",CF68="")</formula>
    </cfRule>
  </conditionalFormatting>
  <conditionalFormatting sqref="CF70">
    <cfRule type="expression" dxfId="1589" priority="229">
      <formula>AND(BI70&lt;&gt;"",CF70="")</formula>
    </cfRule>
  </conditionalFormatting>
  <conditionalFormatting sqref="CF62:DB63">
    <cfRule type="notContainsBlanks" dxfId="1588" priority="231">
      <formula>LEN(TRIM(CF62))&gt;0</formula>
    </cfRule>
  </conditionalFormatting>
  <conditionalFormatting sqref="CF64:DB65">
    <cfRule type="expression" dxfId="1587" priority="236">
      <formula>AND(BI64&lt;&gt;"",CF64="")</formula>
    </cfRule>
  </conditionalFormatting>
  <conditionalFormatting sqref="CY91:DL93">
    <cfRule type="expression" dxfId="1586" priority="29">
      <formula>OR($AD$91="エディション移行：バージョンアップ",$AD$91="追加",$AD$91="追加(エディション移行：バージョンアップ同時)")</formula>
    </cfRule>
  </conditionalFormatting>
  <conditionalFormatting sqref="DB24">
    <cfRule type="notContainsBlanks" dxfId="1585" priority="213" stopIfTrue="1">
      <formula>LEN(TRIM(DB24))&gt;0</formula>
    </cfRule>
  </conditionalFormatting>
  <conditionalFormatting sqref="DB37">
    <cfRule type="notContainsBlanks" dxfId="1584" priority="215" stopIfTrue="1">
      <formula>LEN(TRIM(DB37))&gt;0</formula>
    </cfRule>
  </conditionalFormatting>
  <conditionalFormatting sqref="DE97:DL99 BC97 BO97">
    <cfRule type="expression" dxfId="1583" priority="20999">
      <formula>NOT($J$97="有（a-FILTER保有シリアルあり）")</formula>
    </cfRule>
  </conditionalFormatting>
  <conditionalFormatting sqref="DE97:DL99">
    <cfRule type="expression" dxfId="1582" priority="21002">
      <formula>$J$97="有（a-FILTER保有シリアルあり）"</formula>
    </cfRule>
  </conditionalFormatting>
  <conditionalFormatting sqref="DE117:DL119">
    <cfRule type="expression" dxfId="1581" priority="38">
      <formula>$M$117="有"</formula>
    </cfRule>
  </conditionalFormatting>
  <conditionalFormatting sqref="DG91 BZ91">
    <cfRule type="expression" dxfId="1580" priority="30">
      <formula>COUNTIF($AD$91,"*更新*")</formula>
    </cfRule>
  </conditionalFormatting>
  <dataValidations xWindow="1025" yWindow="725" count="52">
    <dataValidation type="list" allowBlank="1" showInputMessage="1" showErrorMessage="1" sqref="J91:U93" xr:uid="{1D8D46B2-9257-4C5A-BBDB-02E9AB047B17}">
      <formula1>ZF＿製品区分</formula1>
    </dataValidation>
    <dataValidation type="custom" imeMode="disabled" allowBlank="1" showInputMessage="1" showErrorMessage="1" error="入力した「ライセンス数」と同数以上の登録ユーザー数を入力してください。" prompt="・ユーザー登録が必要な最大の数を入力してください。_x000a_・入力した「ライセンス数」と同数以上の数字を入力してください。_x000a_・「追加」のときは追加後の合計数を入力してください_x000a_（GIGAスクール版をご利用の場合、予備機、端末入れ替えがある場合は、ユーザー登録が必要な児童・生徒数の120%までの入力が可能です。）" sqref="V108:AA110" xr:uid="{6B60D3D0-D53A-40A6-A8C4-FD2BE271BD97}">
      <formula1>V108&gt;=BA91</formula1>
    </dataValidation>
    <dataValidation imeMode="on" allowBlank="1" showInputMessage="1" showErrorMessage="1" error="半角文字が入っている可能性があります。" sqref="BA58:BF59" xr:uid="{A883D514-30A5-47A7-9AE5-C13B9CC6F605}"/>
    <dataValidation type="custom" imeMode="on" allowBlank="1" showInputMessage="1" showErrorMessage="1" error="半角文字が入っている可能性があります。" sqref="AO58:AZ59" xr:uid="{D86C39EA-3C4D-417D-9B3F-E01BAA4DEF6E}">
      <formula1>AND(AO58=DBCS(AO58))</formula1>
    </dataValidation>
    <dataValidation type="list" allowBlank="1" showInputMessage="1" showErrorMessage="1" sqref="M117:M118 M123 M120 BO94:BQ96" xr:uid="{3CA69900-DC0F-4A3B-BE7E-C0F184BA9805}">
      <formula1>"有,無"</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M82:AR84" xr:uid="{9598AA9B-01D4-4049-92D0-0DCCCFD7854D}">
      <formula1>AND(COUNTIF(M82,"*,*")+COUNTIF(M82,"*..*")+COUNTIF(M82,"*&lt;*")+COUNTIF(M82,"*&gt;*")+COUNTIF(M82,"*;*")+COUNTIF(M82,"*:*")+COUNTIF(M82,"*/*")+COUNTIF(M82,"&lt;&gt;*@*")=0,LEN(M82)&lt;65)</formula1>
    </dataValidation>
    <dataValidation type="whole" imeMode="disabled" operator="greaterThanOrEqual" allowBlank="1" showInputMessage="1" showErrorMessage="1" error="端末の数を整数で入力してください。" prompt="「追加」のときは追加後の端末数を入力してください。" sqref="BJ108:BM110 AX108:BA110" xr:uid="{FB7B2F2D-9BD4-4B7C-B066-485EAB22A5F7}">
      <formula1>0</formula1>
    </dataValidation>
    <dataValidation type="custom" imeMode="fullKatakana" allowBlank="1" showInputMessage="1" showErrorMessage="1" error="全角カナで入力してください" prompt="全角カタカナで入力してください。" sqref="G30" xr:uid="{7B847448-DE0D-4B76-8EF5-5A3808795AA0}">
      <formula1>AND(G30=DBCS(G30))</formula1>
    </dataValidation>
    <dataValidation type="list" allowBlank="1" showInputMessage="1" showErrorMessage="1" sqref="J108:O110" xr:uid="{AF6209B7-7E44-4791-827D-3EF47AFE4918}">
      <formula1>"端末数,ユーザー数"</formula1>
    </dataValidation>
    <dataValidation imeMode="disabled" allowBlank="1" showInputMessage="1" showErrorMessage="1" error="・新規最低購入ライセンス数は10ライセンスです。_x000a_・「追加」のときは追加後の合計ライセンス数を入力してください。" prompt="・新規最低購入ライセンス数は10ライセンスです。_x000a_・「追加」のときは追加後の合計ライセンス数を入力してください。" sqref="BA91:BF93" xr:uid="{33BEE450-48DB-4B80-952A-9E945409DDD4}"/>
    <dataValidation type="custom" imeMode="disabled" allowBlank="1" showInputMessage="1" showErrorMessage="1" errorTitle="E-Mail形式ではありません。" error="「,」「..」「/」「;」「:」「&lt;」「&gt;」のいずれかが含まれるか、「＠」がありません。" sqref="CP30:DO31 AJ25:BF26 CP43:DO44 G25:AD26 AG40:BF41 AG67:BF68" xr:uid="{7DD5422C-D52D-48DA-90DA-BEAC6DEC6F7E}">
      <formula1>COUNTIF(G25,"*,*")+COUNTIF(G25,"*..*")+COUNTIF(G25,"*&lt;*")+COUNTIF(G25,"*&gt;*")+COUNTIF(G25,"*;*")+COUNTIF(G25,"*:*")+COUNTIF(G25,"*/*")+COUNTIF(G25,"&lt;&gt;*@*")=0</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A66AB34B-0858-4577-91C7-A26D5BF201FE}">
      <formula1>業種</formula1>
    </dataValidation>
    <dataValidation type="list" allowBlank="1" showInputMessage="1" showErrorMessage="1" prompt="GIGAスクール版のお客様で_x000a_「子ども見守りシステム」(無償)を使用予定のお客様は_x000a_「有」をご選択ください。" sqref="P105:Q107" xr:uid="{C9DDE4A1-DAC0-4A10-9D78-A73D17DDB4EE}">
      <formula1>有無</formula1>
    </dataValidation>
    <dataValidation type="list" allowBlank="1" showInputMessage="1" showErrorMessage="1" prompt="「子ども見守りシステム」を使用予定のお客様でパトランプ（メル丸くん）を弊社から購入予定のお客様は「有」をご選択ください。" sqref="Z105:AA107" xr:uid="{A2AE8174-E67D-4FF0-9814-D1CAA131A219}">
      <formula1>"有,無"</formula1>
    </dataValidation>
    <dataValidation type="list" allowBlank="1" showInputMessage="1" showErrorMessage="1" sqref="AD91:AR93" xr:uid="{7E0CCCE5-3A02-435B-B6D7-F2BD8B49D9BF}">
      <formula1>IF(OR($J$91="SWG",$J$91="ZTNA"),ZF_申請区分_SWG,ZF_申請区分_ID.SSE)</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6ECD07D0-46F6-49CD-9FB1-F8C7D6DDBA30}">
      <formula1>AND(Q31=DBCS(Q31))</formula1>
    </dataValidation>
    <dataValidation type="list" imeMode="hiragana" allowBlank="1" showInputMessage="1" showErrorMessage="1" error="半角文字が入っている可能性があります。" sqref="G31" xr:uid="{BB130CDF-A293-47B4-97A3-A354F9119F4F}">
      <formula1>法人格_前</formula1>
    </dataValidation>
    <dataValidation type="list" imeMode="hiragana" allowBlank="1" showInputMessage="1" showErrorMessage="1" error="半角文字が入っている可能性があります。" sqref="AZ31" xr:uid="{9E4A8A11-5347-47F9-A811-41510A65FDEB}">
      <formula1>法人格_後</formula1>
    </dataValidation>
    <dataValidation type="whole" imeMode="disabled" operator="greaterThanOrEqual" allowBlank="1" showInputMessage="1" showErrorMessage="1" sqref="J20:L21" xr:uid="{A1719F86-8979-4D18-92F6-B131E68C6AC9}">
      <formula1>20</formula1>
    </dataValidation>
    <dataValidation type="whole" imeMode="disabled" allowBlank="1" showInputMessage="1" showErrorMessage="1" sqref="X20:AB21" xr:uid="{5315AE2C-8A63-456B-9BE4-42FEBBF1A15D}">
      <formula1>1</formula1>
      <formula2>31</formula2>
    </dataValidation>
    <dataValidation imeMode="disabled" allowBlank="1" showInputMessage="1" showErrorMessage="1" sqref="CF64:DB69" xr:uid="{06CAD829-3DF9-4271-A65C-0EEB69F0A5D1}"/>
    <dataValidation type="custom" imeMode="disabled" allowBlank="1" showInputMessage="1" showErrorMessage="1" promptTitle="入力方法" prompt="(例)03-1111-2222_x000a_のように半角数字で_x000a_ハイフンを入れて_x000a_入力してください" sqref="BN30:CJ31 BN43:CJ44 G40:AA41 G67:AA68" xr:uid="{BB777824-88CD-4A69-9953-E8C6D6F3B108}">
      <formula1>AND(COUNTIF(G30,"*-*"),LEN(G30)=LENB(G30),LEN(G30)&lt;14)</formula1>
    </dataValidation>
    <dataValidation type="custom" imeMode="disabled" allowBlank="1" showInputMessage="1" showErrorMessage="1" error="半角英数字で入力してください" sqref="BI58:DB59" xr:uid="{4F649BD8-D5F0-4FE3-BE72-5860D5384562}">
      <formula1>LENB(BI58)=LEN(BI58)</formula1>
    </dataValidation>
    <dataValidation type="custom" imeMode="on" allowBlank="1" showInputMessage="1" showErrorMessage="1" error="半角文字が入っている可能性があります。" promptTitle="入力方法" prompt="番地も含めてすべて全角で入力してください。" sqref="BT26:CM27 BT39:CM40" xr:uid="{D9447DE4-B8CF-43DC-A9F9-71F3A0CC44C9}">
      <formula1>AND(BT26=DBCS(BT26))</formula1>
    </dataValidation>
    <dataValidation type="custom" imeMode="on" allowBlank="1" showInputMessage="1" showErrorMessage="1" error="半角文字が入っている可能性があります。" promptTitle="入力方法" prompt="階数なども含めてすべて全角で入力してください。" sqref="CT26:DK27 CT39:DK40 AM35:BF36 AM62:BF63" xr:uid="{FE8809B0-D8BE-42AD-83AA-4DBC52497482}">
      <formula1>AND(AM26=DBCS(AM26))</formula1>
    </dataValidation>
    <dataValidation type="custom" imeMode="on" allowBlank="1" showInputMessage="1" showErrorMessage="1" error="半角文字が入っている可能性があります。" prompt="番地も含めてすべて全角で入力してください。" sqref="M35:AF36 M62:AF63" xr:uid="{5DC86F51-2819-4009-BA16-F9A65E983074}">
      <formula1>AND(M35=DBCS(M35))</formula1>
    </dataValidation>
    <dataValidation type="custom" imeMode="on" allowBlank="1" showInputMessage="1" showErrorMessage="1" error="半角文字が入っている可能性があります。" prompt="全角文字で入力してください。" sqref="CP28:DK29 CP41:DK42 BN22 BN28:CJ29 DB24:DK25 BN41:CJ42 BN35 DB37:DK38 G37:AA39 AG38:BF39 AU33:BF34 G64:AA66 G58 AU60:BF61 AG65:BF66" xr:uid="{06DAEA09-B0CB-4AEE-ADB5-2FBD9A19F2A2}">
      <formula1>AND(G22=DBCS(G22))</formula1>
    </dataValidation>
    <dataValidation type="list" allowBlank="1" showInputMessage="1" showErrorMessage="1" prompt="ご発注対象製品をプルダウンよりご選択ください。" sqref="BI66:CE69" xr:uid="{9B15A782-9688-4332-B85A-924FAB8C94CA}">
      <formula1>"i‐FILTER@Cloud,m-FILTER@Cloud,FinalCode@Cloud,Desk@Cloud"</formula1>
    </dataValidation>
    <dataValidation imeMode="disabled" allowBlank="1" showInputMessage="1" showErrorMessage="1" prompt="ご発注対象に対応するお見積番号をご入力ください。" sqref="CF62:DB63" xr:uid="{CBCA3954-C280-463A-B756-FB687D4F3118}"/>
    <dataValidation type="list" imeMode="on" allowBlank="1" showInputMessage="1" showErrorMessage="1" sqref="AZ69:BF71" xr:uid="{EDCAB6E7-830E-4FC9-A98C-02ECAF08BC70}">
      <formula1>"はい,いいえ"</formula1>
    </dataValidation>
    <dataValidation type="custom" imeMode="disabled" operator="equal" allowBlank="1" showInputMessage="1" showErrorMessage="1" promptTitle="入力方法" prompt="半角数字でハイフンを入れて入力をしてください。" sqref="BT24:CD25 BT37:CD38 M33:W34 M60:W61" xr:uid="{C18637E5-55D0-4727-AC34-CF339B40E3B8}">
      <formula1>AND(COUNTIF(M24,"*-*"),LEN(M24)=LENB(M24),LEN(M24)=8)</formula1>
    </dataValidation>
    <dataValidation type="custom" imeMode="fullKatakana" allowBlank="1" showInputMessage="1" showErrorMessage="1" error="全角カタカナで入力してください" prompt="全角カタカナで入力してください。" sqref="AG37:BF37 AG64:BF64 G57" xr:uid="{57592C73-7A9D-4455-BBE2-467AE6D75A71}">
      <formula1>AND(G37=DBCS(G37))</formula1>
    </dataValidation>
    <dataValidation type="list" imeMode="on" allowBlank="1" showInputMessage="1" showErrorMessage="1" sqref="CK37:CU38 CK24:CU25 AD33:AN34 AD60:AN61" xr:uid="{81E6C7CF-55BF-4004-83AC-7797A3255C94}">
      <formula1>都道府県</formula1>
    </dataValidation>
    <dataValidation type="list" allowBlank="1" showInputMessage="1" showErrorMessage="1" sqref="DE20:DK21 DE33:DK34" xr:uid="{40DCA50A-E9C7-4251-991A-6D0EA8A3F245}">
      <formula1>"同じ,異なる"</formula1>
    </dataValidation>
    <dataValidation type="whole" imeMode="disabled" operator="greaterThanOrEqual" allowBlank="1" showInputMessage="1" showErrorMessage="1" sqref="N94:Q96" xr:uid="{D9620E32-CF69-41ED-9A3C-4CD98C97FA9B}">
      <formula1>19</formula1>
    </dataValidation>
    <dataValidation type="whole" imeMode="disabled" allowBlank="1" showInputMessage="1" showErrorMessage="1" sqref="P20:T21 U94:X96" xr:uid="{D580BCFE-9ECE-4862-A132-5E854CB54D5F}">
      <formula1>1</formula1>
      <formula2>12</formula2>
    </dataValidation>
    <dataValidation imeMode="off" allowBlank="1" showInputMessage="1" showErrorMessage="1" sqref="BZ91" xr:uid="{D54144E9-5A60-4B3F-94AD-D3B15BB7F3B6}"/>
    <dataValidation type="list" allowBlank="1" showInputMessage="1" showErrorMessage="1" sqref="M79:P81 BO91 AB114:AB115" xr:uid="{5CE90587-84DC-4FC4-9D4C-69F002934042}">
      <formula1>有無</formula1>
    </dataValidation>
    <dataValidation type="list" allowBlank="1" showInputMessage="1" showErrorMessage="1" sqref="DG91:DL93" xr:uid="{49E4AC02-4AD5-4D91-86C5-ADF5B1F35271}">
      <formula1>契約期間</formula1>
    </dataValidation>
    <dataValidation type="custom" allowBlank="1" showInputMessage="1" showErrorMessage="1" sqref="AX114:AX115 AG100:AG104 AW100:AY104 AH101:AO104 AX108:BA110 AP100:AS104" xr:uid="{BBB97241-44CC-43B7-9645-F0D126FF414A}">
      <formula1>LEFT(AG100,4)="800C"</formula1>
    </dataValidation>
    <dataValidation type="list" allowBlank="1" showInputMessage="1" showErrorMessage="1" sqref="T114:T115 U105:V110 L100:T110 J97" xr:uid="{4D5490F8-7B71-4812-86BD-5731BA765E08}">
      <formula1>StartIn保有</formula1>
    </dataValidation>
    <dataValidation type="list" allowBlank="1" showInputMessage="1" showErrorMessage="1" prompt="ご発注対象製品をプルダウンよりご選択ください。" sqref="BI62:CE63" xr:uid="{CB17899C-9903-47A2-8C7F-6D7A898F17F5}">
      <formula1>"Z‐FILTER"</formula1>
    </dataValidation>
    <dataValidation type="whole" allowBlank="1" showInputMessage="1" showErrorMessage="1" error="「使用希望のIPを指定する」をご選択いただいた場合、0～255までの数値を重複無しで入力してください。" sqref="AT100:AV104" xr:uid="{2019C99F-C116-4612-BCA7-280EC76CE678}">
      <formula1>0</formula1>
      <formula2>255</formula2>
    </dataValidation>
    <dataValidation type="list" allowBlank="1" showInputMessage="1" showErrorMessage="1" prompt="ご発注対象製品をプルダウンよりご選択ください。" sqref="BI64:CE65 BI70:CE71" xr:uid="{F6594560-DAC9-4121-9366-605BD2808B6D}">
      <formula1>"Z-FILTER"</formula1>
    </dataValidation>
    <dataValidation type="whole" operator="greaterThanOrEqual" allowBlank="1" showInputMessage="1" showErrorMessage="1" error="・標準機能でライセンス数分の証明書発行が可能です。_x000a_・ライセンス数を超過して証明書を利用したい場合に超過分の証明書の枚数を入力してください。 _x000a_(例)100ライセンスで、130枚証明書を利用したい場合は「証明書追加」の欄に「30」と記入_x000a_・購入単位は1枚単位となります。" prompt="・標準機能でライセンス数分の証明書発行が可能です。_x000a_・購入単位は1枚単位となります。" sqref="AD120" xr:uid="{942B113B-A7C8-4400-9067-14AAB1F9B380}">
      <formula1>1</formula1>
    </dataValidation>
    <dataValidation type="list" allowBlank="1" showInputMessage="1" showErrorMessage="1" sqref="AD123" xr:uid="{3FB32011-D74D-4565-81B1-CA64C2BD59E7}">
      <formula1>"1,2,3,4,5,6"</formula1>
    </dataValidation>
    <dataValidation type="list" allowBlank="1" showInputMessage="1" showErrorMessage="1" sqref="DE117:DL119 DE97:DE98" xr:uid="{2DCB5A04-1E48-4DD0-9C96-338B77D6F7A2}">
      <formula1>"了承しました"</formula1>
    </dataValidation>
    <dataValidation type="list" allowBlank="1" showInputMessage="1" showErrorMessage="1" prompt="お客様環境にて、Z-FILTERが内部的に利用_x000a_する仮想ネットワークのサブネット（「10.x.0.0/16」形式）を割り当てる必要がございます。 お客様ネットワークとのサブネット重複を防ぐため本項目を必ずご記載ください。_x000a__x000a_サブネットの指定が不要な場合は、「デジタルアーツにお任せする」をご選択ください。弊社にてサブネットを選定・割り当ていたします。" sqref="U100" xr:uid="{127F7E0D-9EBC-43F3-B4C3-67CB6553F532}">
      <formula1>"デジタルアーツにお任せする,使用希望のIPを指定する"</formula1>
    </dataValidation>
    <dataValidation type="custom" allowBlank="1" showInputMessage="1" showErrorMessage="1" error="製品区分で「GIGAスクール版」以外をお選びの場合は、登録ユーザー数と利用OS内訳が同数になる用意入力してください。" sqref="BS108:BW110" xr:uid="{42A843EC-D350-41CA-A4FD-17C6D2E4AF7A}">
      <formula1>IF(NOT(OR(J91="GIGAスクール版",J91="")),V108=BS108,BS108)</formula1>
    </dataValidation>
    <dataValidation type="list" allowBlank="1" showInputMessage="1" showErrorMessage="1" error="1~20までの整数を入力してください。標準利用のみの購入の場合は「１」を入力してください。" sqref="AD126:AF128" xr:uid="{A884033E-88F8-461D-BA42-7C17F2001B9A}">
      <formula1>"0,1,2,3,4,5,6,7,8,9,10,11,12,13,14,15,16,17,18,19"</formula1>
    </dataValidation>
    <dataValidation type="custom" allowBlank="1" showInputMessage="1" showErrorMessage="1" errorTitle="保有するa-FILTERのシリアルをご入力ください" error="シリアルは_x000a_統合管理画面 [基本設定] &gt; [共通設定] &gt; [アカウント情報] から_x000a_「契約情報変更」ボタンをクリックすることでご確認いただけます。" sqref="AG97:BB99" xr:uid="{DCD62A74-2277-4F59-82CC-7C4C7F37DD0C}">
      <formula1>LEFT(AG97,4)="800C"</formula1>
    </dataValidation>
    <dataValidation type="custom" allowBlank="1" showInputMessage="1" showErrorMessage="1" errorTitle="入力されたシリアルを確認してください。" error="「i-FILTER@Cloud」以外のシリアルが入力されています。先頭の4文字が_x000a_・390M_x000a_・390N_x000a_・390C_x000a_・390D_x000a_で始まるシリアルが入力可能です。" promptTitle="「i-FILTER@Cloud」のシリアルを入力してください。" prompt="ご利用中の「i-FILTER@Cloud」のシリアルを入力してください。_x000a_先頭の4文字が_x000a_・390M_x000a_・390N_x000a_・390C_x000a_・390D_x000a_で始まるシリアルが対象です。" sqref="BZ94:CX96" xr:uid="{C8631511-187F-45F5-A91A-C6EBFDE543DD}">
      <formula1>OR(LEFT(BZ94,4)="390M",LEFT(BZ94,4)="390N",LEFT(BZ94,4)="390C",LEFT(BZ94,4)="390D")</formula1>
    </dataValidation>
  </dataValidations>
  <hyperlinks>
    <hyperlink ref="AL85" r:id="rId1" xr:uid="{020DFC7A-D63C-406E-83F4-53FDD3CD012A}"/>
    <hyperlink ref="A132" r:id="rId2" xr:uid="{49974DC9-0BBC-42E8-B765-8EB6DE88894D}"/>
    <hyperlink ref="BX109" r:id="rId3" location="dacloud" xr:uid="{6158ACBD-1A0D-4457-89E5-2FE08099FFFD}"/>
    <hyperlink ref="G51" r:id="rId4" display="https://sec3.daj.co.jp/license/d-alert/" xr:uid="{0FA5ED5A-AEF4-4E13-83C2-745EB573A127}"/>
    <hyperlink ref="BC94" r:id="rId5" xr:uid="{E27C4C41-FF75-48FD-BEEA-BBFEAC52420F}"/>
  </hyperlinks>
  <printOptions horizontalCentered="1"/>
  <pageMargins left="0.11811023622047245" right="0.11811023622047245" top="0.39370078740157483" bottom="0.19685039370078741" header="0.11811023622047245" footer="0.11811023622047245"/>
  <pageSetup paperSize="9" scale="65" orientation="portrait" horizontalDpi="300" verticalDpi="300" r:id="rId6"/>
  <headerFooter>
    <oddFooter>&amp;LDigital Arts Inc.&amp;C&amp;P ページ&amp;R&amp;D</oddFooter>
  </headerFooter>
  <ignoredErrors>
    <ignoredError sqref="AP100:AS104" numberStoredAsText="1"/>
  </ignoredErrors>
  <drawing r:id="rId7"/>
  <extLst>
    <ext xmlns:x14="http://schemas.microsoft.com/office/spreadsheetml/2009/9/main" uri="{78C0D931-6437-407d-A8EE-F0AAD7539E65}">
      <x14:conditionalFormattings>
        <x14:conditionalFormatting xmlns:xm="http://schemas.microsoft.com/office/excel/2006/main">
          <x14:cfRule type="expression" priority="21064" id="{008034FA-91B7-4AB5-B26B-CB58F6CFE002}">
            <xm:f>AND($M$79="有",#REF!=中間データ共通・DACloud!$AB$7,#REF!="新規")</xm:f>
            <x14:dxf>
              <fill>
                <patternFill>
                  <bgColor rgb="FFFF0000"/>
                </patternFill>
              </fill>
            </x14:dxf>
          </x14:cfRule>
          <x14:cfRule type="expression" priority="21063" id="{439C4A9C-54CD-44BC-83BB-DE477B13655D}">
            <xm:f>AND($M$79="無",#REF!=中間データ共通・DACloud!$AB$4)</xm:f>
            <x14:dxf>
              <fill>
                <patternFill>
                  <bgColor rgb="FFFF0000"/>
                </patternFill>
              </fill>
            </x14:dxf>
          </x14:cfRule>
          <xm:sqref>M79</xm:sqref>
        </x14:conditionalFormatting>
      </x14:conditionalFormattings>
    </ext>
    <ext xmlns:x14="http://schemas.microsoft.com/office/spreadsheetml/2009/9/main" uri="{CCE6A557-97BC-4b89-ADB6-D9C93CAAB3DF}">
      <x14:dataValidations xmlns:xm="http://schemas.microsoft.com/office/excel/2006/main" xWindow="1025" yWindow="725" count="2">
        <x14:dataValidation type="list" allowBlank="1" showInputMessage="1" showErrorMessage="1" xr:uid="{CF893413-4E1F-4701-8B03-1CCDEBB57BB5}">
          <x14:formula1>
            <xm:f>中間データ共通・DACloud!$M$4:$M$8</xm:f>
          </x14:formula1>
          <xm:sqref>H114:H115</xm:sqref>
        </x14:dataValidation>
        <x14:dataValidation type="list" allowBlank="1" showInputMessage="1" showErrorMessage="1" xr:uid="{08E7EAC3-E0A6-4C93-BE78-84E029756926}">
          <x14:formula1>
            <xm:f>'中間データ共通・Desk・f-FILTER・Z-FILTER'!$V$4:$V$7</xm:f>
          </x14:formula1>
          <xm:sqref>AM114:AW116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GX169"/>
  <sheetViews>
    <sheetView zoomScaleNormal="100" workbookViewId="0">
      <selection activeCell="J20" sqref="J20:L21"/>
    </sheetView>
  </sheetViews>
  <sheetFormatPr defaultColWidth="1.26953125" defaultRowHeight="7.5" customHeight="1"/>
  <cols>
    <col min="1" max="1" width="2.6328125" style="198" customWidth="1"/>
    <col min="2" max="2" width="1.26953125" style="198" customWidth="1"/>
    <col min="3" max="83" width="1.26953125" style="198"/>
    <col min="84" max="84" width="1.36328125" style="198" customWidth="1"/>
    <col min="85" max="116" width="1.26953125" style="198"/>
    <col min="117" max="117" width="1.26953125" style="690" customWidth="1"/>
    <col min="118" max="118" width="8.08984375" style="45" bestFit="1" customWidth="1"/>
    <col min="119" max="122" width="1.26953125" style="45"/>
    <col min="123" max="123" width="1.26953125" style="45" customWidth="1"/>
    <col min="124" max="165" width="1.26953125" style="45"/>
    <col min="166" max="16384" width="1.26953125" style="198"/>
  </cols>
  <sheetData>
    <row r="1" spans="1:118" ht="7.5" customHeight="1">
      <c r="A1" s="879" t="s">
        <v>1521</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c r="BB1" s="879"/>
      <c r="BC1" s="879"/>
      <c r="BD1" s="879"/>
      <c r="BE1" s="879"/>
      <c r="BF1" s="879"/>
      <c r="BG1" s="879"/>
      <c r="BH1" s="879"/>
      <c r="BI1" s="879"/>
      <c r="BJ1" s="879"/>
      <c r="BK1" s="879"/>
      <c r="BL1" s="879"/>
      <c r="BM1" s="879"/>
      <c r="BN1" s="879"/>
      <c r="BO1" s="879"/>
      <c r="BP1" s="879"/>
      <c r="BQ1" s="879"/>
      <c r="BR1" s="879"/>
      <c r="BS1" s="879"/>
      <c r="BT1" s="879"/>
      <c r="BU1" s="879"/>
      <c r="BV1" s="879"/>
      <c r="BW1" s="879"/>
      <c r="BX1" s="879"/>
      <c r="BY1" s="879"/>
      <c r="BZ1" s="879"/>
      <c r="CA1" s="879"/>
      <c r="CB1" s="879"/>
      <c r="CC1" s="879"/>
      <c r="CD1" s="879"/>
      <c r="CE1" s="879"/>
      <c r="CF1" s="879"/>
      <c r="CG1" s="879"/>
      <c r="CH1" s="879"/>
      <c r="CI1" s="879"/>
      <c r="CJ1" s="879"/>
      <c r="CK1" s="879"/>
      <c r="CL1" s="879"/>
      <c r="CM1" s="879"/>
      <c r="CN1" s="879"/>
      <c r="CO1" s="879"/>
      <c r="CP1" s="879"/>
      <c r="CQ1" s="879"/>
      <c r="CR1" s="879"/>
      <c r="CS1" s="879"/>
      <c r="CT1" s="879"/>
      <c r="CU1" s="879"/>
      <c r="CV1" s="879"/>
      <c r="CW1" s="879"/>
      <c r="CX1" s="879"/>
      <c r="CY1" s="879"/>
      <c r="CZ1" s="879"/>
      <c r="DA1" s="879"/>
      <c r="DB1" s="879"/>
      <c r="DC1" s="879"/>
      <c r="DD1" s="879"/>
      <c r="DE1" s="879"/>
      <c r="DF1" s="879"/>
      <c r="DG1" s="879"/>
      <c r="DH1" s="879"/>
      <c r="DI1" s="879"/>
      <c r="DJ1" s="879"/>
      <c r="DK1" s="879"/>
      <c r="DL1" s="879"/>
      <c r="DM1" s="879"/>
      <c r="DN1" s="49"/>
    </row>
    <row r="2" spans="1:118" ht="7.5" customHeight="1">
      <c r="A2" s="879"/>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49"/>
    </row>
    <row r="3" spans="1:118" ht="7.5" customHeigh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49"/>
    </row>
    <row r="4" spans="1:118" ht="7.5" customHeight="1">
      <c r="A4" s="880" t="s">
        <v>825</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80"/>
      <c r="BC4" s="880"/>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313"/>
      <c r="CV4" s="313"/>
      <c r="CW4" s="313"/>
      <c r="CX4" s="313"/>
      <c r="CY4" s="313"/>
      <c r="CZ4" s="313"/>
      <c r="DA4" s="313"/>
      <c r="DB4" s="313"/>
      <c r="DC4" s="313"/>
      <c r="DD4" s="313"/>
      <c r="DE4" s="313"/>
      <c r="DF4" s="313"/>
      <c r="DG4" s="313"/>
      <c r="DH4" s="313"/>
      <c r="DI4" s="313"/>
      <c r="DJ4" s="313"/>
      <c r="DK4" s="313"/>
      <c r="DL4" s="313"/>
      <c r="DM4" s="313"/>
      <c r="DN4" s="313"/>
    </row>
    <row r="5" spans="1:118" ht="7.5" customHeight="1">
      <c r="A5" s="880"/>
      <c r="B5" s="880"/>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313"/>
      <c r="CV5" s="313"/>
      <c r="CW5" s="313"/>
      <c r="CX5" s="313"/>
      <c r="CY5" s="313"/>
      <c r="CZ5" s="313"/>
      <c r="DA5" s="313"/>
      <c r="DB5" s="313"/>
      <c r="DC5" s="313"/>
      <c r="DD5" s="313"/>
      <c r="DE5" s="313"/>
      <c r="DF5" s="313"/>
      <c r="DG5" s="313"/>
      <c r="DH5" s="313"/>
      <c r="DI5" s="313"/>
      <c r="DJ5" s="313"/>
      <c r="DK5" s="313"/>
      <c r="DL5" s="313"/>
      <c r="DM5" s="313"/>
      <c r="DN5" s="313"/>
    </row>
    <row r="6" spans="1:118" ht="7.5" customHeight="1">
      <c r="A6" s="880"/>
      <c r="B6" s="880"/>
      <c r="C6" s="880"/>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313"/>
      <c r="CV6" s="313"/>
      <c r="CW6" s="313"/>
      <c r="CX6" s="313"/>
      <c r="CY6" s="313"/>
      <c r="CZ6" s="313"/>
      <c r="DA6" s="313"/>
      <c r="DB6" s="313"/>
      <c r="DC6" s="313"/>
      <c r="DD6" s="313"/>
      <c r="DE6" s="313"/>
      <c r="DF6" s="313"/>
      <c r="DG6" s="313"/>
      <c r="DH6" s="313"/>
      <c r="DI6" s="313"/>
      <c r="DJ6" s="313"/>
      <c r="DK6" s="313"/>
      <c r="DL6" s="313"/>
      <c r="DM6" s="313"/>
      <c r="DN6" s="313"/>
    </row>
    <row r="7" spans="1:118" ht="7.5" customHeight="1">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row>
    <row r="8" spans="1:118" ht="7.5" customHeight="1">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row>
    <row r="9" spans="1:118" ht="7.5" customHeight="1">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row>
    <row r="10" spans="1:118" ht="7.5" customHeight="1">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row>
    <row r="11" spans="1:118" ht="7.5" customHeight="1">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row>
    <row r="12" spans="1:118" ht="7.5" customHeight="1">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row>
    <row r="13" spans="1:118" ht="7.5" customHeight="1">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row>
    <row r="14" spans="1:118" ht="7.5" customHeight="1">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row>
    <row r="15" spans="1:118" ht="7.5" customHeight="1">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row>
    <row r="16" spans="1:118" ht="7.5" customHeight="1">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row>
    <row r="17" spans="1:120" ht="7.5" customHeight="1">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row>
    <row r="18" spans="1:120" ht="7.5" customHeight="1">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row>
    <row r="19" spans="1:120" ht="7.5" customHeight="1" thickBot="1">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row>
    <row r="20" spans="1:120" s="45" customFormat="1"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511</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c r="DM20" s="44"/>
    </row>
    <row r="21" spans="1:120"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c r="DM21" s="44"/>
    </row>
    <row r="22" spans="1:120" s="45" customFormat="1"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5" t="s">
        <v>1260</v>
      </c>
      <c r="CW22" s="846"/>
      <c r="CX22" s="846"/>
      <c r="CY22" s="846"/>
      <c r="CZ22" s="846"/>
      <c r="DA22" s="846"/>
      <c r="DB22" s="846"/>
      <c r="DC22" s="846"/>
      <c r="DD22" s="846"/>
      <c r="DE22" s="846"/>
      <c r="DF22" s="849"/>
      <c r="DG22" s="850"/>
      <c r="DH22" s="850"/>
      <c r="DI22" s="850"/>
      <c r="DJ22" s="850"/>
      <c r="DK22" s="851"/>
      <c r="DL22" s="47"/>
      <c r="DM22" s="44"/>
    </row>
    <row r="23" spans="1:120"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7"/>
      <c r="CW23" s="848"/>
      <c r="CX23" s="848"/>
      <c r="CY23" s="848"/>
      <c r="CZ23" s="848"/>
      <c r="DA23" s="848"/>
      <c r="DB23" s="848"/>
      <c r="DC23" s="848"/>
      <c r="DD23" s="848"/>
      <c r="DE23" s="848"/>
      <c r="DF23" s="852"/>
      <c r="DG23" s="853"/>
      <c r="DH23" s="853"/>
      <c r="DI23" s="853"/>
      <c r="DJ23" s="853"/>
      <c r="DK23" s="854"/>
      <c r="DL23" s="47"/>
      <c r="DM23" s="44"/>
    </row>
    <row r="24" spans="1:120" s="45" customFormat="1"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855"/>
      <c r="BJ24" s="856"/>
      <c r="BK24" s="547"/>
      <c r="BL24" s="547"/>
      <c r="BM24" s="548"/>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c r="DM24" s="44"/>
    </row>
    <row r="25" spans="1:120" s="45" customFormat="1" ht="7.5" customHeight="1" thickTop="1">
      <c r="A25" s="48"/>
      <c r="B25" s="807" t="s">
        <v>1148</v>
      </c>
      <c r="C25" s="808"/>
      <c r="D25" s="808"/>
      <c r="E25" s="808"/>
      <c r="F25" s="809"/>
      <c r="G25" s="813"/>
      <c r="H25" s="814"/>
      <c r="I25" s="814"/>
      <c r="J25" s="814"/>
      <c r="K25" s="814"/>
      <c r="L25" s="814"/>
      <c r="M25" s="814"/>
      <c r="N25" s="814"/>
      <c r="O25" s="814"/>
      <c r="P25" s="814"/>
      <c r="Q25" s="814"/>
      <c r="R25" s="814"/>
      <c r="S25" s="814"/>
      <c r="T25" s="814"/>
      <c r="U25" s="814"/>
      <c r="V25" s="814"/>
      <c r="W25" s="814"/>
      <c r="X25" s="814"/>
      <c r="Y25" s="814"/>
      <c r="Z25" s="814"/>
      <c r="AA25" s="814"/>
      <c r="AB25" s="814"/>
      <c r="AC25" s="814"/>
      <c r="AD25" s="815"/>
      <c r="AE25" s="819" t="s">
        <v>170</v>
      </c>
      <c r="AF25" s="819"/>
      <c r="AG25" s="819"/>
      <c r="AH25" s="819"/>
      <c r="AI25" s="819"/>
      <c r="AJ25" s="821"/>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3"/>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c r="DM25" s="44"/>
    </row>
    <row r="26" spans="1:120" s="45" customFormat="1" ht="7.5" customHeight="1" thickBot="1">
      <c r="A26" s="48"/>
      <c r="B26" s="810"/>
      <c r="C26" s="811"/>
      <c r="D26" s="811"/>
      <c r="E26" s="811"/>
      <c r="F26" s="812"/>
      <c r="G26" s="816"/>
      <c r="H26" s="817"/>
      <c r="I26" s="817"/>
      <c r="J26" s="817"/>
      <c r="K26" s="817"/>
      <c r="L26" s="817"/>
      <c r="M26" s="817"/>
      <c r="N26" s="817"/>
      <c r="O26" s="817"/>
      <c r="P26" s="817"/>
      <c r="Q26" s="817"/>
      <c r="R26" s="817"/>
      <c r="S26" s="817"/>
      <c r="T26" s="817"/>
      <c r="U26" s="817"/>
      <c r="V26" s="817"/>
      <c r="W26" s="817"/>
      <c r="X26" s="817"/>
      <c r="Y26" s="817"/>
      <c r="Z26" s="817"/>
      <c r="AA26" s="817"/>
      <c r="AB26" s="817"/>
      <c r="AC26" s="817"/>
      <c r="AD26" s="818"/>
      <c r="AE26" s="820"/>
      <c r="AF26" s="820"/>
      <c r="AG26" s="820"/>
      <c r="AH26" s="820"/>
      <c r="AI26" s="820"/>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6"/>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8"/>
      <c r="DN26" s="49"/>
      <c r="DO26" s="49"/>
      <c r="DP26" s="49"/>
    </row>
    <row r="27" spans="1:120"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9"/>
      <c r="BJ27" s="550"/>
      <c r="BK27" s="550"/>
      <c r="BL27" s="550"/>
      <c r="BM27" s="551"/>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8"/>
      <c r="DN27" s="49"/>
      <c r="DO27" s="49"/>
      <c r="DP27" s="49"/>
    </row>
    <row r="28" spans="1:120" s="45" customFormat="1" ht="7.5" customHeight="1" thickTop="1">
      <c r="A28" s="48"/>
      <c r="B28" s="934" t="s">
        <v>792</v>
      </c>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6"/>
      <c r="AN28" s="940" t="s">
        <v>1149</v>
      </c>
      <c r="AO28" s="941"/>
      <c r="AP28" s="941"/>
      <c r="AQ28" s="942"/>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8"/>
      <c r="DN28" s="49"/>
      <c r="DO28" s="49"/>
      <c r="DP28" s="49"/>
    </row>
    <row r="29" spans="1:120" s="45" customFormat="1" ht="7.5" customHeight="1">
      <c r="A29" s="48"/>
      <c r="B29" s="937"/>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9"/>
      <c r="AN29" s="943"/>
      <c r="AO29" s="944"/>
      <c r="AP29" s="944"/>
      <c r="AQ29" s="945"/>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8"/>
      <c r="DN29" s="49"/>
      <c r="DO29" s="49"/>
      <c r="DP29" s="49"/>
    </row>
    <row r="30" spans="1:120" s="45" customFormat="1" ht="7.5" customHeight="1">
      <c r="A30" s="48"/>
      <c r="B30" s="866" t="s">
        <v>72</v>
      </c>
      <c r="C30" s="867"/>
      <c r="D30" s="867"/>
      <c r="E30" s="867"/>
      <c r="F30" s="868"/>
      <c r="G30" s="869"/>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1"/>
      <c r="BG30" s="48"/>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c r="DM30" s="44"/>
    </row>
    <row r="31" spans="1:120" s="45" customFormat="1" ht="7.5" customHeight="1" thickBot="1">
      <c r="A31" s="48"/>
      <c r="B31" s="910" t="s">
        <v>794</v>
      </c>
      <c r="C31" s="911"/>
      <c r="D31" s="911"/>
      <c r="E31" s="911"/>
      <c r="F31" s="912"/>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c r="DM31" s="44"/>
    </row>
    <row r="32" spans="1:120" s="45" customFormat="1" ht="7.5" customHeight="1" thickBot="1">
      <c r="A32" s="48"/>
      <c r="B32" s="913"/>
      <c r="C32" s="914"/>
      <c r="D32" s="914"/>
      <c r="E32" s="914"/>
      <c r="F32" s="915"/>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391"/>
      <c r="DK32" s="392"/>
      <c r="DL32" s="51"/>
      <c r="DM32" s="44"/>
    </row>
    <row r="33" spans="1:117" s="45" customFormat="1" ht="7.5" customHeight="1">
      <c r="A33" s="48"/>
      <c r="B33" s="857" t="s">
        <v>75</v>
      </c>
      <c r="C33" s="858"/>
      <c r="D33" s="858"/>
      <c r="E33" s="858"/>
      <c r="F33" s="859"/>
      <c r="G33" s="799" t="s">
        <v>73</v>
      </c>
      <c r="H33" s="800"/>
      <c r="I33" s="800"/>
      <c r="J33" s="800"/>
      <c r="K33" s="800"/>
      <c r="L33" s="801"/>
      <c r="M33" s="793"/>
      <c r="N33" s="794"/>
      <c r="O33" s="794"/>
      <c r="P33" s="794"/>
      <c r="Q33" s="794"/>
      <c r="R33" s="794"/>
      <c r="S33" s="794"/>
      <c r="T33" s="794"/>
      <c r="U33" s="794"/>
      <c r="V33" s="794"/>
      <c r="W33" s="795"/>
      <c r="X33" s="799" t="s">
        <v>11</v>
      </c>
      <c r="Y33" s="800"/>
      <c r="Z33" s="800"/>
      <c r="AA33" s="800"/>
      <c r="AB33" s="800"/>
      <c r="AC33" s="801"/>
      <c r="AD33" s="793"/>
      <c r="AE33" s="794"/>
      <c r="AF33" s="794"/>
      <c r="AG33" s="794"/>
      <c r="AH33" s="794"/>
      <c r="AI33" s="794"/>
      <c r="AJ33" s="794"/>
      <c r="AK33" s="794"/>
      <c r="AL33" s="794"/>
      <c r="AM33" s="794"/>
      <c r="AN33" s="795"/>
      <c r="AO33" s="799" t="s">
        <v>74</v>
      </c>
      <c r="AP33" s="800"/>
      <c r="AQ33" s="800"/>
      <c r="AR33" s="800"/>
      <c r="AS33" s="800"/>
      <c r="AT33" s="801"/>
      <c r="AU33" s="793"/>
      <c r="AV33" s="794"/>
      <c r="AW33" s="794"/>
      <c r="AX33" s="794"/>
      <c r="AY33" s="794"/>
      <c r="AZ33" s="794"/>
      <c r="BA33" s="794"/>
      <c r="BB33" s="794"/>
      <c r="BC33" s="794"/>
      <c r="BD33" s="794"/>
      <c r="BE33" s="794"/>
      <c r="BF33" s="805"/>
      <c r="BG33" s="48"/>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511</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c r="DM33" s="44"/>
    </row>
    <row r="34" spans="1:117" s="45" customFormat="1" ht="7.5" customHeight="1">
      <c r="A34" s="48"/>
      <c r="B34" s="860"/>
      <c r="C34" s="861"/>
      <c r="D34" s="861"/>
      <c r="E34" s="861"/>
      <c r="F34" s="862"/>
      <c r="G34" s="802"/>
      <c r="H34" s="803"/>
      <c r="I34" s="803"/>
      <c r="J34" s="803"/>
      <c r="K34" s="803"/>
      <c r="L34" s="804"/>
      <c r="M34" s="796"/>
      <c r="N34" s="797"/>
      <c r="O34" s="797"/>
      <c r="P34" s="797"/>
      <c r="Q34" s="797"/>
      <c r="R34" s="797"/>
      <c r="S34" s="797"/>
      <c r="T34" s="797"/>
      <c r="U34" s="797"/>
      <c r="V34" s="797"/>
      <c r="W34" s="798"/>
      <c r="X34" s="802"/>
      <c r="Y34" s="803"/>
      <c r="Z34" s="803"/>
      <c r="AA34" s="803"/>
      <c r="AB34" s="803"/>
      <c r="AC34" s="804"/>
      <c r="AD34" s="796"/>
      <c r="AE34" s="797"/>
      <c r="AF34" s="797"/>
      <c r="AG34" s="797"/>
      <c r="AH34" s="797"/>
      <c r="AI34" s="797"/>
      <c r="AJ34" s="797"/>
      <c r="AK34" s="797"/>
      <c r="AL34" s="797"/>
      <c r="AM34" s="797"/>
      <c r="AN34" s="798"/>
      <c r="AO34" s="802"/>
      <c r="AP34" s="803"/>
      <c r="AQ34" s="803"/>
      <c r="AR34" s="803"/>
      <c r="AS34" s="803"/>
      <c r="AT34" s="804"/>
      <c r="AU34" s="796"/>
      <c r="AV34" s="797"/>
      <c r="AW34" s="797"/>
      <c r="AX34" s="797"/>
      <c r="AY34" s="797"/>
      <c r="AZ34" s="797"/>
      <c r="BA34" s="797"/>
      <c r="BB34" s="797"/>
      <c r="BC34" s="797"/>
      <c r="BD34" s="797"/>
      <c r="BE34" s="797"/>
      <c r="BF34" s="806"/>
      <c r="BG34" s="48"/>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c r="DM34" s="44"/>
    </row>
    <row r="35" spans="1:117" s="45" customFormat="1" ht="7.5" customHeight="1">
      <c r="A35" s="48"/>
      <c r="B35" s="860"/>
      <c r="C35" s="861"/>
      <c r="D35" s="861"/>
      <c r="E35" s="861"/>
      <c r="F35" s="862"/>
      <c r="G35" s="799" t="s">
        <v>76</v>
      </c>
      <c r="H35" s="800"/>
      <c r="I35" s="800"/>
      <c r="J35" s="800"/>
      <c r="K35" s="800"/>
      <c r="L35" s="801"/>
      <c r="M35" s="793"/>
      <c r="N35" s="794"/>
      <c r="O35" s="794"/>
      <c r="P35" s="794"/>
      <c r="Q35" s="794"/>
      <c r="R35" s="794"/>
      <c r="S35" s="794"/>
      <c r="T35" s="794"/>
      <c r="U35" s="794"/>
      <c r="V35" s="794"/>
      <c r="W35" s="794"/>
      <c r="X35" s="794"/>
      <c r="Y35" s="794"/>
      <c r="Z35" s="794"/>
      <c r="AA35" s="794"/>
      <c r="AB35" s="794"/>
      <c r="AC35" s="794"/>
      <c r="AD35" s="794"/>
      <c r="AE35" s="794"/>
      <c r="AF35" s="795"/>
      <c r="AG35" s="799" t="s">
        <v>77</v>
      </c>
      <c r="AH35" s="800"/>
      <c r="AI35" s="800"/>
      <c r="AJ35" s="800"/>
      <c r="AK35" s="800"/>
      <c r="AL35" s="801"/>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c r="DM35" s="44"/>
    </row>
    <row r="36" spans="1:117" s="45" customFormat="1" ht="7.5" customHeight="1">
      <c r="A36" s="48"/>
      <c r="B36" s="863"/>
      <c r="C36" s="864"/>
      <c r="D36" s="864"/>
      <c r="E36" s="864"/>
      <c r="F36" s="865"/>
      <c r="G36" s="802"/>
      <c r="H36" s="803"/>
      <c r="I36" s="803"/>
      <c r="J36" s="803"/>
      <c r="K36" s="803"/>
      <c r="L36" s="804"/>
      <c r="M36" s="796"/>
      <c r="N36" s="797"/>
      <c r="O36" s="797"/>
      <c r="P36" s="797"/>
      <c r="Q36" s="797"/>
      <c r="R36" s="797"/>
      <c r="S36" s="797"/>
      <c r="T36" s="797"/>
      <c r="U36" s="797"/>
      <c r="V36" s="797"/>
      <c r="W36" s="797"/>
      <c r="X36" s="797"/>
      <c r="Y36" s="797"/>
      <c r="Z36" s="797"/>
      <c r="AA36" s="797"/>
      <c r="AB36" s="797"/>
      <c r="AC36" s="797"/>
      <c r="AD36" s="797"/>
      <c r="AE36" s="797"/>
      <c r="AF36" s="798"/>
      <c r="AG36" s="802"/>
      <c r="AH36" s="803"/>
      <c r="AI36" s="803"/>
      <c r="AJ36" s="803"/>
      <c r="AK36" s="803"/>
      <c r="AL36" s="804"/>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c r="DM36" s="44"/>
    </row>
    <row r="37" spans="1:117" s="45" customFormat="1" ht="7.5" customHeight="1">
      <c r="A37" s="48"/>
      <c r="B37" s="1012" t="s">
        <v>795</v>
      </c>
      <c r="C37" s="1013"/>
      <c r="D37" s="1013"/>
      <c r="E37" s="1013"/>
      <c r="F37" s="1014"/>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1030" t="s">
        <v>72</v>
      </c>
      <c r="AC37" s="1030"/>
      <c r="AD37" s="1030"/>
      <c r="AE37" s="1030"/>
      <c r="AF37" s="1031"/>
      <c r="AG37" s="1032"/>
      <c r="AH37" s="1033"/>
      <c r="AI37" s="1033"/>
      <c r="AJ37" s="1033"/>
      <c r="AK37" s="1033"/>
      <c r="AL37" s="1033"/>
      <c r="AM37" s="1033"/>
      <c r="AN37" s="1033"/>
      <c r="AO37" s="1033"/>
      <c r="AP37" s="1033"/>
      <c r="AQ37" s="1033"/>
      <c r="AR37" s="1033"/>
      <c r="AS37" s="1033"/>
      <c r="AT37" s="1050"/>
      <c r="AU37" s="1033"/>
      <c r="AV37" s="1033"/>
      <c r="AW37" s="1033"/>
      <c r="AX37" s="1033"/>
      <c r="AY37" s="1033"/>
      <c r="AZ37" s="1033"/>
      <c r="BA37" s="1033"/>
      <c r="BB37" s="1033"/>
      <c r="BC37" s="1033"/>
      <c r="BD37" s="1033"/>
      <c r="BE37" s="1033"/>
      <c r="BF37" s="1051"/>
      <c r="BG37" s="48"/>
      <c r="BH37" s="48"/>
      <c r="BI37" s="855"/>
      <c r="BJ37" s="856"/>
      <c r="BK37" s="547"/>
      <c r="BL37" s="547"/>
      <c r="BM37" s="548"/>
      <c r="BN37" s="969" t="s">
        <v>73</v>
      </c>
      <c r="BO37" s="970"/>
      <c r="BP37" s="970"/>
      <c r="BQ37" s="970"/>
      <c r="BR37" s="970"/>
      <c r="BS37" s="971"/>
      <c r="BT37" s="793"/>
      <c r="BU37" s="794"/>
      <c r="BV37" s="794"/>
      <c r="BW37" s="794"/>
      <c r="BX37" s="794"/>
      <c r="BY37" s="794"/>
      <c r="BZ37" s="794"/>
      <c r="CA37" s="794"/>
      <c r="CB37" s="794"/>
      <c r="CC37" s="794"/>
      <c r="CD37" s="795"/>
      <c r="CE37" s="969" t="s">
        <v>11</v>
      </c>
      <c r="CF37" s="970"/>
      <c r="CG37" s="970"/>
      <c r="CH37" s="970"/>
      <c r="CI37" s="970"/>
      <c r="CJ37" s="971"/>
      <c r="CK37" s="793"/>
      <c r="CL37" s="794"/>
      <c r="CM37" s="794"/>
      <c r="CN37" s="794"/>
      <c r="CO37" s="794"/>
      <c r="CP37" s="794"/>
      <c r="CQ37" s="794"/>
      <c r="CR37" s="794"/>
      <c r="CS37" s="794"/>
      <c r="CT37" s="794"/>
      <c r="CU37" s="795"/>
      <c r="CV37" s="969" t="s">
        <v>74</v>
      </c>
      <c r="CW37" s="970"/>
      <c r="CX37" s="970"/>
      <c r="CY37" s="970"/>
      <c r="CZ37" s="970"/>
      <c r="DA37" s="971"/>
      <c r="DB37" s="793"/>
      <c r="DC37" s="794"/>
      <c r="DD37" s="794"/>
      <c r="DE37" s="794"/>
      <c r="DF37" s="794"/>
      <c r="DG37" s="794"/>
      <c r="DH37" s="794"/>
      <c r="DI37" s="794"/>
      <c r="DJ37" s="794"/>
      <c r="DK37" s="805"/>
      <c r="DL37" s="44"/>
      <c r="DM37" s="44"/>
    </row>
    <row r="38" spans="1:117" s="45" customFormat="1" ht="7.5" customHeight="1">
      <c r="A38" s="48"/>
      <c r="B38" s="1015"/>
      <c r="C38" s="1016"/>
      <c r="D38" s="1016"/>
      <c r="E38" s="1016"/>
      <c r="F38" s="1017"/>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1052" t="s">
        <v>797</v>
      </c>
      <c r="AC38" s="1053"/>
      <c r="AD38" s="1053"/>
      <c r="AE38" s="1053"/>
      <c r="AF38" s="1054"/>
      <c r="AG38" s="1024"/>
      <c r="AH38" s="1025"/>
      <c r="AI38" s="1025"/>
      <c r="AJ38" s="1025"/>
      <c r="AK38" s="1025"/>
      <c r="AL38" s="1025"/>
      <c r="AM38" s="1025"/>
      <c r="AN38" s="1025"/>
      <c r="AO38" s="1025"/>
      <c r="AP38" s="1025"/>
      <c r="AQ38" s="1025"/>
      <c r="AR38" s="1025"/>
      <c r="AS38" s="1025"/>
      <c r="AT38" s="1056"/>
      <c r="AU38" s="1057"/>
      <c r="AV38" s="1057"/>
      <c r="AW38" s="1057"/>
      <c r="AX38" s="1057"/>
      <c r="AY38" s="1057"/>
      <c r="AZ38" s="1057"/>
      <c r="BA38" s="1057"/>
      <c r="BB38" s="1057"/>
      <c r="BC38" s="1057"/>
      <c r="BD38" s="1057"/>
      <c r="BE38" s="1057"/>
      <c r="BF38" s="1058"/>
      <c r="BG38" s="48"/>
      <c r="BH38" s="48"/>
      <c r="BI38" s="957" t="s">
        <v>75</v>
      </c>
      <c r="BJ38" s="958"/>
      <c r="BK38" s="958"/>
      <c r="BL38" s="958"/>
      <c r="BM38" s="959"/>
      <c r="BN38" s="972"/>
      <c r="BO38" s="973"/>
      <c r="BP38" s="973"/>
      <c r="BQ38" s="973"/>
      <c r="BR38" s="973"/>
      <c r="BS38" s="974"/>
      <c r="BT38" s="796"/>
      <c r="BU38" s="797"/>
      <c r="BV38" s="797"/>
      <c r="BW38" s="797"/>
      <c r="BX38" s="797"/>
      <c r="BY38" s="797"/>
      <c r="BZ38" s="797"/>
      <c r="CA38" s="797"/>
      <c r="CB38" s="797"/>
      <c r="CC38" s="797"/>
      <c r="CD38" s="798"/>
      <c r="CE38" s="972"/>
      <c r="CF38" s="973"/>
      <c r="CG38" s="973"/>
      <c r="CH38" s="973"/>
      <c r="CI38" s="973"/>
      <c r="CJ38" s="974"/>
      <c r="CK38" s="796"/>
      <c r="CL38" s="797"/>
      <c r="CM38" s="797"/>
      <c r="CN38" s="797"/>
      <c r="CO38" s="797"/>
      <c r="CP38" s="797"/>
      <c r="CQ38" s="797"/>
      <c r="CR38" s="797"/>
      <c r="CS38" s="797"/>
      <c r="CT38" s="797"/>
      <c r="CU38" s="798"/>
      <c r="CV38" s="972"/>
      <c r="CW38" s="973"/>
      <c r="CX38" s="973"/>
      <c r="CY38" s="973"/>
      <c r="CZ38" s="973"/>
      <c r="DA38" s="974"/>
      <c r="DB38" s="796"/>
      <c r="DC38" s="797"/>
      <c r="DD38" s="797"/>
      <c r="DE38" s="797"/>
      <c r="DF38" s="797"/>
      <c r="DG38" s="797"/>
      <c r="DH38" s="797"/>
      <c r="DI38" s="797"/>
      <c r="DJ38" s="797"/>
      <c r="DK38" s="806"/>
      <c r="DL38" s="44"/>
      <c r="DM38" s="44"/>
    </row>
    <row r="39" spans="1:117" s="45" customFormat="1" ht="7.5" customHeight="1">
      <c r="A39" s="48"/>
      <c r="B39" s="1018"/>
      <c r="C39" s="1019"/>
      <c r="D39" s="1019"/>
      <c r="E39" s="1019"/>
      <c r="F39" s="1020"/>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1055"/>
      <c r="AC39" s="1019"/>
      <c r="AD39" s="1019"/>
      <c r="AE39" s="1019"/>
      <c r="AF39" s="1020"/>
      <c r="AG39" s="1027"/>
      <c r="AH39" s="1028"/>
      <c r="AI39" s="1028"/>
      <c r="AJ39" s="1028"/>
      <c r="AK39" s="1028"/>
      <c r="AL39" s="1028"/>
      <c r="AM39" s="1028"/>
      <c r="AN39" s="1028"/>
      <c r="AO39" s="1028"/>
      <c r="AP39" s="1028"/>
      <c r="AQ39" s="1028"/>
      <c r="AR39" s="1028"/>
      <c r="AS39" s="1028"/>
      <c r="AT39" s="1059"/>
      <c r="AU39" s="1028"/>
      <c r="AV39" s="1028"/>
      <c r="AW39" s="1028"/>
      <c r="AX39" s="1028"/>
      <c r="AY39" s="1028"/>
      <c r="AZ39" s="1028"/>
      <c r="BA39" s="1028"/>
      <c r="BB39" s="1028"/>
      <c r="BC39" s="1028"/>
      <c r="BD39" s="1028"/>
      <c r="BE39" s="1028"/>
      <c r="BF39" s="1060"/>
      <c r="BG39" s="48"/>
      <c r="BH39" s="48"/>
      <c r="BI39" s="957"/>
      <c r="BJ39" s="958"/>
      <c r="BK39" s="958"/>
      <c r="BL39" s="958"/>
      <c r="BM39" s="959"/>
      <c r="BN39" s="969" t="s">
        <v>76</v>
      </c>
      <c r="BO39" s="970"/>
      <c r="BP39" s="970"/>
      <c r="BQ39" s="970"/>
      <c r="BR39" s="970"/>
      <c r="BS39" s="971"/>
      <c r="BT39" s="793"/>
      <c r="BU39" s="794"/>
      <c r="BV39" s="794"/>
      <c r="BW39" s="794"/>
      <c r="BX39" s="794"/>
      <c r="BY39" s="794"/>
      <c r="BZ39" s="794"/>
      <c r="CA39" s="794"/>
      <c r="CB39" s="794"/>
      <c r="CC39" s="794"/>
      <c r="CD39" s="794"/>
      <c r="CE39" s="794"/>
      <c r="CF39" s="794"/>
      <c r="CG39" s="794"/>
      <c r="CH39" s="794"/>
      <c r="CI39" s="794"/>
      <c r="CJ39" s="794"/>
      <c r="CK39" s="794"/>
      <c r="CL39" s="794"/>
      <c r="CM39" s="795"/>
      <c r="CN39" s="969" t="s">
        <v>77</v>
      </c>
      <c r="CO39" s="970"/>
      <c r="CP39" s="970"/>
      <c r="CQ39" s="970"/>
      <c r="CR39" s="970"/>
      <c r="CS39" s="971"/>
      <c r="CT39" s="928"/>
      <c r="CU39" s="929"/>
      <c r="CV39" s="929"/>
      <c r="CW39" s="929"/>
      <c r="CX39" s="929"/>
      <c r="CY39" s="929"/>
      <c r="CZ39" s="929"/>
      <c r="DA39" s="929"/>
      <c r="DB39" s="929"/>
      <c r="DC39" s="929"/>
      <c r="DD39" s="929"/>
      <c r="DE39" s="929"/>
      <c r="DF39" s="929"/>
      <c r="DG39" s="929"/>
      <c r="DH39" s="929"/>
      <c r="DI39" s="929"/>
      <c r="DJ39" s="929"/>
      <c r="DK39" s="930"/>
      <c r="DL39" s="44"/>
      <c r="DM39" s="44"/>
    </row>
    <row r="40" spans="1:117" s="45" customFormat="1" ht="7.5" customHeight="1">
      <c r="A40" s="48"/>
      <c r="B40" s="1012" t="s">
        <v>570</v>
      </c>
      <c r="C40" s="1013"/>
      <c r="D40" s="1013"/>
      <c r="E40" s="1013"/>
      <c r="F40" s="1014"/>
      <c r="G40" s="1037"/>
      <c r="H40" s="1038"/>
      <c r="I40" s="1038"/>
      <c r="J40" s="1038"/>
      <c r="K40" s="1038"/>
      <c r="L40" s="1038"/>
      <c r="M40" s="1038"/>
      <c r="N40" s="1038"/>
      <c r="O40" s="1038"/>
      <c r="P40" s="1038"/>
      <c r="Q40" s="1038"/>
      <c r="R40" s="1038"/>
      <c r="S40" s="1038"/>
      <c r="T40" s="1038"/>
      <c r="U40" s="1038"/>
      <c r="V40" s="1038"/>
      <c r="W40" s="1038"/>
      <c r="X40" s="1038"/>
      <c r="Y40" s="1038"/>
      <c r="Z40" s="1038"/>
      <c r="AA40" s="1039"/>
      <c r="AB40" s="799" t="s">
        <v>569</v>
      </c>
      <c r="AC40" s="1013"/>
      <c r="AD40" s="1013"/>
      <c r="AE40" s="1013"/>
      <c r="AF40" s="1014"/>
      <c r="AG40" s="1044"/>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5"/>
      <c r="BC40" s="1045"/>
      <c r="BD40" s="1045"/>
      <c r="BE40" s="1045"/>
      <c r="BF40" s="1046"/>
      <c r="BG40" s="48"/>
      <c r="BH40" s="48"/>
      <c r="BI40" s="549"/>
      <c r="BJ40" s="550"/>
      <c r="BK40" s="550"/>
      <c r="BL40" s="550"/>
      <c r="BM40" s="551"/>
      <c r="BN40" s="972"/>
      <c r="BO40" s="973"/>
      <c r="BP40" s="973"/>
      <c r="BQ40" s="973"/>
      <c r="BR40" s="973"/>
      <c r="BS40" s="974"/>
      <c r="BT40" s="796"/>
      <c r="BU40" s="797"/>
      <c r="BV40" s="797"/>
      <c r="BW40" s="797"/>
      <c r="BX40" s="797"/>
      <c r="BY40" s="797"/>
      <c r="BZ40" s="797"/>
      <c r="CA40" s="797"/>
      <c r="CB40" s="797"/>
      <c r="CC40" s="797"/>
      <c r="CD40" s="797"/>
      <c r="CE40" s="797"/>
      <c r="CF40" s="797"/>
      <c r="CG40" s="797"/>
      <c r="CH40" s="797"/>
      <c r="CI40" s="797"/>
      <c r="CJ40" s="797"/>
      <c r="CK40" s="797"/>
      <c r="CL40" s="797"/>
      <c r="CM40" s="798"/>
      <c r="CN40" s="972"/>
      <c r="CO40" s="973"/>
      <c r="CP40" s="973"/>
      <c r="CQ40" s="973"/>
      <c r="CR40" s="973"/>
      <c r="CS40" s="974"/>
      <c r="CT40" s="931"/>
      <c r="CU40" s="932"/>
      <c r="CV40" s="932"/>
      <c r="CW40" s="932"/>
      <c r="CX40" s="932"/>
      <c r="CY40" s="932"/>
      <c r="CZ40" s="932"/>
      <c r="DA40" s="932"/>
      <c r="DB40" s="932"/>
      <c r="DC40" s="932"/>
      <c r="DD40" s="932"/>
      <c r="DE40" s="932"/>
      <c r="DF40" s="932"/>
      <c r="DG40" s="932"/>
      <c r="DH40" s="932"/>
      <c r="DI40" s="932"/>
      <c r="DJ40" s="932"/>
      <c r="DK40" s="933"/>
      <c r="DL40" s="44"/>
      <c r="DM40" s="44"/>
    </row>
    <row r="41" spans="1:117" s="45" customFormat="1" ht="7.5" customHeight="1" thickBot="1">
      <c r="A41" s="48"/>
      <c r="B41" s="1034"/>
      <c r="C41" s="1035"/>
      <c r="D41" s="1035"/>
      <c r="E41" s="1035"/>
      <c r="F41" s="1036"/>
      <c r="G41" s="1040"/>
      <c r="H41" s="1041"/>
      <c r="I41" s="1041"/>
      <c r="J41" s="1041"/>
      <c r="K41" s="1041"/>
      <c r="L41" s="1041"/>
      <c r="M41" s="1041"/>
      <c r="N41" s="1041"/>
      <c r="O41" s="1041"/>
      <c r="P41" s="1041"/>
      <c r="Q41" s="1041"/>
      <c r="R41" s="1041"/>
      <c r="S41" s="1041"/>
      <c r="T41" s="1041"/>
      <c r="U41" s="1041"/>
      <c r="V41" s="1041"/>
      <c r="W41" s="1041"/>
      <c r="X41" s="1041"/>
      <c r="Y41" s="1041"/>
      <c r="Z41" s="1041"/>
      <c r="AA41" s="1042"/>
      <c r="AB41" s="1043"/>
      <c r="AC41" s="1035"/>
      <c r="AD41" s="1035"/>
      <c r="AE41" s="1035"/>
      <c r="AF41" s="1036"/>
      <c r="AG41" s="1047"/>
      <c r="AH41" s="1048"/>
      <c r="AI41" s="1048"/>
      <c r="AJ41" s="1048"/>
      <c r="AK41" s="1048"/>
      <c r="AL41" s="1048"/>
      <c r="AM41" s="1048"/>
      <c r="AN41" s="1048"/>
      <c r="AO41" s="1048"/>
      <c r="AP41" s="1048"/>
      <c r="AQ41" s="1048"/>
      <c r="AR41" s="1048"/>
      <c r="AS41" s="1048"/>
      <c r="AT41" s="1048"/>
      <c r="AU41" s="1048"/>
      <c r="AV41" s="1048"/>
      <c r="AW41" s="1048"/>
      <c r="AX41" s="1048"/>
      <c r="AY41" s="1048"/>
      <c r="AZ41" s="1048"/>
      <c r="BA41" s="1048"/>
      <c r="BB41" s="1048"/>
      <c r="BC41" s="1048"/>
      <c r="BD41" s="1048"/>
      <c r="BE41" s="1048"/>
      <c r="BF41" s="1049"/>
      <c r="BG41" s="48"/>
      <c r="BH41" s="48"/>
      <c r="BI41" s="960" t="s">
        <v>567</v>
      </c>
      <c r="BJ41" s="961"/>
      <c r="BK41" s="961"/>
      <c r="BL41" s="961"/>
      <c r="BM41" s="962"/>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1002" t="s">
        <v>266</v>
      </c>
      <c r="CL41" s="961"/>
      <c r="CM41" s="961"/>
      <c r="CN41" s="961"/>
      <c r="CO41" s="962"/>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c r="DM41" s="44"/>
    </row>
    <row r="42" spans="1:117" s="45" customFormat="1"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48"/>
      <c r="BH42" s="48"/>
      <c r="BI42" s="960"/>
      <c r="BJ42" s="961"/>
      <c r="BK42" s="961"/>
      <c r="BL42" s="961"/>
      <c r="BM42" s="962"/>
      <c r="BN42" s="950"/>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1002"/>
      <c r="CL42" s="961"/>
      <c r="CM42" s="961"/>
      <c r="CN42" s="961"/>
      <c r="CO42" s="962"/>
      <c r="CP42" s="954"/>
      <c r="CQ42" s="955"/>
      <c r="CR42" s="955"/>
      <c r="CS42" s="955"/>
      <c r="CT42" s="955"/>
      <c r="CU42" s="955"/>
      <c r="CV42" s="955"/>
      <c r="CW42" s="955"/>
      <c r="CX42" s="955"/>
      <c r="CY42" s="955"/>
      <c r="CZ42" s="955"/>
      <c r="DA42" s="955"/>
      <c r="DB42" s="955"/>
      <c r="DC42" s="955"/>
      <c r="DD42" s="955"/>
      <c r="DE42" s="955"/>
      <c r="DF42" s="955"/>
      <c r="DG42" s="955"/>
      <c r="DH42" s="955"/>
      <c r="DI42" s="955"/>
      <c r="DJ42" s="955"/>
      <c r="DK42" s="956"/>
      <c r="DL42" s="50"/>
      <c r="DM42" s="44"/>
    </row>
    <row r="43" spans="1:117" s="45" customFormat="1" ht="7.5" customHeigh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48"/>
      <c r="BH43" s="48"/>
      <c r="BI43" s="835" t="s">
        <v>570</v>
      </c>
      <c r="BJ43" s="836"/>
      <c r="BK43" s="836"/>
      <c r="BL43" s="836"/>
      <c r="BM43" s="837"/>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902" t="s">
        <v>569</v>
      </c>
      <c r="CL43" s="836"/>
      <c r="CM43" s="836"/>
      <c r="CN43" s="836"/>
      <c r="CO43" s="837"/>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c r="DM43" s="44"/>
    </row>
    <row r="44" spans="1:117" s="45" customFormat="1"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I44" s="986"/>
      <c r="BJ44" s="987"/>
      <c r="BK44" s="987"/>
      <c r="BL44" s="987"/>
      <c r="BM44" s="9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995"/>
      <c r="CL44" s="987"/>
      <c r="CM44" s="987"/>
      <c r="CN44" s="987"/>
      <c r="CO44" s="9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c r="DM44" s="44"/>
    </row>
    <row r="45" spans="1:117" s="45" customFormat="1" ht="7.5" customHeight="1" thickTop="1">
      <c r="A45" s="48"/>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c r="AS45" s="2298"/>
      <c r="AT45" s="2298"/>
      <c r="AU45" s="2298"/>
      <c r="AV45" s="2298"/>
      <c r="AW45" s="2298"/>
      <c r="AX45" s="2298"/>
      <c r="AY45" s="2298"/>
      <c r="AZ45" s="2298"/>
      <c r="BA45" s="2298"/>
      <c r="BB45" s="2298"/>
      <c r="BC45" s="2298"/>
      <c r="BD45" s="2298"/>
      <c r="BG45" s="48"/>
      <c r="BH45" s="48"/>
      <c r="DC45" s="334"/>
      <c r="DD45" s="334"/>
      <c r="DE45" s="334"/>
      <c r="DF45" s="334"/>
      <c r="DG45" s="334"/>
      <c r="DH45" s="334"/>
      <c r="DI45" s="334"/>
      <c r="DJ45" s="334"/>
      <c r="DK45" s="334"/>
      <c r="DL45" s="52"/>
      <c r="DM45" s="44"/>
    </row>
    <row r="46" spans="1:117" s="45" customFormat="1" ht="7.5" customHeight="1" thickBot="1">
      <c r="A46" s="48"/>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c r="AS46" s="2298"/>
      <c r="AT46" s="2298"/>
      <c r="AU46" s="2298"/>
      <c r="AV46" s="2298"/>
      <c r="AW46" s="2298"/>
      <c r="AX46" s="2298"/>
      <c r="AY46" s="2298"/>
      <c r="AZ46" s="2298"/>
      <c r="BA46" s="2298"/>
      <c r="BB46" s="2298"/>
      <c r="BC46" s="2298"/>
      <c r="BD46" s="2298"/>
      <c r="BG46" s="48"/>
      <c r="BH46" s="48"/>
      <c r="DC46" s="334"/>
      <c r="DD46" s="334"/>
      <c r="DE46" s="334"/>
      <c r="DF46" s="334"/>
      <c r="DG46" s="334"/>
      <c r="DH46" s="334"/>
      <c r="DI46" s="334"/>
      <c r="DJ46" s="334"/>
      <c r="DK46" s="334"/>
      <c r="DL46" s="52"/>
      <c r="DM46" s="44"/>
    </row>
    <row r="47" spans="1:117" s="45" customFormat="1" ht="7.5" customHeight="1" thickTop="1" thickBot="1">
      <c r="A47" s="48"/>
      <c r="B47" s="934" t="s">
        <v>793</v>
      </c>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1069"/>
      <c r="AM47" s="1070"/>
      <c r="AN47" s="1070"/>
      <c r="AO47" s="1070"/>
      <c r="AP47" s="1070"/>
      <c r="AQ47" s="1070"/>
      <c r="AR47" s="1070"/>
      <c r="AS47" s="1070"/>
      <c r="AT47" s="1070"/>
      <c r="AU47" s="1070"/>
      <c r="AV47" s="1070"/>
      <c r="AW47" s="1070"/>
      <c r="AX47" s="1070"/>
      <c r="AY47" s="1070"/>
      <c r="AZ47" s="1070"/>
      <c r="BA47" s="1070"/>
      <c r="BB47" s="1070"/>
      <c r="BC47" s="1070"/>
      <c r="BD47" s="1070"/>
      <c r="BE47" s="1070"/>
      <c r="BF47" s="1071"/>
      <c r="BG47" s="48"/>
      <c r="BH47" s="48"/>
      <c r="DC47" s="334"/>
      <c r="DD47" s="334"/>
      <c r="DE47" s="334"/>
      <c r="DF47" s="334"/>
      <c r="DG47" s="334"/>
      <c r="DH47" s="334"/>
      <c r="DI47" s="334"/>
      <c r="DJ47" s="334"/>
      <c r="DK47" s="334"/>
      <c r="DL47" s="44"/>
      <c r="DM47" s="44"/>
    </row>
    <row r="48" spans="1:117" s="45" customFormat="1" ht="7.5" customHeight="1" thickTop="1">
      <c r="A48" s="48"/>
      <c r="B48" s="937"/>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1072"/>
      <c r="AM48" s="1073"/>
      <c r="AN48" s="1073"/>
      <c r="AO48" s="1073"/>
      <c r="AP48" s="1073"/>
      <c r="AQ48" s="1073"/>
      <c r="AR48" s="1073"/>
      <c r="AS48" s="1073"/>
      <c r="AT48" s="1073"/>
      <c r="AU48" s="1073"/>
      <c r="AV48" s="1073"/>
      <c r="AW48" s="1073"/>
      <c r="AX48" s="1073"/>
      <c r="AY48" s="1073"/>
      <c r="AZ48" s="1073"/>
      <c r="BA48" s="1073"/>
      <c r="BB48" s="1073"/>
      <c r="BC48" s="1073"/>
      <c r="BD48" s="1073"/>
      <c r="BE48" s="1073"/>
      <c r="BF48" s="1074"/>
      <c r="BG48" s="48"/>
      <c r="BH48" s="48"/>
      <c r="BI48" s="1075" t="s">
        <v>572</v>
      </c>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7"/>
      <c r="DC48" s="1081" t="s">
        <v>263</v>
      </c>
      <c r="DD48" s="1082"/>
      <c r="DE48" s="1082"/>
      <c r="DF48" s="1082"/>
      <c r="DG48" s="1082"/>
      <c r="DH48" s="1082"/>
      <c r="DI48" s="1082"/>
      <c r="DJ48" s="1082"/>
      <c r="DK48" s="1083"/>
      <c r="DL48" s="44"/>
      <c r="DM48" s="44"/>
    </row>
    <row r="49" spans="1:157" s="45" customFormat="1" ht="7.5" customHeight="1">
      <c r="A49" s="48"/>
      <c r="B49" s="1090" t="s">
        <v>1150</v>
      </c>
      <c r="C49" s="1091"/>
      <c r="D49" s="1091"/>
      <c r="E49" s="1091"/>
      <c r="F49" s="1092"/>
      <c r="G49" s="869"/>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c r="BE49" s="870"/>
      <c r="BF49" s="871"/>
      <c r="BG49" s="48"/>
      <c r="BH49" s="48"/>
      <c r="BI49" s="1078"/>
      <c r="BJ49" s="1079"/>
      <c r="BK49" s="1079"/>
      <c r="BL49" s="1079"/>
      <c r="BM49" s="1079"/>
      <c r="BN49" s="1079"/>
      <c r="BO49" s="1079"/>
      <c r="BP49" s="1079"/>
      <c r="BQ49" s="1079"/>
      <c r="BR49" s="1079"/>
      <c r="BS49" s="1079"/>
      <c r="BT49" s="1079"/>
      <c r="BU49" s="1079"/>
      <c r="BV49" s="1079"/>
      <c r="BW49" s="1079"/>
      <c r="BX49" s="1079"/>
      <c r="BY49" s="1079"/>
      <c r="BZ49" s="1079"/>
      <c r="CA49" s="1079"/>
      <c r="CB49" s="1079"/>
      <c r="CC49" s="1079"/>
      <c r="CD49" s="1079"/>
      <c r="CE49" s="1079"/>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80"/>
      <c r="DC49" s="1084"/>
      <c r="DD49" s="1085"/>
      <c r="DE49" s="1085"/>
      <c r="DF49" s="1085"/>
      <c r="DG49" s="1085"/>
      <c r="DH49" s="1085"/>
      <c r="DI49" s="1085"/>
      <c r="DJ49" s="1085"/>
      <c r="DK49" s="1086"/>
      <c r="DL49" s="44"/>
      <c r="DM49" s="44"/>
    </row>
    <row r="50" spans="1:157" s="45" customFormat="1" ht="7.5" customHeight="1">
      <c r="A50" s="48"/>
      <c r="B50" s="1093" t="s">
        <v>794</v>
      </c>
      <c r="C50" s="1094"/>
      <c r="D50" s="1094"/>
      <c r="E50" s="1094"/>
      <c r="F50" s="1095"/>
      <c r="G50" s="1099" t="s">
        <v>1605</v>
      </c>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1100"/>
      <c r="AO50" s="1103" t="s">
        <v>1260</v>
      </c>
      <c r="AP50" s="1103"/>
      <c r="AQ50" s="1103"/>
      <c r="AR50" s="1103"/>
      <c r="AS50" s="1103"/>
      <c r="AT50" s="1103"/>
      <c r="AU50" s="1103"/>
      <c r="AV50" s="1103"/>
      <c r="AW50" s="1103"/>
      <c r="AX50" s="1103"/>
      <c r="AY50" s="1103"/>
      <c r="AZ50" s="1104"/>
      <c r="BA50" s="1107"/>
      <c r="BB50" s="1107"/>
      <c r="BC50" s="1107"/>
      <c r="BD50" s="1107"/>
      <c r="BE50" s="1107"/>
      <c r="BF50" s="1108"/>
      <c r="BG50" s="48"/>
      <c r="BH50" s="48"/>
      <c r="BI50" s="1111"/>
      <c r="BJ50" s="1112"/>
      <c r="BK50" s="1112"/>
      <c r="BL50" s="1112"/>
      <c r="BM50" s="1112"/>
      <c r="BN50" s="1112"/>
      <c r="BO50" s="1112"/>
      <c r="BP50" s="1112"/>
      <c r="BQ50" s="1112"/>
      <c r="BR50" s="1112"/>
      <c r="BS50" s="1112"/>
      <c r="BT50" s="1112"/>
      <c r="BU50" s="1112"/>
      <c r="BV50" s="1112"/>
      <c r="BW50" s="1112"/>
      <c r="BX50" s="1112"/>
      <c r="BY50" s="1112"/>
      <c r="BZ50" s="1112"/>
      <c r="CA50" s="1112"/>
      <c r="CB50" s="1112"/>
      <c r="CC50" s="1112"/>
      <c r="CD50" s="1112"/>
      <c r="CE50" s="1112"/>
      <c r="CF50" s="1112"/>
      <c r="CG50" s="1112"/>
      <c r="CH50" s="1112"/>
      <c r="CI50" s="1112"/>
      <c r="CJ50" s="1112"/>
      <c r="CK50" s="1112"/>
      <c r="CL50" s="1112"/>
      <c r="CM50" s="1112"/>
      <c r="CN50" s="1112"/>
      <c r="CO50" s="1112"/>
      <c r="CP50" s="1112"/>
      <c r="CQ50" s="1112"/>
      <c r="CR50" s="1112"/>
      <c r="CS50" s="1112"/>
      <c r="CT50" s="1112"/>
      <c r="CU50" s="1112"/>
      <c r="CV50" s="1112"/>
      <c r="CW50" s="1112"/>
      <c r="CX50" s="1112"/>
      <c r="CY50" s="1112"/>
      <c r="CZ50" s="1112"/>
      <c r="DA50" s="1112"/>
      <c r="DB50" s="1115"/>
      <c r="DC50" s="1084"/>
      <c r="DD50" s="1085"/>
      <c r="DE50" s="1085"/>
      <c r="DF50" s="1085"/>
      <c r="DG50" s="1085"/>
      <c r="DH50" s="1085"/>
      <c r="DI50" s="1085"/>
      <c r="DJ50" s="1085"/>
      <c r="DK50" s="1086"/>
      <c r="DL50" s="44"/>
      <c r="DM50" s="48"/>
      <c r="DN50" s="49"/>
      <c r="DO50" s="49"/>
      <c r="DP50" s="274"/>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row>
    <row r="51" spans="1:157" s="45" customFormat="1" ht="7.5" customHeight="1" thickBot="1">
      <c r="A51" s="48"/>
      <c r="B51" s="1096"/>
      <c r="C51" s="1097"/>
      <c r="D51" s="1097"/>
      <c r="E51" s="1097"/>
      <c r="F51" s="1098"/>
      <c r="G51" s="1101"/>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1102"/>
      <c r="AO51" s="1105"/>
      <c r="AP51" s="1105"/>
      <c r="AQ51" s="1105"/>
      <c r="AR51" s="1105"/>
      <c r="AS51" s="1105"/>
      <c r="AT51" s="1105"/>
      <c r="AU51" s="1105"/>
      <c r="AV51" s="1105"/>
      <c r="AW51" s="1105"/>
      <c r="AX51" s="1105"/>
      <c r="AY51" s="1105"/>
      <c r="AZ51" s="1106"/>
      <c r="BA51" s="1109"/>
      <c r="BB51" s="1109"/>
      <c r="BC51" s="1109"/>
      <c r="BD51" s="1109"/>
      <c r="BE51" s="1109"/>
      <c r="BF51" s="1110"/>
      <c r="BG51" s="48"/>
      <c r="BH51" s="48"/>
      <c r="BI51" s="1113"/>
      <c r="BJ51" s="1114"/>
      <c r="BK51" s="1114"/>
      <c r="BL51" s="1114"/>
      <c r="BM51" s="1114"/>
      <c r="BN51" s="1114"/>
      <c r="BO51" s="1114"/>
      <c r="BP51" s="1114"/>
      <c r="BQ51" s="1114"/>
      <c r="BR51" s="1114"/>
      <c r="BS51" s="1114"/>
      <c r="BT51" s="1114"/>
      <c r="BU51" s="1114"/>
      <c r="BV51" s="1114"/>
      <c r="BW51" s="1114"/>
      <c r="BX51" s="1114"/>
      <c r="BY51" s="1114"/>
      <c r="BZ51" s="1114"/>
      <c r="CA51" s="1114"/>
      <c r="CB51" s="1114"/>
      <c r="CC51" s="1114"/>
      <c r="CD51" s="1114"/>
      <c r="CE51" s="1114"/>
      <c r="CF51" s="1114"/>
      <c r="CG51" s="1114"/>
      <c r="CH51" s="1114"/>
      <c r="CI51" s="1114"/>
      <c r="CJ51" s="1114"/>
      <c r="CK51" s="1114"/>
      <c r="CL51" s="1114"/>
      <c r="CM51" s="1114"/>
      <c r="CN51" s="1114"/>
      <c r="CO51" s="1114"/>
      <c r="CP51" s="1114"/>
      <c r="CQ51" s="1114"/>
      <c r="CR51" s="1114"/>
      <c r="CS51" s="1114"/>
      <c r="CT51" s="1114"/>
      <c r="CU51" s="1114"/>
      <c r="CV51" s="1114"/>
      <c r="CW51" s="1114"/>
      <c r="CX51" s="1114"/>
      <c r="CY51" s="1114"/>
      <c r="CZ51" s="1114"/>
      <c r="DA51" s="1114"/>
      <c r="DB51" s="1116"/>
      <c r="DC51" s="1087"/>
      <c r="DD51" s="1088"/>
      <c r="DE51" s="1088"/>
      <c r="DF51" s="1088"/>
      <c r="DG51" s="1088"/>
      <c r="DH51" s="1088"/>
      <c r="DI51" s="1088"/>
      <c r="DJ51" s="1088"/>
      <c r="DK51" s="1089"/>
      <c r="DL51" s="44"/>
      <c r="DM51" s="48"/>
      <c r="DN51" s="49"/>
      <c r="DO51" s="49"/>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row>
    <row r="52" spans="1:157" s="45" customFormat="1" ht="7.5" customHeight="1">
      <c r="A52" s="48"/>
      <c r="B52" s="1117" t="s">
        <v>75</v>
      </c>
      <c r="C52" s="1118"/>
      <c r="D52" s="1118"/>
      <c r="E52" s="1118"/>
      <c r="F52" s="1119"/>
      <c r="G52" s="799" t="s">
        <v>73</v>
      </c>
      <c r="H52" s="800"/>
      <c r="I52" s="800"/>
      <c r="J52" s="800"/>
      <c r="K52" s="800"/>
      <c r="L52" s="801"/>
      <c r="M52" s="793" t="s">
        <v>1607</v>
      </c>
      <c r="N52" s="794"/>
      <c r="O52" s="794"/>
      <c r="P52" s="794"/>
      <c r="Q52" s="794"/>
      <c r="R52" s="794"/>
      <c r="S52" s="794"/>
      <c r="T52" s="794"/>
      <c r="U52" s="794"/>
      <c r="V52" s="794"/>
      <c r="W52" s="795"/>
      <c r="X52" s="799" t="s">
        <v>11</v>
      </c>
      <c r="Y52" s="800"/>
      <c r="Z52" s="800"/>
      <c r="AA52" s="800"/>
      <c r="AB52" s="800"/>
      <c r="AC52" s="801"/>
      <c r="AD52" s="793" t="s">
        <v>313</v>
      </c>
      <c r="AE52" s="794"/>
      <c r="AF52" s="794"/>
      <c r="AG52" s="794"/>
      <c r="AH52" s="794"/>
      <c r="AI52" s="794"/>
      <c r="AJ52" s="794"/>
      <c r="AK52" s="794"/>
      <c r="AL52" s="794"/>
      <c r="AM52" s="794"/>
      <c r="AN52" s="795"/>
      <c r="AO52" s="799" t="s">
        <v>74</v>
      </c>
      <c r="AP52" s="800"/>
      <c r="AQ52" s="800"/>
      <c r="AR52" s="800"/>
      <c r="AS52" s="800"/>
      <c r="AT52" s="801"/>
      <c r="AU52" s="793" t="s">
        <v>1609</v>
      </c>
      <c r="AV52" s="794"/>
      <c r="AW52" s="794"/>
      <c r="AX52" s="794"/>
      <c r="AY52" s="794"/>
      <c r="AZ52" s="794"/>
      <c r="BA52" s="794"/>
      <c r="BB52" s="794"/>
      <c r="BC52" s="794"/>
      <c r="BD52" s="794"/>
      <c r="BE52" s="794"/>
      <c r="BF52" s="805"/>
      <c r="BG52" s="48"/>
      <c r="BH52" s="48"/>
      <c r="BI52" s="1126" t="s">
        <v>664</v>
      </c>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c r="CK52" s="1127"/>
      <c r="CL52" s="1127"/>
      <c r="CM52" s="1127"/>
      <c r="CN52" s="1127"/>
      <c r="CO52" s="1127"/>
      <c r="CP52" s="1127"/>
      <c r="CQ52" s="1127"/>
      <c r="CR52" s="1127"/>
      <c r="CS52" s="1127"/>
      <c r="CT52" s="1127"/>
      <c r="CU52" s="1127"/>
      <c r="CV52" s="1127"/>
      <c r="CW52" s="1127"/>
      <c r="CX52" s="1127"/>
      <c r="CY52" s="1127"/>
      <c r="CZ52" s="1127"/>
      <c r="DA52" s="1127"/>
      <c r="DB52" s="1128"/>
      <c r="DC52" s="1132"/>
      <c r="DD52" s="1133"/>
      <c r="DE52" s="1133"/>
      <c r="DF52" s="1133"/>
      <c r="DG52" s="1133"/>
      <c r="DH52" s="1133"/>
      <c r="DI52" s="1133"/>
      <c r="DJ52" s="1133"/>
      <c r="DK52" s="1134"/>
      <c r="DL52" s="50"/>
      <c r="DM52" s="48"/>
      <c r="DN52" s="49"/>
      <c r="DO52" s="49"/>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row>
    <row r="53" spans="1:157" s="45" customFormat="1" ht="7.5" customHeight="1">
      <c r="A53" s="48"/>
      <c r="B53" s="1120"/>
      <c r="C53" s="1121"/>
      <c r="D53" s="1121"/>
      <c r="E53" s="1121"/>
      <c r="F53" s="1122"/>
      <c r="G53" s="802"/>
      <c r="H53" s="803"/>
      <c r="I53" s="803"/>
      <c r="J53" s="803"/>
      <c r="K53" s="803"/>
      <c r="L53" s="804"/>
      <c r="M53" s="796"/>
      <c r="N53" s="797"/>
      <c r="O53" s="797"/>
      <c r="P53" s="797"/>
      <c r="Q53" s="797"/>
      <c r="R53" s="797"/>
      <c r="S53" s="797"/>
      <c r="T53" s="797"/>
      <c r="U53" s="797"/>
      <c r="V53" s="797"/>
      <c r="W53" s="798"/>
      <c r="X53" s="802"/>
      <c r="Y53" s="803"/>
      <c r="Z53" s="803"/>
      <c r="AA53" s="803"/>
      <c r="AB53" s="803"/>
      <c r="AC53" s="804"/>
      <c r="AD53" s="796"/>
      <c r="AE53" s="797"/>
      <c r="AF53" s="797"/>
      <c r="AG53" s="797"/>
      <c r="AH53" s="797"/>
      <c r="AI53" s="797"/>
      <c r="AJ53" s="797"/>
      <c r="AK53" s="797"/>
      <c r="AL53" s="797"/>
      <c r="AM53" s="797"/>
      <c r="AN53" s="798"/>
      <c r="AO53" s="802"/>
      <c r="AP53" s="803"/>
      <c r="AQ53" s="803"/>
      <c r="AR53" s="803"/>
      <c r="AS53" s="803"/>
      <c r="AT53" s="804"/>
      <c r="AU53" s="796"/>
      <c r="AV53" s="797"/>
      <c r="AW53" s="797"/>
      <c r="AX53" s="797"/>
      <c r="AY53" s="797"/>
      <c r="AZ53" s="797"/>
      <c r="BA53" s="797"/>
      <c r="BB53" s="797"/>
      <c r="BC53" s="797"/>
      <c r="BD53" s="797"/>
      <c r="BE53" s="797"/>
      <c r="BF53" s="806"/>
      <c r="BG53" s="48"/>
      <c r="BH53" s="48"/>
      <c r="BI53" s="1129"/>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1"/>
      <c r="DC53" s="1132"/>
      <c r="DD53" s="1133"/>
      <c r="DE53" s="1133"/>
      <c r="DF53" s="1133"/>
      <c r="DG53" s="1133"/>
      <c r="DH53" s="1133"/>
      <c r="DI53" s="1133"/>
      <c r="DJ53" s="1133"/>
      <c r="DK53" s="1134"/>
      <c r="DL53" s="50"/>
      <c r="DM53" s="44"/>
      <c r="DP53" s="273"/>
      <c r="DQ53" s="273"/>
      <c r="DR53" s="273"/>
      <c r="DS53" s="1183" t="s">
        <v>643</v>
      </c>
      <c r="DT53" s="1183"/>
      <c r="DU53" s="1183"/>
      <c r="DV53" s="1183"/>
      <c r="DW53" s="1183"/>
      <c r="DX53" s="1183"/>
      <c r="DY53" s="118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1183" t="s">
        <v>642</v>
      </c>
      <c r="EV53" s="1183"/>
      <c r="EW53" s="1183"/>
      <c r="EX53" s="1183"/>
      <c r="EY53" s="1183"/>
      <c r="EZ53" s="1183"/>
      <c r="FA53" s="1183"/>
    </row>
    <row r="54" spans="1:157" s="45" customFormat="1" ht="7.5" customHeight="1">
      <c r="A54" s="48"/>
      <c r="B54" s="1120"/>
      <c r="C54" s="1121"/>
      <c r="D54" s="1121"/>
      <c r="E54" s="1121"/>
      <c r="F54" s="1122"/>
      <c r="G54" s="799" t="s">
        <v>76</v>
      </c>
      <c r="H54" s="800"/>
      <c r="I54" s="800"/>
      <c r="J54" s="800"/>
      <c r="K54" s="800"/>
      <c r="L54" s="801"/>
      <c r="M54" s="793" t="s">
        <v>1611</v>
      </c>
      <c r="N54" s="794"/>
      <c r="O54" s="794"/>
      <c r="P54" s="794"/>
      <c r="Q54" s="794"/>
      <c r="R54" s="794"/>
      <c r="S54" s="794"/>
      <c r="T54" s="794"/>
      <c r="U54" s="794"/>
      <c r="V54" s="794"/>
      <c r="W54" s="794"/>
      <c r="X54" s="794"/>
      <c r="Y54" s="794"/>
      <c r="Z54" s="794"/>
      <c r="AA54" s="794"/>
      <c r="AB54" s="794"/>
      <c r="AC54" s="794"/>
      <c r="AD54" s="794"/>
      <c r="AE54" s="794"/>
      <c r="AF54" s="795"/>
      <c r="AG54" s="799" t="s">
        <v>77</v>
      </c>
      <c r="AH54" s="800"/>
      <c r="AI54" s="800"/>
      <c r="AJ54" s="800"/>
      <c r="AK54" s="800"/>
      <c r="AL54" s="801"/>
      <c r="AM54" s="928" t="s">
        <v>1613</v>
      </c>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1184"/>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1186"/>
      <c r="CG54" s="1187"/>
      <c r="CH54" s="1187"/>
      <c r="CI54" s="1187"/>
      <c r="CJ54" s="1187"/>
      <c r="CK54" s="1187"/>
      <c r="CL54" s="1187"/>
      <c r="CM54" s="1187"/>
      <c r="CN54" s="1187"/>
      <c r="CO54" s="1187"/>
      <c r="CP54" s="1187"/>
      <c r="CQ54" s="1187"/>
      <c r="CR54" s="1187"/>
      <c r="CS54" s="1187"/>
      <c r="CT54" s="1187"/>
      <c r="CU54" s="1187"/>
      <c r="CV54" s="1187"/>
      <c r="CW54" s="1187"/>
      <c r="CX54" s="1187"/>
      <c r="CY54" s="1187"/>
      <c r="CZ54" s="1187"/>
      <c r="DA54" s="1187"/>
      <c r="DB54" s="1188"/>
      <c r="DC54" s="1132"/>
      <c r="DD54" s="1133"/>
      <c r="DE54" s="1133"/>
      <c r="DF54" s="1133"/>
      <c r="DG54" s="1133"/>
      <c r="DH54" s="1133"/>
      <c r="DI54" s="1133"/>
      <c r="DJ54" s="1133"/>
      <c r="DK54" s="1134"/>
      <c r="DL54" s="52"/>
      <c r="DM54" s="44"/>
      <c r="DP54" s="273"/>
      <c r="DQ54" s="273"/>
      <c r="DR54" s="273"/>
      <c r="DS54" s="1183"/>
      <c r="DT54" s="1183"/>
      <c r="DU54" s="1183"/>
      <c r="DV54" s="1183"/>
      <c r="DW54" s="1183"/>
      <c r="DX54" s="1183"/>
      <c r="DY54" s="1183"/>
      <c r="DZ54" s="273"/>
      <c r="EA54" s="273"/>
      <c r="EB54" s="273"/>
      <c r="EC54" s="273"/>
      <c r="ED54" s="273"/>
      <c r="EE54" s="273"/>
      <c r="EF54" s="273"/>
      <c r="EG54" s="273"/>
      <c r="EH54" s="273"/>
      <c r="EI54" s="273"/>
      <c r="EJ54" s="273"/>
      <c r="EK54" s="273"/>
      <c r="EL54" s="273"/>
      <c r="EM54" s="273"/>
      <c r="EN54" s="273"/>
      <c r="EU54" s="1183"/>
      <c r="EV54" s="1183"/>
      <c r="EW54" s="1183"/>
      <c r="EX54" s="1183"/>
      <c r="EY54" s="1183"/>
      <c r="EZ54" s="1183"/>
      <c r="FA54" s="1183"/>
    </row>
    <row r="55" spans="1:157" s="45" customFormat="1" ht="7.5" customHeight="1">
      <c r="A55" s="48"/>
      <c r="B55" s="1123"/>
      <c r="C55" s="1124"/>
      <c r="D55" s="1124"/>
      <c r="E55" s="1124"/>
      <c r="F55" s="1125"/>
      <c r="G55" s="802"/>
      <c r="H55" s="803"/>
      <c r="I55" s="803"/>
      <c r="J55" s="803"/>
      <c r="K55" s="803"/>
      <c r="L55" s="804"/>
      <c r="M55" s="796"/>
      <c r="N55" s="797"/>
      <c r="O55" s="797"/>
      <c r="P55" s="797"/>
      <c r="Q55" s="797"/>
      <c r="R55" s="797"/>
      <c r="S55" s="797"/>
      <c r="T55" s="797"/>
      <c r="U55" s="797"/>
      <c r="V55" s="797"/>
      <c r="W55" s="797"/>
      <c r="X55" s="797"/>
      <c r="Y55" s="797"/>
      <c r="Z55" s="797"/>
      <c r="AA55" s="797"/>
      <c r="AB55" s="797"/>
      <c r="AC55" s="797"/>
      <c r="AD55" s="797"/>
      <c r="AE55" s="797"/>
      <c r="AF55" s="798"/>
      <c r="AG55" s="802"/>
      <c r="AH55" s="803"/>
      <c r="AI55" s="803"/>
      <c r="AJ55" s="803"/>
      <c r="AK55" s="803"/>
      <c r="AL55" s="804"/>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184"/>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1189"/>
      <c r="CG55" s="1190"/>
      <c r="CH55" s="1190"/>
      <c r="CI55" s="1190"/>
      <c r="CJ55" s="1190"/>
      <c r="CK55" s="1190"/>
      <c r="CL55" s="1190"/>
      <c r="CM55" s="1190"/>
      <c r="CN55" s="1190"/>
      <c r="CO55" s="1190"/>
      <c r="CP55" s="1190"/>
      <c r="CQ55" s="1190"/>
      <c r="CR55" s="1190"/>
      <c r="CS55" s="1190"/>
      <c r="CT55" s="1190"/>
      <c r="CU55" s="1190"/>
      <c r="CV55" s="1190"/>
      <c r="CW55" s="1190"/>
      <c r="CX55" s="1190"/>
      <c r="CY55" s="1190"/>
      <c r="CZ55" s="1190"/>
      <c r="DA55" s="1190"/>
      <c r="DB55" s="1191"/>
      <c r="DC55" s="1132"/>
      <c r="DD55" s="1133"/>
      <c r="DE55" s="1133"/>
      <c r="DF55" s="1133"/>
      <c r="DG55" s="1133"/>
      <c r="DH55" s="1133"/>
      <c r="DI55" s="1133"/>
      <c r="DJ55" s="1133"/>
      <c r="DK55" s="1134"/>
      <c r="DL55" s="52"/>
      <c r="DM55" s="44"/>
      <c r="DP55" s="273"/>
      <c r="DQ55" s="273"/>
      <c r="DR55" s="273"/>
      <c r="DZ55" s="273"/>
      <c r="EA55" s="273"/>
      <c r="EB55" s="273"/>
      <c r="EC55" s="273"/>
      <c r="ED55" s="273"/>
      <c r="EE55" s="273"/>
      <c r="EF55" s="273"/>
      <c r="EG55" s="273"/>
      <c r="EH55" s="273"/>
      <c r="EI55" s="273"/>
      <c r="EJ55" s="273"/>
      <c r="EK55" s="273"/>
      <c r="EL55" s="273"/>
      <c r="EM55" s="273"/>
      <c r="EN55" s="273"/>
    </row>
    <row r="56" spans="1:157" s="45" customFormat="1" ht="7.5" customHeight="1">
      <c r="A56" s="48"/>
      <c r="B56" s="1138" t="s">
        <v>795</v>
      </c>
      <c r="C56" s="1139"/>
      <c r="D56" s="1139"/>
      <c r="E56" s="1139"/>
      <c r="F56" s="1140"/>
      <c r="G56" s="1021" t="s">
        <v>1616</v>
      </c>
      <c r="H56" s="1022"/>
      <c r="I56" s="1022"/>
      <c r="J56" s="1022"/>
      <c r="K56" s="1022"/>
      <c r="L56" s="1022"/>
      <c r="M56" s="1022"/>
      <c r="N56" s="1022"/>
      <c r="O56" s="1022"/>
      <c r="P56" s="1022"/>
      <c r="Q56" s="1022"/>
      <c r="R56" s="1022"/>
      <c r="S56" s="1022"/>
      <c r="T56" s="1022"/>
      <c r="U56" s="1022"/>
      <c r="V56" s="1022"/>
      <c r="W56" s="1022"/>
      <c r="X56" s="1022"/>
      <c r="Y56" s="1022"/>
      <c r="Z56" s="1022"/>
      <c r="AA56" s="1023"/>
      <c r="AB56" s="1201" t="s">
        <v>72</v>
      </c>
      <c r="AC56" s="1030"/>
      <c r="AD56" s="1030"/>
      <c r="AE56" s="1030"/>
      <c r="AF56" s="1031"/>
      <c r="AG56" s="1032"/>
      <c r="AH56" s="1033"/>
      <c r="AI56" s="1033"/>
      <c r="AJ56" s="1033"/>
      <c r="AK56" s="1033"/>
      <c r="AL56" s="1033"/>
      <c r="AM56" s="1033"/>
      <c r="AN56" s="1033"/>
      <c r="AO56" s="1033"/>
      <c r="AP56" s="1033"/>
      <c r="AQ56" s="1033"/>
      <c r="AR56" s="1033"/>
      <c r="AS56" s="1202"/>
      <c r="AT56" s="1050"/>
      <c r="AU56" s="1033"/>
      <c r="AV56" s="1033"/>
      <c r="AW56" s="1033"/>
      <c r="AX56" s="1033"/>
      <c r="AY56" s="1033"/>
      <c r="AZ56" s="1033"/>
      <c r="BA56" s="1033"/>
      <c r="BB56" s="1033"/>
      <c r="BC56" s="1033"/>
      <c r="BD56" s="1033"/>
      <c r="BE56" s="1033"/>
      <c r="BF56" s="1051"/>
      <c r="BG56" s="48"/>
      <c r="BH56" s="48"/>
      <c r="BI56" s="2260"/>
      <c r="BJ56" s="2261"/>
      <c r="BK56" s="2261"/>
      <c r="BL56" s="2261"/>
      <c r="BM56" s="2261"/>
      <c r="BN56" s="2261"/>
      <c r="BO56" s="2261"/>
      <c r="BP56" s="2261"/>
      <c r="BQ56" s="2261"/>
      <c r="BR56" s="2261"/>
      <c r="BS56" s="2261"/>
      <c r="BT56" s="2261"/>
      <c r="BU56" s="2261"/>
      <c r="BV56" s="2261"/>
      <c r="BW56" s="2261"/>
      <c r="BX56" s="2261"/>
      <c r="BY56" s="2261"/>
      <c r="BZ56" s="2261"/>
      <c r="CA56" s="2261"/>
      <c r="CB56" s="2261"/>
      <c r="CC56" s="2261"/>
      <c r="CD56" s="2261"/>
      <c r="CE56" s="2261"/>
      <c r="CF56" s="1192"/>
      <c r="CG56" s="1192"/>
      <c r="CH56" s="1192"/>
      <c r="CI56" s="1192"/>
      <c r="CJ56" s="1192"/>
      <c r="CK56" s="1192"/>
      <c r="CL56" s="1192"/>
      <c r="CM56" s="1192"/>
      <c r="CN56" s="1192"/>
      <c r="CO56" s="1192"/>
      <c r="CP56" s="1192"/>
      <c r="CQ56" s="1192"/>
      <c r="CR56" s="1192"/>
      <c r="CS56" s="1192"/>
      <c r="CT56" s="1192"/>
      <c r="CU56" s="1192"/>
      <c r="CV56" s="1192"/>
      <c r="CW56" s="1192"/>
      <c r="CX56" s="1192"/>
      <c r="CY56" s="1192"/>
      <c r="CZ56" s="1192"/>
      <c r="DA56" s="1192"/>
      <c r="DB56" s="1193"/>
      <c r="DC56" s="1132"/>
      <c r="DD56" s="1133"/>
      <c r="DE56" s="1133"/>
      <c r="DF56" s="1133"/>
      <c r="DG56" s="1133"/>
      <c r="DH56" s="1133"/>
      <c r="DI56" s="1133"/>
      <c r="DJ56" s="1133"/>
      <c r="DK56" s="1134"/>
      <c r="DL56" s="52"/>
      <c r="DM56" s="44"/>
      <c r="DP56" s="273"/>
      <c r="DQ56" s="273"/>
      <c r="DR56" s="273"/>
      <c r="EB56" s="273"/>
      <c r="EC56" s="273"/>
      <c r="ED56" s="273"/>
      <c r="EE56" s="273"/>
      <c r="EF56" s="273"/>
      <c r="EG56" s="273"/>
      <c r="EH56" s="273"/>
      <c r="EI56" s="273"/>
      <c r="EJ56" s="273"/>
      <c r="EK56" s="273"/>
      <c r="EL56" s="273"/>
      <c r="EM56" s="273"/>
      <c r="EN56" s="273"/>
      <c r="EO56" s="273"/>
    </row>
    <row r="57" spans="1:157" s="45" customFormat="1" ht="7.5" customHeight="1">
      <c r="A57" s="48"/>
      <c r="B57" s="1141"/>
      <c r="C57" s="1142"/>
      <c r="D57" s="1142"/>
      <c r="E57" s="1142"/>
      <c r="F57" s="1143"/>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1052" t="s">
        <v>797</v>
      </c>
      <c r="AC57" s="1053"/>
      <c r="AD57" s="1053"/>
      <c r="AE57" s="1053"/>
      <c r="AF57" s="1054"/>
      <c r="AG57" s="1194" t="s">
        <v>1618</v>
      </c>
      <c r="AH57" s="1057"/>
      <c r="AI57" s="1057"/>
      <c r="AJ57" s="1057"/>
      <c r="AK57" s="1057"/>
      <c r="AL57" s="1057"/>
      <c r="AM57" s="1057"/>
      <c r="AN57" s="1057"/>
      <c r="AO57" s="1057"/>
      <c r="AP57" s="1057"/>
      <c r="AQ57" s="1057"/>
      <c r="AR57" s="1057"/>
      <c r="AS57" s="1195"/>
      <c r="AT57" s="1056"/>
      <c r="AU57" s="1057"/>
      <c r="AV57" s="1057"/>
      <c r="AW57" s="1057"/>
      <c r="AX57" s="1057"/>
      <c r="AY57" s="1057"/>
      <c r="AZ57" s="1057"/>
      <c r="BA57" s="1057"/>
      <c r="BB57" s="1057"/>
      <c r="BC57" s="1057"/>
      <c r="BD57" s="1057"/>
      <c r="BE57" s="1057"/>
      <c r="BF57" s="1058"/>
      <c r="BG57" s="48"/>
      <c r="BH57" s="48"/>
      <c r="BI57" s="2260"/>
      <c r="BJ57" s="2261"/>
      <c r="BK57" s="2261"/>
      <c r="BL57" s="2261"/>
      <c r="BM57" s="2261"/>
      <c r="BN57" s="2261"/>
      <c r="BO57" s="2261"/>
      <c r="BP57" s="2261"/>
      <c r="BQ57" s="2261"/>
      <c r="BR57" s="2261"/>
      <c r="BS57" s="2261"/>
      <c r="BT57" s="2261"/>
      <c r="BU57" s="2261"/>
      <c r="BV57" s="2261"/>
      <c r="BW57" s="2261"/>
      <c r="BX57" s="2261"/>
      <c r="BY57" s="2261"/>
      <c r="BZ57" s="2261"/>
      <c r="CA57" s="2261"/>
      <c r="CB57" s="2261"/>
      <c r="CC57" s="2261"/>
      <c r="CD57" s="2261"/>
      <c r="CE57" s="2261"/>
      <c r="CF57" s="1192"/>
      <c r="CG57" s="1192"/>
      <c r="CH57" s="1192"/>
      <c r="CI57" s="1192"/>
      <c r="CJ57" s="1192"/>
      <c r="CK57" s="1192"/>
      <c r="CL57" s="1192"/>
      <c r="CM57" s="1192"/>
      <c r="CN57" s="1192"/>
      <c r="CO57" s="1192"/>
      <c r="CP57" s="1192"/>
      <c r="CQ57" s="1192"/>
      <c r="CR57" s="1192"/>
      <c r="CS57" s="1192"/>
      <c r="CT57" s="1192"/>
      <c r="CU57" s="1192"/>
      <c r="CV57" s="1192"/>
      <c r="CW57" s="1192"/>
      <c r="CX57" s="1192"/>
      <c r="CY57" s="1192"/>
      <c r="CZ57" s="1192"/>
      <c r="DA57" s="1192"/>
      <c r="DB57" s="1193"/>
      <c r="DC57" s="1132"/>
      <c r="DD57" s="1133"/>
      <c r="DE57" s="1133"/>
      <c r="DF57" s="1133"/>
      <c r="DG57" s="1133"/>
      <c r="DH57" s="1133"/>
      <c r="DI57" s="1133"/>
      <c r="DJ57" s="1133"/>
      <c r="DK57" s="1134"/>
      <c r="DL57" s="48"/>
      <c r="DM57" s="44"/>
    </row>
    <row r="58" spans="1:157" s="45" customFormat="1" ht="7.5" customHeight="1">
      <c r="A58" s="48"/>
      <c r="B58" s="1144"/>
      <c r="C58" s="1145"/>
      <c r="D58" s="1145"/>
      <c r="E58" s="1145"/>
      <c r="F58" s="1146"/>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1055"/>
      <c r="AC58" s="1019"/>
      <c r="AD58" s="1019"/>
      <c r="AE58" s="1019"/>
      <c r="AF58" s="1020"/>
      <c r="AG58" s="1027"/>
      <c r="AH58" s="1028"/>
      <c r="AI58" s="1028"/>
      <c r="AJ58" s="1028"/>
      <c r="AK58" s="1028"/>
      <c r="AL58" s="1028"/>
      <c r="AM58" s="1028"/>
      <c r="AN58" s="1028"/>
      <c r="AO58" s="1028"/>
      <c r="AP58" s="1028"/>
      <c r="AQ58" s="1028"/>
      <c r="AR58" s="1028"/>
      <c r="AS58" s="1196"/>
      <c r="AT58" s="1059"/>
      <c r="AU58" s="1028"/>
      <c r="AV58" s="1028"/>
      <c r="AW58" s="1028"/>
      <c r="AX58" s="1028"/>
      <c r="AY58" s="1028"/>
      <c r="AZ58" s="1028"/>
      <c r="BA58" s="1028"/>
      <c r="BB58" s="1028"/>
      <c r="BC58" s="1028"/>
      <c r="BD58" s="1028"/>
      <c r="BE58" s="1028"/>
      <c r="BF58" s="1060"/>
      <c r="BG58" s="48"/>
      <c r="BH58" s="48"/>
      <c r="BI58" s="2260"/>
      <c r="BJ58" s="2261"/>
      <c r="BK58" s="2261"/>
      <c r="BL58" s="2261"/>
      <c r="BM58" s="2261"/>
      <c r="BN58" s="2261"/>
      <c r="BO58" s="2261"/>
      <c r="BP58" s="2261"/>
      <c r="BQ58" s="2261"/>
      <c r="BR58" s="2261"/>
      <c r="BS58" s="2261"/>
      <c r="BT58" s="2261"/>
      <c r="BU58" s="2261"/>
      <c r="BV58" s="2261"/>
      <c r="BW58" s="2261"/>
      <c r="BX58" s="2261"/>
      <c r="BY58" s="2261"/>
      <c r="BZ58" s="2261"/>
      <c r="CA58" s="2261"/>
      <c r="CB58" s="2261"/>
      <c r="CC58" s="2261"/>
      <c r="CD58" s="2261"/>
      <c r="CE58" s="2261"/>
      <c r="CF58" s="1200"/>
      <c r="CG58" s="1192"/>
      <c r="CH58" s="1192"/>
      <c r="CI58" s="1192"/>
      <c r="CJ58" s="1192"/>
      <c r="CK58" s="1192"/>
      <c r="CL58" s="1192"/>
      <c r="CM58" s="1192"/>
      <c r="CN58" s="1192"/>
      <c r="CO58" s="1192"/>
      <c r="CP58" s="1192"/>
      <c r="CQ58" s="1192"/>
      <c r="CR58" s="1192"/>
      <c r="CS58" s="1192"/>
      <c r="CT58" s="1192"/>
      <c r="CU58" s="1192"/>
      <c r="CV58" s="1192"/>
      <c r="CW58" s="1192"/>
      <c r="CX58" s="1192"/>
      <c r="CY58" s="1192"/>
      <c r="CZ58" s="1192"/>
      <c r="DA58" s="1192"/>
      <c r="DB58" s="1193"/>
      <c r="DC58" s="1132"/>
      <c r="DD58" s="1133"/>
      <c r="DE58" s="1133"/>
      <c r="DF58" s="1133"/>
      <c r="DG58" s="1133"/>
      <c r="DH58" s="1133"/>
      <c r="DI58" s="1133"/>
      <c r="DJ58" s="1133"/>
      <c r="DK58" s="1134"/>
      <c r="DL58" s="44"/>
      <c r="DM58" s="44"/>
    </row>
    <row r="59" spans="1:157" s="45" customFormat="1" ht="7.5" customHeight="1">
      <c r="A59" s="48"/>
      <c r="B59" s="1138" t="s">
        <v>1151</v>
      </c>
      <c r="C59" s="1139"/>
      <c r="D59" s="1139"/>
      <c r="E59" s="1139"/>
      <c r="F59" s="1140"/>
      <c r="G59" s="1037"/>
      <c r="H59" s="1038"/>
      <c r="I59" s="1038"/>
      <c r="J59" s="1038"/>
      <c r="K59" s="1038"/>
      <c r="L59" s="1038"/>
      <c r="M59" s="1038"/>
      <c r="N59" s="1038"/>
      <c r="O59" s="1038"/>
      <c r="P59" s="1038"/>
      <c r="Q59" s="1038"/>
      <c r="R59" s="1038"/>
      <c r="S59" s="1038"/>
      <c r="T59" s="1038"/>
      <c r="U59" s="1038"/>
      <c r="V59" s="1038"/>
      <c r="W59" s="1038"/>
      <c r="X59" s="1038"/>
      <c r="Y59" s="1038"/>
      <c r="Z59" s="1038"/>
      <c r="AA59" s="1039"/>
      <c r="AB59" s="799" t="s">
        <v>569</v>
      </c>
      <c r="AC59" s="1013"/>
      <c r="AD59" s="1013"/>
      <c r="AE59" s="1013"/>
      <c r="AF59" s="1014"/>
      <c r="AG59" s="1044" t="s">
        <v>1620</v>
      </c>
      <c r="AH59" s="1045"/>
      <c r="AI59" s="1045"/>
      <c r="AJ59" s="1045"/>
      <c r="AK59" s="1045"/>
      <c r="AL59" s="1045"/>
      <c r="AM59" s="1045"/>
      <c r="AN59" s="1045"/>
      <c r="AO59" s="1045"/>
      <c r="AP59" s="1045"/>
      <c r="AQ59" s="1045"/>
      <c r="AR59" s="1045"/>
      <c r="AS59" s="1045"/>
      <c r="AT59" s="1045"/>
      <c r="AU59" s="1045"/>
      <c r="AV59" s="1045"/>
      <c r="AW59" s="1045"/>
      <c r="AX59" s="1045"/>
      <c r="AY59" s="1045"/>
      <c r="AZ59" s="1045"/>
      <c r="BA59" s="1045"/>
      <c r="BB59" s="1045"/>
      <c r="BC59" s="1045"/>
      <c r="BD59" s="1045"/>
      <c r="BE59" s="1045"/>
      <c r="BF59" s="1046"/>
      <c r="BG59" s="48"/>
      <c r="BH59" s="48"/>
      <c r="BI59" s="2260"/>
      <c r="BJ59" s="2261"/>
      <c r="BK59" s="2261"/>
      <c r="BL59" s="2261"/>
      <c r="BM59" s="2261"/>
      <c r="BN59" s="2261"/>
      <c r="BO59" s="2261"/>
      <c r="BP59" s="2261"/>
      <c r="BQ59" s="2261"/>
      <c r="BR59" s="2261"/>
      <c r="BS59" s="2261"/>
      <c r="BT59" s="2261"/>
      <c r="BU59" s="2261"/>
      <c r="BV59" s="2261"/>
      <c r="BW59" s="2261"/>
      <c r="BX59" s="2261"/>
      <c r="BY59" s="2261"/>
      <c r="BZ59" s="2261"/>
      <c r="CA59" s="2261"/>
      <c r="CB59" s="2261"/>
      <c r="CC59" s="2261"/>
      <c r="CD59" s="2261"/>
      <c r="CE59" s="2261"/>
      <c r="CF59" s="1192"/>
      <c r="CG59" s="1192"/>
      <c r="CH59" s="1192"/>
      <c r="CI59" s="1192"/>
      <c r="CJ59" s="1192"/>
      <c r="CK59" s="1192"/>
      <c r="CL59" s="1192"/>
      <c r="CM59" s="1192"/>
      <c r="CN59" s="1192"/>
      <c r="CO59" s="1192"/>
      <c r="CP59" s="1192"/>
      <c r="CQ59" s="1192"/>
      <c r="CR59" s="1192"/>
      <c r="CS59" s="1192"/>
      <c r="CT59" s="1192"/>
      <c r="CU59" s="1192"/>
      <c r="CV59" s="1192"/>
      <c r="CW59" s="1192"/>
      <c r="CX59" s="1192"/>
      <c r="CY59" s="1192"/>
      <c r="CZ59" s="1192"/>
      <c r="DA59" s="1192"/>
      <c r="DB59" s="1193"/>
      <c r="DC59" s="1132"/>
      <c r="DD59" s="1133"/>
      <c r="DE59" s="1133"/>
      <c r="DF59" s="1133"/>
      <c r="DG59" s="1133"/>
      <c r="DH59" s="1133"/>
      <c r="DI59" s="1133"/>
      <c r="DJ59" s="1133"/>
      <c r="DK59" s="1134"/>
      <c r="DL59" s="44"/>
      <c r="DM59" s="44"/>
    </row>
    <row r="60" spans="1:157" s="45" customFormat="1" ht="7.5" customHeight="1" thickBot="1">
      <c r="A60" s="48"/>
      <c r="B60" s="1147"/>
      <c r="C60" s="1148"/>
      <c r="D60" s="1148"/>
      <c r="E60" s="1148"/>
      <c r="F60" s="1149"/>
      <c r="G60" s="1203"/>
      <c r="H60" s="1204"/>
      <c r="I60" s="1204"/>
      <c r="J60" s="1204"/>
      <c r="K60" s="1204"/>
      <c r="L60" s="1204"/>
      <c r="M60" s="1204"/>
      <c r="N60" s="1204"/>
      <c r="O60" s="1204"/>
      <c r="P60" s="1204"/>
      <c r="Q60" s="1204"/>
      <c r="R60" s="1204"/>
      <c r="S60" s="1204"/>
      <c r="T60" s="1204"/>
      <c r="U60" s="1204"/>
      <c r="V60" s="1204"/>
      <c r="W60" s="1204"/>
      <c r="X60" s="1204"/>
      <c r="Y60" s="1204"/>
      <c r="Z60" s="1204"/>
      <c r="AA60" s="1205"/>
      <c r="AB60" s="1206"/>
      <c r="AC60" s="1016"/>
      <c r="AD60" s="1016"/>
      <c r="AE60" s="1016"/>
      <c r="AF60" s="1017"/>
      <c r="AG60" s="1207"/>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D60" s="1208"/>
      <c r="BE60" s="1208"/>
      <c r="BF60" s="1209"/>
      <c r="BG60" s="48"/>
      <c r="BH60" s="48"/>
      <c r="BI60" s="2260"/>
      <c r="BJ60" s="2261"/>
      <c r="BK60" s="2261"/>
      <c r="BL60" s="2261"/>
      <c r="BM60" s="2261"/>
      <c r="BN60" s="2261"/>
      <c r="BO60" s="2261"/>
      <c r="BP60" s="2261"/>
      <c r="BQ60" s="2261"/>
      <c r="BR60" s="2261"/>
      <c r="BS60" s="2261"/>
      <c r="BT60" s="2261"/>
      <c r="BU60" s="2261"/>
      <c r="BV60" s="2261"/>
      <c r="BW60" s="2261"/>
      <c r="BX60" s="2261"/>
      <c r="BY60" s="2261"/>
      <c r="BZ60" s="2261"/>
      <c r="CA60" s="2261"/>
      <c r="CB60" s="2261"/>
      <c r="CC60" s="2261"/>
      <c r="CD60" s="2261"/>
      <c r="CE60" s="2261"/>
      <c r="CF60" s="1192"/>
      <c r="CG60" s="1192"/>
      <c r="CH60" s="1192"/>
      <c r="CI60" s="1192"/>
      <c r="CJ60" s="1192"/>
      <c r="CK60" s="1192"/>
      <c r="CL60" s="1192"/>
      <c r="CM60" s="1192"/>
      <c r="CN60" s="1192"/>
      <c r="CO60" s="1192"/>
      <c r="CP60" s="1192"/>
      <c r="CQ60" s="1192"/>
      <c r="CR60" s="1192"/>
      <c r="CS60" s="1192"/>
      <c r="CT60" s="1192"/>
      <c r="CU60" s="1192"/>
      <c r="CV60" s="1192"/>
      <c r="CW60" s="1192"/>
      <c r="CX60" s="1192"/>
      <c r="CY60" s="1192"/>
      <c r="CZ60" s="1192"/>
      <c r="DA60" s="1192"/>
      <c r="DB60" s="1193"/>
      <c r="DC60" s="1132"/>
      <c r="DD60" s="1133"/>
      <c r="DE60" s="1133"/>
      <c r="DF60" s="1133"/>
      <c r="DG60" s="1133"/>
      <c r="DH60" s="1133"/>
      <c r="DI60" s="1133"/>
      <c r="DJ60" s="1133"/>
      <c r="DK60" s="1134"/>
      <c r="DL60" s="44"/>
      <c r="DM60" s="44"/>
    </row>
    <row r="61" spans="1:157" s="45" customFormat="1" ht="7.5" customHeight="1" thickTop="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2260"/>
      <c r="BJ61" s="2261"/>
      <c r="BK61" s="2261"/>
      <c r="BL61" s="2261"/>
      <c r="BM61" s="2261"/>
      <c r="BN61" s="2261"/>
      <c r="BO61" s="2261"/>
      <c r="BP61" s="2261"/>
      <c r="BQ61" s="2261"/>
      <c r="BR61" s="2261"/>
      <c r="BS61" s="2261"/>
      <c r="BT61" s="2261"/>
      <c r="BU61" s="2261"/>
      <c r="BV61" s="2261"/>
      <c r="BW61" s="2261"/>
      <c r="BX61" s="2261"/>
      <c r="BY61" s="2261"/>
      <c r="BZ61" s="2261"/>
      <c r="CA61" s="2261"/>
      <c r="CB61" s="2261"/>
      <c r="CC61" s="2261"/>
      <c r="CD61" s="2261"/>
      <c r="CE61" s="2261"/>
      <c r="CF61" s="1192"/>
      <c r="CG61" s="1192"/>
      <c r="CH61" s="1192"/>
      <c r="CI61" s="1192"/>
      <c r="CJ61" s="1192"/>
      <c r="CK61" s="1192"/>
      <c r="CL61" s="1192"/>
      <c r="CM61" s="1192"/>
      <c r="CN61" s="1192"/>
      <c r="CO61" s="1192"/>
      <c r="CP61" s="1192"/>
      <c r="CQ61" s="1192"/>
      <c r="CR61" s="1192"/>
      <c r="CS61" s="1192"/>
      <c r="CT61" s="1192"/>
      <c r="CU61" s="1192"/>
      <c r="CV61" s="1192"/>
      <c r="CW61" s="1192"/>
      <c r="CX61" s="1192"/>
      <c r="CY61" s="1192"/>
      <c r="CZ61" s="1192"/>
      <c r="DA61" s="1192"/>
      <c r="DB61" s="1193"/>
      <c r="DC61" s="1132"/>
      <c r="DD61" s="1133"/>
      <c r="DE61" s="1133"/>
      <c r="DF61" s="1133"/>
      <c r="DG61" s="1133"/>
      <c r="DH61" s="1133"/>
      <c r="DI61" s="1133"/>
      <c r="DJ61" s="1133"/>
      <c r="DK61" s="1134"/>
      <c r="DL61" s="44"/>
      <c r="DM61" s="44"/>
    </row>
    <row r="62" spans="1:157" s="45" customFormat="1"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1177"/>
      <c r="BJ62" s="1178"/>
      <c r="BK62" s="1178"/>
      <c r="BL62" s="1178"/>
      <c r="BM62" s="1178"/>
      <c r="BN62" s="1178"/>
      <c r="BO62" s="1178"/>
      <c r="BP62" s="1178"/>
      <c r="BQ62" s="1178"/>
      <c r="BR62" s="1178"/>
      <c r="BS62" s="1178"/>
      <c r="BT62" s="1178"/>
      <c r="BU62" s="1178"/>
      <c r="BV62" s="1178"/>
      <c r="BW62" s="1178"/>
      <c r="BX62" s="1178"/>
      <c r="BY62" s="1178"/>
      <c r="BZ62" s="1178"/>
      <c r="CA62" s="1178"/>
      <c r="CB62" s="1178"/>
      <c r="CC62" s="1178"/>
      <c r="CD62" s="1178"/>
      <c r="CE62" s="1179"/>
      <c r="CF62" s="1192"/>
      <c r="CG62" s="1192"/>
      <c r="CH62" s="1192"/>
      <c r="CI62" s="1192"/>
      <c r="CJ62" s="1192"/>
      <c r="CK62" s="1192"/>
      <c r="CL62" s="1192"/>
      <c r="CM62" s="1192"/>
      <c r="CN62" s="1192"/>
      <c r="CO62" s="1192"/>
      <c r="CP62" s="1192"/>
      <c r="CQ62" s="1192"/>
      <c r="CR62" s="1192"/>
      <c r="CS62" s="1192"/>
      <c r="CT62" s="1192"/>
      <c r="CU62" s="1192"/>
      <c r="CV62" s="1192"/>
      <c r="CW62" s="1192"/>
      <c r="CX62" s="1192"/>
      <c r="CY62" s="1192"/>
      <c r="CZ62" s="1192"/>
      <c r="DA62" s="1192"/>
      <c r="DB62" s="1193"/>
      <c r="DC62" s="1132"/>
      <c r="DD62" s="1133"/>
      <c r="DE62" s="1133"/>
      <c r="DF62" s="1133"/>
      <c r="DG62" s="1133"/>
      <c r="DH62" s="1133"/>
      <c r="DI62" s="1133"/>
      <c r="DJ62" s="1133"/>
      <c r="DK62" s="1134"/>
      <c r="DL62" s="53"/>
      <c r="DM62" s="44"/>
    </row>
    <row r="63" spans="1:157" s="45" customFormat="1"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1180"/>
      <c r="BJ63" s="1181"/>
      <c r="BK63" s="1181"/>
      <c r="BL63" s="1181"/>
      <c r="BM63" s="1181"/>
      <c r="BN63" s="1181"/>
      <c r="BO63" s="1181"/>
      <c r="BP63" s="1181"/>
      <c r="BQ63" s="1181"/>
      <c r="BR63" s="1181"/>
      <c r="BS63" s="1181"/>
      <c r="BT63" s="1181"/>
      <c r="BU63" s="1181"/>
      <c r="BV63" s="1181"/>
      <c r="BW63" s="1181"/>
      <c r="BX63" s="1181"/>
      <c r="BY63" s="1181"/>
      <c r="BZ63" s="1181"/>
      <c r="CA63" s="1181"/>
      <c r="CB63" s="1181"/>
      <c r="CC63" s="1181"/>
      <c r="CD63" s="1181"/>
      <c r="CE63" s="1182"/>
      <c r="CF63" s="1263"/>
      <c r="CG63" s="1263"/>
      <c r="CH63" s="1263"/>
      <c r="CI63" s="1263"/>
      <c r="CJ63" s="1263"/>
      <c r="CK63" s="1263"/>
      <c r="CL63" s="1263"/>
      <c r="CM63" s="1263"/>
      <c r="CN63" s="1263"/>
      <c r="CO63" s="1263"/>
      <c r="CP63" s="1263"/>
      <c r="CQ63" s="1263"/>
      <c r="CR63" s="1263"/>
      <c r="CS63" s="1263"/>
      <c r="CT63" s="1263"/>
      <c r="CU63" s="1263"/>
      <c r="CV63" s="1263"/>
      <c r="CW63" s="1263"/>
      <c r="CX63" s="1263"/>
      <c r="CY63" s="1263"/>
      <c r="CZ63" s="1263"/>
      <c r="DA63" s="1263"/>
      <c r="DB63" s="1264"/>
      <c r="DC63" s="1135"/>
      <c r="DD63" s="1136"/>
      <c r="DE63" s="1136"/>
      <c r="DF63" s="1136"/>
      <c r="DG63" s="1136"/>
      <c r="DH63" s="1136"/>
      <c r="DI63" s="1136"/>
      <c r="DJ63" s="1136"/>
      <c r="DK63" s="1137"/>
      <c r="DL63" s="44"/>
      <c r="DM63" s="44"/>
    </row>
    <row r="64" spans="1:157" ht="7.5" customHeight="1" thickTop="1"/>
    <row r="65" spans="1:165" s="200" customFormat="1" ht="9" customHeight="1">
      <c r="A65" s="1265" t="s">
        <v>385</v>
      </c>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c r="CB65" s="1266"/>
      <c r="CC65" s="1266"/>
      <c r="CD65" s="1266"/>
      <c r="CE65" s="1266"/>
      <c r="CF65" s="1266"/>
      <c r="CG65" s="1266"/>
      <c r="CH65" s="1266"/>
      <c r="CI65" s="1266"/>
      <c r="CJ65" s="1266"/>
      <c r="CK65" s="1266"/>
      <c r="CL65" s="1266"/>
      <c r="CM65" s="1266"/>
      <c r="CN65" s="1266"/>
      <c r="CO65" s="1266"/>
      <c r="CP65" s="1266"/>
      <c r="CQ65" s="1266"/>
      <c r="CR65" s="1266"/>
      <c r="CS65" s="1266"/>
      <c r="CT65" s="1266"/>
      <c r="CU65" s="205"/>
      <c r="CV65" s="205"/>
      <c r="CW65" s="205"/>
      <c r="CX65" s="205"/>
      <c r="CY65" s="205"/>
      <c r="CZ65" s="205"/>
      <c r="DA65" s="205"/>
      <c r="DB65" s="205"/>
      <c r="DC65" s="205"/>
      <c r="DD65" s="205"/>
      <c r="DE65" s="205"/>
      <c r="DF65" s="205"/>
      <c r="DG65" s="205"/>
      <c r="DH65" s="205"/>
      <c r="DI65" s="205"/>
      <c r="DJ65" s="205"/>
      <c r="DK65" s="205"/>
      <c r="DL65" s="204"/>
      <c r="DM65" s="202"/>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row>
    <row r="66" spans="1:165" s="200" customFormat="1" ht="9" customHeight="1">
      <c r="A66" s="1265"/>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c r="CB66" s="1266"/>
      <c r="CC66" s="1266"/>
      <c r="CD66" s="1266"/>
      <c r="CE66" s="1266"/>
      <c r="CF66" s="1266"/>
      <c r="CG66" s="1266"/>
      <c r="CH66" s="1266"/>
      <c r="CI66" s="1266"/>
      <c r="CJ66" s="1266"/>
      <c r="CK66" s="1266"/>
      <c r="CL66" s="1266"/>
      <c r="CM66" s="1266"/>
      <c r="CN66" s="1266"/>
      <c r="CO66" s="1266"/>
      <c r="CP66" s="1266"/>
      <c r="CQ66" s="1266"/>
      <c r="CR66" s="1266"/>
      <c r="CS66" s="1266"/>
      <c r="CT66" s="1266"/>
      <c r="CU66" s="206"/>
      <c r="CV66" s="206"/>
      <c r="CW66" s="206"/>
      <c r="CX66" s="206"/>
      <c r="CY66" s="206"/>
      <c r="CZ66" s="206"/>
      <c r="DA66" s="206"/>
      <c r="DB66" s="206"/>
      <c r="DC66" s="206"/>
      <c r="DD66" s="206"/>
      <c r="DE66" s="206"/>
      <c r="DF66" s="206"/>
      <c r="DG66" s="206"/>
      <c r="DH66" s="206"/>
      <c r="DI66" s="206"/>
      <c r="DJ66" s="206"/>
      <c r="DK66" s="205"/>
      <c r="DL66" s="204"/>
      <c r="DM66" s="202"/>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row>
    <row r="67" spans="1:165" s="200" customFormat="1" ht="11.25" customHeight="1">
      <c r="A67" s="207"/>
      <c r="B67" s="208" t="str">
        <f>"まずはじめに、「"&amp;B71&amp;"」欄をご選択の上、セルが赤く表示された「管理者E-mail」または「保有シリアル」をご入力ください。その後、お手続きを希望される製品欄の「製品区分」をご選択ください。"</f>
        <v>まずはじめに、「DigitalArts@Cloud既存のご契約」欄をご選択の上、セルが赤く表示された「管理者E-mail」または「保有シリアル」をご入力ください。その後、お手続きを希望される製品欄の「製品区分」をご選択ください。</v>
      </c>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6"/>
      <c r="CV67" s="206"/>
      <c r="CW67" s="206"/>
      <c r="CX67" s="206"/>
      <c r="CY67" s="206"/>
      <c r="CZ67" s="206"/>
      <c r="DA67" s="206"/>
      <c r="DB67" s="206"/>
      <c r="DC67" s="206"/>
      <c r="DD67" s="206"/>
      <c r="DE67" s="206"/>
      <c r="DF67" s="206"/>
      <c r="DG67" s="206"/>
      <c r="DH67" s="206"/>
      <c r="DI67" s="206"/>
      <c r="DJ67" s="206"/>
      <c r="DK67" s="205"/>
      <c r="DL67" s="204"/>
      <c r="DM67" s="202"/>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row>
    <row r="68" spans="1:165" s="200" customFormat="1" ht="11.25" customHeight="1" thickBot="1">
      <c r="A68" s="202"/>
      <c r="B68" s="208" t="s">
        <v>561</v>
      </c>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3"/>
      <c r="BJ68" s="203"/>
      <c r="BK68" s="203"/>
      <c r="BL68" s="203"/>
      <c r="BM68" s="203"/>
      <c r="BN68" s="203"/>
      <c r="BO68" s="203"/>
      <c r="BP68" s="203"/>
      <c r="BQ68" s="203"/>
      <c r="BR68" s="203"/>
      <c r="BS68" s="203"/>
      <c r="BT68" s="203"/>
      <c r="BU68" s="203"/>
      <c r="BV68" s="203"/>
      <c r="BW68" s="203"/>
      <c r="BX68" s="203"/>
      <c r="BY68" s="203"/>
      <c r="BZ68" s="203"/>
      <c r="CA68" s="203"/>
      <c r="CB68" s="203"/>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204"/>
      <c r="DM68" s="202"/>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row>
    <row r="69" spans="1:165" s="200" customFormat="1" ht="7.5" customHeight="1">
      <c r="A69" s="199"/>
      <c r="B69" s="1267" t="s">
        <v>386</v>
      </c>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c r="CB69" s="1268"/>
      <c r="CC69" s="1268"/>
      <c r="CD69" s="1268"/>
      <c r="CE69" s="1268"/>
      <c r="CF69" s="1268"/>
      <c r="CG69" s="1268"/>
      <c r="CH69" s="1268"/>
      <c r="CI69" s="1268"/>
      <c r="CJ69" s="1268"/>
      <c r="CK69" s="1268"/>
      <c r="CL69" s="1268"/>
      <c r="CM69" s="1268"/>
      <c r="CN69" s="1268"/>
      <c r="CO69" s="1268"/>
      <c r="CP69" s="1268"/>
      <c r="CQ69" s="1268"/>
      <c r="CR69" s="1268"/>
      <c r="CS69" s="1268"/>
      <c r="CT69" s="1268"/>
      <c r="CU69" s="1268"/>
      <c r="CV69" s="1268"/>
      <c r="CW69" s="1268"/>
      <c r="CX69" s="1268"/>
      <c r="CY69" s="1268"/>
      <c r="CZ69" s="1268"/>
      <c r="DA69" s="1268"/>
      <c r="DB69" s="1268"/>
      <c r="DC69" s="1268"/>
      <c r="DD69" s="1268"/>
      <c r="DE69" s="1268"/>
      <c r="DF69" s="1268"/>
      <c r="DG69" s="1268"/>
      <c r="DH69" s="1268"/>
      <c r="DI69" s="1268"/>
      <c r="DJ69" s="1268"/>
      <c r="DK69" s="1268"/>
      <c r="DL69" s="1269"/>
      <c r="DM69" s="202"/>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row>
    <row r="70" spans="1:165" s="200" customFormat="1" ht="7.5" customHeight="1" thickBot="1">
      <c r="A70" s="199"/>
      <c r="B70" s="1270"/>
      <c r="C70" s="1271"/>
      <c r="D70" s="1271"/>
      <c r="E70" s="1271"/>
      <c r="F70" s="1271"/>
      <c r="G70" s="1271"/>
      <c r="H70" s="1271"/>
      <c r="I70" s="1271"/>
      <c r="J70" s="1271"/>
      <c r="K70" s="1271"/>
      <c r="L70" s="1271"/>
      <c r="M70" s="1271"/>
      <c r="N70" s="1271"/>
      <c r="O70" s="1271"/>
      <c r="P70" s="1271"/>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3"/>
      <c r="DM70" s="202"/>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row>
    <row r="71" spans="1:165" ht="7.5" customHeight="1" thickTop="1">
      <c r="B71" s="1237" t="s">
        <v>558</v>
      </c>
      <c r="C71" s="1238"/>
      <c r="D71" s="1238"/>
      <c r="E71" s="1238"/>
      <c r="F71" s="1238"/>
      <c r="G71" s="1238"/>
      <c r="H71" s="1238"/>
      <c r="I71" s="1238"/>
      <c r="J71" s="1238"/>
      <c r="K71" s="1238"/>
      <c r="L71" s="1239"/>
      <c r="M71" s="1277"/>
      <c r="N71" s="1277"/>
      <c r="O71" s="1277"/>
      <c r="P71" s="1278"/>
      <c r="Q71" s="1283" t="s">
        <v>1104</v>
      </c>
      <c r="R71" s="1284"/>
      <c r="S71" s="1284"/>
      <c r="T71" s="1284"/>
      <c r="U71" s="1284"/>
      <c r="V71" s="1284"/>
      <c r="W71" s="1284"/>
      <c r="X71" s="1284"/>
      <c r="Y71" s="1284"/>
      <c r="Z71" s="1284"/>
      <c r="AA71" s="1284"/>
      <c r="AB71" s="1284"/>
      <c r="AC71" s="1284"/>
      <c r="AD71" s="1284"/>
      <c r="AE71" s="1284"/>
      <c r="AF71" s="1284"/>
      <c r="AG71" s="1284"/>
      <c r="AH71" s="1284"/>
      <c r="AI71" s="1284"/>
      <c r="AJ71" s="1284"/>
      <c r="AK71" s="1284"/>
      <c r="AL71" s="1284"/>
      <c r="AM71" s="1284"/>
      <c r="AN71" s="1284"/>
      <c r="AO71" s="1284"/>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c r="BM71" s="1284"/>
      <c r="BN71" s="1284"/>
      <c r="BO71" s="1284"/>
      <c r="BP71" s="1284"/>
      <c r="BQ71" s="1284"/>
      <c r="BR71" s="1284"/>
      <c r="BS71" s="1284"/>
      <c r="BT71" s="1284"/>
      <c r="BU71" s="1284"/>
      <c r="BV71" s="1284"/>
      <c r="BW71" s="1284"/>
      <c r="BX71" s="1284"/>
      <c r="BY71" s="1284"/>
      <c r="BZ71" s="1284"/>
      <c r="CA71" s="1284"/>
      <c r="CB71" s="1284"/>
      <c r="CC71" s="1284"/>
      <c r="CD71" s="1284"/>
      <c r="CE71" s="1284"/>
      <c r="CF71" s="1284"/>
      <c r="CG71" s="1284"/>
      <c r="CH71" s="1284"/>
      <c r="CI71" s="1284"/>
      <c r="CJ71" s="1284"/>
      <c r="CK71" s="1284"/>
      <c r="CL71" s="1284"/>
      <c r="CM71" s="1284"/>
      <c r="CN71" s="1284"/>
      <c r="CO71" s="1284"/>
      <c r="CP71" s="1284"/>
      <c r="CQ71" s="1284"/>
      <c r="CR71" s="1284"/>
      <c r="CS71" s="1284"/>
      <c r="CT71" s="1284"/>
      <c r="CU71" s="1284"/>
      <c r="CV71" s="1284"/>
      <c r="CW71" s="1284"/>
      <c r="CX71" s="1284"/>
      <c r="CY71" s="1284"/>
      <c r="CZ71" s="1284"/>
      <c r="DA71" s="1284"/>
      <c r="DB71" s="1284"/>
      <c r="DC71" s="1284"/>
      <c r="DD71" s="1284"/>
      <c r="DE71" s="1284"/>
      <c r="DF71" s="1284"/>
      <c r="DG71" s="1284"/>
      <c r="DH71" s="1284"/>
      <c r="DI71" s="1284"/>
      <c r="DJ71" s="1284"/>
      <c r="DK71" s="1284"/>
      <c r="DL71" s="1285"/>
    </row>
    <row r="72" spans="1:165" ht="7.5" customHeight="1">
      <c r="B72" s="1240"/>
      <c r="C72" s="1241"/>
      <c r="D72" s="1241"/>
      <c r="E72" s="1241"/>
      <c r="F72" s="1241"/>
      <c r="G72" s="1241"/>
      <c r="H72" s="1241"/>
      <c r="I72" s="1241"/>
      <c r="J72" s="1241"/>
      <c r="K72" s="1241"/>
      <c r="L72" s="1242"/>
      <c r="M72" s="1279"/>
      <c r="N72" s="1279"/>
      <c r="O72" s="1279"/>
      <c r="P72" s="1280"/>
      <c r="Q72" s="1286"/>
      <c r="R72" s="1287"/>
      <c r="S72" s="1287"/>
      <c r="T72" s="1287"/>
      <c r="U72" s="1287"/>
      <c r="V72" s="1287"/>
      <c r="W72" s="1287"/>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7"/>
      <c r="AZ72" s="1287"/>
      <c r="BA72" s="1287"/>
      <c r="BB72" s="1287"/>
      <c r="BC72" s="1287"/>
      <c r="BD72" s="1287"/>
      <c r="BE72" s="1287"/>
      <c r="BF72" s="1287"/>
      <c r="BG72" s="1287"/>
      <c r="BH72" s="1287"/>
      <c r="BI72" s="1287"/>
      <c r="BJ72" s="1287"/>
      <c r="BK72" s="1287"/>
      <c r="BL72" s="1287"/>
      <c r="BM72" s="1287"/>
      <c r="BN72" s="1287"/>
      <c r="BO72" s="1287"/>
      <c r="BP72" s="1287"/>
      <c r="BQ72" s="1287"/>
      <c r="BR72" s="1287"/>
      <c r="BS72" s="1287"/>
      <c r="BT72" s="1287"/>
      <c r="BU72" s="1287"/>
      <c r="BV72" s="1287"/>
      <c r="BW72" s="1287"/>
      <c r="BX72" s="1287"/>
      <c r="BY72" s="1287"/>
      <c r="BZ72" s="1287"/>
      <c r="CA72" s="1287"/>
      <c r="CB72" s="1287"/>
      <c r="CC72" s="1287"/>
      <c r="CD72" s="1287"/>
      <c r="CE72" s="1287"/>
      <c r="CF72" s="1287"/>
      <c r="CG72" s="1287"/>
      <c r="CH72" s="1287"/>
      <c r="CI72" s="1287"/>
      <c r="CJ72" s="1287"/>
      <c r="CK72" s="1287"/>
      <c r="CL72" s="1287"/>
      <c r="CM72" s="1287"/>
      <c r="CN72" s="1287"/>
      <c r="CO72" s="1287"/>
      <c r="CP72" s="1287"/>
      <c r="CQ72" s="1287"/>
      <c r="CR72" s="1287"/>
      <c r="CS72" s="1287"/>
      <c r="CT72" s="1287"/>
      <c r="CU72" s="1287"/>
      <c r="CV72" s="1287"/>
      <c r="CW72" s="1287"/>
      <c r="CX72" s="1287"/>
      <c r="CY72" s="1287"/>
      <c r="CZ72" s="1287"/>
      <c r="DA72" s="1287"/>
      <c r="DB72" s="1287"/>
      <c r="DC72" s="1287"/>
      <c r="DD72" s="1287"/>
      <c r="DE72" s="1287"/>
      <c r="DF72" s="1287"/>
      <c r="DG72" s="1287"/>
      <c r="DH72" s="1287"/>
      <c r="DI72" s="1287"/>
      <c r="DJ72" s="1287"/>
      <c r="DK72" s="1287"/>
      <c r="DL72" s="1288"/>
    </row>
    <row r="73" spans="1:165" ht="7.5" customHeight="1" thickBot="1">
      <c r="B73" s="1274"/>
      <c r="C73" s="1275"/>
      <c r="D73" s="1275"/>
      <c r="E73" s="1275"/>
      <c r="F73" s="1275"/>
      <c r="G73" s="1275"/>
      <c r="H73" s="1275"/>
      <c r="I73" s="1275"/>
      <c r="J73" s="1275"/>
      <c r="K73" s="1275"/>
      <c r="L73" s="1276"/>
      <c r="M73" s="1281"/>
      <c r="N73" s="1281"/>
      <c r="O73" s="1281"/>
      <c r="P73" s="1282"/>
      <c r="Q73" s="1286"/>
      <c r="R73" s="1287"/>
      <c r="S73" s="1287"/>
      <c r="T73" s="1287"/>
      <c r="U73" s="1287"/>
      <c r="V73" s="1287"/>
      <c r="W73" s="1287"/>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7"/>
      <c r="AZ73" s="1287"/>
      <c r="BA73" s="1287"/>
      <c r="BB73" s="1287"/>
      <c r="BC73" s="1287"/>
      <c r="BD73" s="1287"/>
      <c r="BE73" s="1287"/>
      <c r="BF73" s="1287"/>
      <c r="BG73" s="1287"/>
      <c r="BH73" s="1287"/>
      <c r="BI73" s="1287"/>
      <c r="BJ73" s="1287"/>
      <c r="BK73" s="1287"/>
      <c r="BL73" s="1287"/>
      <c r="BM73" s="1287"/>
      <c r="BN73" s="1287"/>
      <c r="BO73" s="1287"/>
      <c r="BP73" s="1287"/>
      <c r="BQ73" s="1287"/>
      <c r="BR73" s="1287"/>
      <c r="BS73" s="1287"/>
      <c r="BT73" s="1287"/>
      <c r="BU73" s="1287"/>
      <c r="BV73" s="1287"/>
      <c r="BW73" s="1287"/>
      <c r="BX73" s="1287"/>
      <c r="BY73" s="1287"/>
      <c r="BZ73" s="1287"/>
      <c r="CA73" s="1287"/>
      <c r="CB73" s="1287"/>
      <c r="CC73" s="1287"/>
      <c r="CD73" s="1287"/>
      <c r="CE73" s="1287"/>
      <c r="CF73" s="1287"/>
      <c r="CG73" s="1287"/>
      <c r="CH73" s="1287"/>
      <c r="CI73" s="1287"/>
      <c r="CJ73" s="1287"/>
      <c r="CK73" s="1287"/>
      <c r="CL73" s="1287"/>
      <c r="CM73" s="1287"/>
      <c r="CN73" s="1287"/>
      <c r="CO73" s="1287"/>
      <c r="CP73" s="1287"/>
      <c r="CQ73" s="1287"/>
      <c r="CR73" s="1287"/>
      <c r="CS73" s="1287"/>
      <c r="CT73" s="1287"/>
      <c r="CU73" s="1287"/>
      <c r="CV73" s="1287"/>
      <c r="CW73" s="1287"/>
      <c r="CX73" s="1287"/>
      <c r="CY73" s="1287"/>
      <c r="CZ73" s="1287"/>
      <c r="DA73" s="1287"/>
      <c r="DB73" s="1287"/>
      <c r="DC73" s="1287"/>
      <c r="DD73" s="1287"/>
      <c r="DE73" s="1287"/>
      <c r="DF73" s="1287"/>
      <c r="DG73" s="1287"/>
      <c r="DH73" s="1287"/>
      <c r="DI73" s="1287"/>
      <c r="DJ73" s="1287"/>
      <c r="DK73" s="1287"/>
      <c r="DL73" s="1288"/>
    </row>
    <row r="74" spans="1:165" ht="7.5" customHeight="1" thickTop="1">
      <c r="B74" s="1210" t="s">
        <v>387</v>
      </c>
      <c r="C74" s="1211"/>
      <c r="D74" s="1211"/>
      <c r="E74" s="1211"/>
      <c r="F74" s="1211"/>
      <c r="G74" s="1211"/>
      <c r="H74" s="1211"/>
      <c r="I74" s="1211"/>
      <c r="J74" s="1211"/>
      <c r="K74" s="1211"/>
      <c r="L74" s="1212"/>
      <c r="M74" s="1219"/>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c r="AL74" s="1220"/>
      <c r="AM74" s="1220"/>
      <c r="AN74" s="1220"/>
      <c r="AO74" s="1220"/>
      <c r="AP74" s="1220"/>
      <c r="AQ74" s="1220"/>
      <c r="AR74" s="1221"/>
      <c r="AS74" s="1228" t="s">
        <v>1318</v>
      </c>
      <c r="AT74" s="1229"/>
      <c r="AU74" s="1229"/>
      <c r="AV74" s="1229"/>
      <c r="AW74" s="1229"/>
      <c r="AX74" s="1229"/>
      <c r="AY74" s="1229"/>
      <c r="AZ74" s="1229"/>
      <c r="BA74" s="1229"/>
      <c r="BB74" s="1229"/>
      <c r="BC74" s="1229"/>
      <c r="BD74" s="1229"/>
      <c r="BE74" s="1229"/>
      <c r="BF74" s="1229"/>
      <c r="BG74" s="1229"/>
      <c r="BH74" s="1229"/>
      <c r="BI74" s="1229"/>
      <c r="BJ74" s="1229"/>
      <c r="BK74" s="1229"/>
      <c r="BL74" s="1229"/>
      <c r="BM74" s="1229"/>
      <c r="BN74" s="1229"/>
      <c r="BO74" s="1229"/>
      <c r="BP74" s="1229"/>
      <c r="BQ74" s="1229"/>
      <c r="BR74" s="1229"/>
      <c r="BS74" s="1229"/>
      <c r="BT74" s="1229"/>
      <c r="BU74" s="1229"/>
      <c r="BV74" s="1229"/>
      <c r="BW74" s="1229"/>
      <c r="BX74" s="1229"/>
      <c r="BY74" s="1229"/>
      <c r="BZ74" s="1229"/>
      <c r="CA74" s="1229"/>
      <c r="CB74" s="1229"/>
      <c r="CC74" s="1229"/>
      <c r="CD74" s="1229"/>
      <c r="CE74" s="1229"/>
      <c r="CF74" s="1229"/>
      <c r="CG74" s="1229"/>
      <c r="CH74" s="1229"/>
      <c r="CI74" s="1229"/>
      <c r="CJ74" s="1229"/>
      <c r="CK74" s="1229"/>
      <c r="CL74" s="1229"/>
      <c r="CM74" s="1229"/>
      <c r="CN74" s="1229"/>
      <c r="CO74" s="1229"/>
      <c r="CP74" s="1229"/>
      <c r="CQ74" s="1229"/>
      <c r="CR74" s="1229"/>
      <c r="CS74" s="1229"/>
      <c r="CT74" s="1229"/>
      <c r="CU74" s="1229"/>
      <c r="CV74" s="1229"/>
      <c r="CW74" s="1229"/>
      <c r="CX74" s="1229"/>
      <c r="CY74" s="1229"/>
      <c r="CZ74" s="1229"/>
      <c r="DA74" s="1229"/>
      <c r="DB74" s="1229"/>
      <c r="DC74" s="1229"/>
      <c r="DD74" s="1229"/>
      <c r="DE74" s="1229"/>
      <c r="DF74" s="1229"/>
      <c r="DG74" s="1229"/>
      <c r="DH74" s="1229"/>
      <c r="DI74" s="1229"/>
      <c r="DJ74" s="1229"/>
      <c r="DK74" s="1229"/>
      <c r="DL74" s="1230"/>
    </row>
    <row r="75" spans="1:165" ht="7.5" customHeight="1">
      <c r="B75" s="1213"/>
      <c r="C75" s="1214"/>
      <c r="D75" s="1214"/>
      <c r="E75" s="1214"/>
      <c r="F75" s="1214"/>
      <c r="G75" s="1214"/>
      <c r="H75" s="1214"/>
      <c r="I75" s="1214"/>
      <c r="J75" s="1214"/>
      <c r="K75" s="1214"/>
      <c r="L75" s="1215"/>
      <c r="M75" s="1222"/>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c r="AL75" s="1223"/>
      <c r="AM75" s="1223"/>
      <c r="AN75" s="1223"/>
      <c r="AO75" s="1223"/>
      <c r="AP75" s="1223"/>
      <c r="AQ75" s="1223"/>
      <c r="AR75" s="1224"/>
      <c r="AS75" s="1231"/>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c r="CB75" s="1232"/>
      <c r="CC75" s="1232"/>
      <c r="CD75" s="1232"/>
      <c r="CE75" s="1232"/>
      <c r="CF75" s="1232"/>
      <c r="CG75" s="1232"/>
      <c r="CH75" s="1232"/>
      <c r="CI75" s="1232"/>
      <c r="CJ75" s="1232"/>
      <c r="CK75" s="1232"/>
      <c r="CL75" s="1232"/>
      <c r="CM75" s="1232"/>
      <c r="CN75" s="1232"/>
      <c r="CO75" s="1232"/>
      <c r="CP75" s="1232"/>
      <c r="CQ75" s="1232"/>
      <c r="CR75" s="1232"/>
      <c r="CS75" s="1232"/>
      <c r="CT75" s="1232"/>
      <c r="CU75" s="1232"/>
      <c r="CV75" s="1232"/>
      <c r="CW75" s="1232"/>
      <c r="CX75" s="1232"/>
      <c r="CY75" s="1232"/>
      <c r="CZ75" s="1232"/>
      <c r="DA75" s="1232"/>
      <c r="DB75" s="1232"/>
      <c r="DC75" s="1232"/>
      <c r="DD75" s="1232"/>
      <c r="DE75" s="1232"/>
      <c r="DF75" s="1232"/>
      <c r="DG75" s="1232"/>
      <c r="DH75" s="1232"/>
      <c r="DI75" s="1232"/>
      <c r="DJ75" s="1232"/>
      <c r="DK75" s="1232"/>
      <c r="DL75" s="1233"/>
      <c r="DS75" s="109"/>
    </row>
    <row r="76" spans="1:165" ht="7.5" customHeight="1" thickBot="1">
      <c r="B76" s="1216"/>
      <c r="C76" s="1217"/>
      <c r="D76" s="1217"/>
      <c r="E76" s="1217"/>
      <c r="F76" s="1217"/>
      <c r="G76" s="1217"/>
      <c r="H76" s="1217"/>
      <c r="I76" s="1217"/>
      <c r="J76" s="1217"/>
      <c r="K76" s="1217"/>
      <c r="L76" s="1218"/>
      <c r="M76" s="1225"/>
      <c r="N76" s="1226"/>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7"/>
      <c r="AS76" s="1234"/>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c r="DD76" s="1235"/>
      <c r="DE76" s="1235"/>
      <c r="DF76" s="1235"/>
      <c r="DG76" s="1235"/>
      <c r="DH76" s="1235"/>
      <c r="DI76" s="1235"/>
      <c r="DJ76" s="1235"/>
      <c r="DK76" s="1235"/>
      <c r="DL76" s="1236"/>
    </row>
    <row r="77" spans="1:165" ht="23.15" customHeight="1" thickTop="1">
      <c r="B77" s="1237" t="s">
        <v>388</v>
      </c>
      <c r="C77" s="1238"/>
      <c r="D77" s="1238"/>
      <c r="E77" s="1238"/>
      <c r="F77" s="1238"/>
      <c r="G77" s="1238"/>
      <c r="H77" s="1238"/>
      <c r="I77" s="1238"/>
      <c r="J77" s="1238"/>
      <c r="K77" s="1238"/>
      <c r="L77" s="1239"/>
      <c r="M77" s="1246"/>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8"/>
      <c r="AL77" s="1255" t="s">
        <v>389</v>
      </c>
      <c r="AM77" s="1256"/>
      <c r="AN77" s="1256"/>
      <c r="AO77" s="1256"/>
      <c r="AP77" s="1256"/>
      <c r="AQ77" s="1256"/>
      <c r="AR77" s="1256"/>
      <c r="AS77" s="1257"/>
      <c r="AT77" s="1257"/>
      <c r="AU77" s="1257"/>
      <c r="AV77" s="1257"/>
      <c r="AW77" s="1257"/>
      <c r="AX77" s="1257"/>
      <c r="AY77" s="1257"/>
      <c r="AZ77" s="1257"/>
      <c r="BA77" s="1257"/>
      <c r="BB77" s="1257"/>
      <c r="BC77" s="1257"/>
      <c r="BD77" s="1257"/>
      <c r="BE77" s="1257"/>
      <c r="BF77" s="1257"/>
      <c r="BG77" s="1257"/>
      <c r="BH77" s="1257"/>
      <c r="BI77" s="1257"/>
      <c r="BJ77" s="1257"/>
      <c r="BK77" s="1257"/>
      <c r="BL77" s="1257"/>
      <c r="BM77" s="1257"/>
      <c r="BN77" s="1257"/>
      <c r="BO77" s="1257"/>
      <c r="BP77" s="1257"/>
      <c r="BQ77" s="1257"/>
      <c r="BR77" s="1257"/>
      <c r="BS77" s="1257"/>
      <c r="BT77" s="1257"/>
      <c r="BU77" s="1257"/>
      <c r="BV77" s="1257"/>
      <c r="BW77" s="1257"/>
      <c r="BX77" s="1257"/>
      <c r="BY77" s="1257"/>
      <c r="BZ77" s="1257"/>
      <c r="CA77" s="1257"/>
      <c r="CB77" s="1257"/>
      <c r="CC77" s="1257"/>
      <c r="CD77" s="1257"/>
      <c r="CE77" s="1257"/>
      <c r="CF77" s="1257"/>
      <c r="CG77" s="1257"/>
      <c r="CH77" s="1257"/>
      <c r="CI77" s="1257"/>
      <c r="CJ77" s="1257"/>
      <c r="CK77" s="1257"/>
      <c r="CL77" s="1257"/>
      <c r="CM77" s="1257"/>
      <c r="CN77" s="1257"/>
      <c r="CO77" s="1257"/>
      <c r="CP77" s="1257"/>
      <c r="CQ77" s="1257"/>
      <c r="CR77" s="1257"/>
      <c r="CS77" s="1257"/>
      <c r="CT77" s="1257"/>
      <c r="CU77" s="1257"/>
      <c r="CV77" s="1257"/>
      <c r="CW77" s="1257"/>
      <c r="CX77" s="1257"/>
      <c r="CY77" s="1257"/>
      <c r="CZ77" s="1257"/>
      <c r="DA77" s="1257"/>
      <c r="DB77" s="1257"/>
      <c r="DC77" s="1257"/>
      <c r="DD77" s="1257"/>
      <c r="DE77" s="1257"/>
      <c r="DF77" s="1257"/>
      <c r="DG77" s="1257"/>
      <c r="DH77" s="1257"/>
      <c r="DI77" s="1257"/>
      <c r="DJ77" s="1257"/>
      <c r="DK77" s="1257"/>
      <c r="DL77" s="1258"/>
    </row>
    <row r="78" spans="1:165" ht="7.5" customHeight="1">
      <c r="B78" s="1240"/>
      <c r="C78" s="1241"/>
      <c r="D78" s="1241"/>
      <c r="E78" s="1241"/>
      <c r="F78" s="1241"/>
      <c r="G78" s="1241"/>
      <c r="H78" s="1241"/>
      <c r="I78" s="1241"/>
      <c r="J78" s="1241"/>
      <c r="K78" s="1241"/>
      <c r="L78" s="1242"/>
      <c r="M78" s="1249"/>
      <c r="N78" s="1250"/>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1"/>
      <c r="AL78" s="1259"/>
      <c r="AM78" s="1257"/>
      <c r="AN78" s="1257"/>
      <c r="AO78" s="1257"/>
      <c r="AP78" s="1257"/>
      <c r="AQ78" s="1257"/>
      <c r="AR78" s="1257"/>
      <c r="AS78" s="1257"/>
      <c r="AT78" s="1257"/>
      <c r="AU78" s="1257"/>
      <c r="AV78" s="1257"/>
      <c r="AW78" s="1257"/>
      <c r="AX78" s="1257"/>
      <c r="AY78" s="1257"/>
      <c r="AZ78" s="1257"/>
      <c r="BA78" s="1257"/>
      <c r="BB78" s="1257"/>
      <c r="BC78" s="1257"/>
      <c r="BD78" s="1257"/>
      <c r="BE78" s="1257"/>
      <c r="BF78" s="1257"/>
      <c r="BG78" s="1257"/>
      <c r="BH78" s="1257"/>
      <c r="BI78" s="1257"/>
      <c r="BJ78" s="1257"/>
      <c r="BK78" s="1257"/>
      <c r="BL78" s="1257"/>
      <c r="BM78" s="1257"/>
      <c r="BN78" s="1257"/>
      <c r="BO78" s="1257"/>
      <c r="BP78" s="1257"/>
      <c r="BQ78" s="1257"/>
      <c r="BR78" s="1257"/>
      <c r="BS78" s="1257"/>
      <c r="BT78" s="1257"/>
      <c r="BU78" s="1257"/>
      <c r="BV78" s="1257"/>
      <c r="BW78" s="1257"/>
      <c r="BX78" s="1257"/>
      <c r="BY78" s="1257"/>
      <c r="BZ78" s="1257"/>
      <c r="CA78" s="1257"/>
      <c r="CB78" s="1257"/>
      <c r="CC78" s="1257"/>
      <c r="CD78" s="1257"/>
      <c r="CE78" s="1257"/>
      <c r="CF78" s="1257"/>
      <c r="CG78" s="1257"/>
      <c r="CH78" s="1257"/>
      <c r="CI78" s="1257"/>
      <c r="CJ78" s="1257"/>
      <c r="CK78" s="1257"/>
      <c r="CL78" s="1257"/>
      <c r="CM78" s="1257"/>
      <c r="CN78" s="1257"/>
      <c r="CO78" s="1257"/>
      <c r="CP78" s="1257"/>
      <c r="CQ78" s="1257"/>
      <c r="CR78" s="1257"/>
      <c r="CS78" s="1257"/>
      <c r="CT78" s="1257"/>
      <c r="CU78" s="1257"/>
      <c r="CV78" s="1257"/>
      <c r="CW78" s="1257"/>
      <c r="CX78" s="1257"/>
      <c r="CY78" s="1257"/>
      <c r="CZ78" s="1257"/>
      <c r="DA78" s="1257"/>
      <c r="DB78" s="1257"/>
      <c r="DC78" s="1257"/>
      <c r="DD78" s="1257"/>
      <c r="DE78" s="1257"/>
      <c r="DF78" s="1257"/>
      <c r="DG78" s="1257"/>
      <c r="DH78" s="1257"/>
      <c r="DI78" s="1257"/>
      <c r="DJ78" s="1257"/>
      <c r="DK78" s="1257"/>
      <c r="DL78" s="1258"/>
    </row>
    <row r="79" spans="1:165" ht="7.5" customHeight="1" thickBot="1">
      <c r="B79" s="1274"/>
      <c r="C79" s="1275"/>
      <c r="D79" s="1275"/>
      <c r="E79" s="1275"/>
      <c r="F79" s="1275"/>
      <c r="G79" s="1275"/>
      <c r="H79" s="1275"/>
      <c r="I79" s="1275"/>
      <c r="J79" s="1275"/>
      <c r="K79" s="1275"/>
      <c r="L79" s="1276"/>
      <c r="M79" s="2287"/>
      <c r="N79" s="2288"/>
      <c r="O79" s="2288"/>
      <c r="P79" s="2288"/>
      <c r="Q79" s="2288"/>
      <c r="R79" s="2288"/>
      <c r="S79" s="2288"/>
      <c r="T79" s="2288"/>
      <c r="U79" s="2288"/>
      <c r="V79" s="2288"/>
      <c r="W79" s="2288"/>
      <c r="X79" s="2288"/>
      <c r="Y79" s="2288"/>
      <c r="Z79" s="2288"/>
      <c r="AA79" s="2288"/>
      <c r="AB79" s="2288"/>
      <c r="AC79" s="2288"/>
      <c r="AD79" s="2288"/>
      <c r="AE79" s="2288"/>
      <c r="AF79" s="2288"/>
      <c r="AG79" s="2288"/>
      <c r="AH79" s="2288"/>
      <c r="AI79" s="2288"/>
      <c r="AJ79" s="2288"/>
      <c r="AK79" s="2289"/>
      <c r="AL79" s="1260"/>
      <c r="AM79" s="1261"/>
      <c r="AN79" s="1261"/>
      <c r="AO79" s="1261"/>
      <c r="AP79" s="1261"/>
      <c r="AQ79" s="1261"/>
      <c r="AR79" s="1261"/>
      <c r="AS79" s="1261"/>
      <c r="AT79" s="1261"/>
      <c r="AU79" s="1261"/>
      <c r="AV79" s="1261"/>
      <c r="AW79" s="1261"/>
      <c r="AX79" s="1261"/>
      <c r="AY79" s="1261"/>
      <c r="AZ79" s="1261"/>
      <c r="BA79" s="1261"/>
      <c r="BB79" s="1261"/>
      <c r="BC79" s="1261"/>
      <c r="BD79" s="1261"/>
      <c r="BE79" s="1261"/>
      <c r="BF79" s="1261"/>
      <c r="BG79" s="1261"/>
      <c r="BH79" s="1261"/>
      <c r="BI79" s="1261"/>
      <c r="BJ79" s="1261"/>
      <c r="BK79" s="1261"/>
      <c r="BL79" s="1261"/>
      <c r="BM79" s="1261"/>
      <c r="BN79" s="1261"/>
      <c r="BO79" s="1261"/>
      <c r="BP79" s="1261"/>
      <c r="BQ79" s="1261"/>
      <c r="BR79" s="1261"/>
      <c r="BS79" s="1261"/>
      <c r="BT79" s="1261"/>
      <c r="BU79" s="1261"/>
      <c r="BV79" s="1261"/>
      <c r="BW79" s="1261"/>
      <c r="BX79" s="1261"/>
      <c r="BY79" s="1261"/>
      <c r="BZ79" s="1261"/>
      <c r="CA79" s="1261"/>
      <c r="CB79" s="1261"/>
      <c r="CC79" s="1261"/>
      <c r="CD79" s="1261"/>
      <c r="CE79" s="1261"/>
      <c r="CF79" s="1261"/>
      <c r="CG79" s="1261"/>
      <c r="CH79" s="1261"/>
      <c r="CI79" s="1261"/>
      <c r="CJ79" s="1261"/>
      <c r="CK79" s="1261"/>
      <c r="CL79" s="1261"/>
      <c r="CM79" s="1261"/>
      <c r="CN79" s="1261"/>
      <c r="CO79" s="1261"/>
      <c r="CP79" s="1261"/>
      <c r="CQ79" s="1261"/>
      <c r="CR79" s="1261"/>
      <c r="CS79" s="1261"/>
      <c r="CT79" s="1261"/>
      <c r="CU79" s="1261"/>
      <c r="CV79" s="1261"/>
      <c r="CW79" s="1261"/>
      <c r="CX79" s="1261"/>
      <c r="CY79" s="1261"/>
      <c r="CZ79" s="1261"/>
      <c r="DA79" s="1261"/>
      <c r="DB79" s="1261"/>
      <c r="DC79" s="1261"/>
      <c r="DD79" s="1261"/>
      <c r="DE79" s="1261"/>
      <c r="DF79" s="1261"/>
      <c r="DG79" s="1261"/>
      <c r="DH79" s="1261"/>
      <c r="DI79" s="1261"/>
      <c r="DJ79" s="1261"/>
      <c r="DK79" s="1261"/>
      <c r="DL79" s="1262"/>
      <c r="DS79" s="109"/>
    </row>
    <row r="80" spans="1:165" customFormat="1" ht="17.149999999999999" customHeight="1" thickTop="1">
      <c r="B80" s="2223" t="s">
        <v>196</v>
      </c>
      <c r="C80" s="2224"/>
      <c r="D80" s="2224"/>
      <c r="E80" s="2224"/>
      <c r="F80" s="2224"/>
      <c r="G80" s="2224"/>
      <c r="H80" s="2224"/>
      <c r="I80" s="2224"/>
      <c r="J80" s="2224"/>
      <c r="K80" s="2224"/>
      <c r="L80" s="2224"/>
      <c r="M80" s="2224"/>
      <c r="N80" s="2224"/>
      <c r="O80" s="2224"/>
      <c r="P80" s="2224"/>
      <c r="Q80" s="2224"/>
      <c r="R80" s="2224"/>
      <c r="S80" s="2224"/>
      <c r="T80" s="2224"/>
      <c r="U80" s="2224"/>
      <c r="V80" s="2224"/>
      <c r="W80" s="2224"/>
      <c r="X80" s="2225"/>
      <c r="Y80" s="2268" t="s">
        <v>1430</v>
      </c>
      <c r="Z80" s="2269"/>
      <c r="AA80" s="2269"/>
      <c r="AB80" s="2269"/>
      <c r="AC80" s="2269"/>
      <c r="AD80" s="2269"/>
      <c r="AE80" s="2269"/>
      <c r="AF80" s="2269"/>
      <c r="AG80" s="2269"/>
      <c r="AH80" s="2269"/>
      <c r="AI80" s="2269"/>
      <c r="AJ80" s="2269"/>
      <c r="AK80" s="2269"/>
      <c r="AL80" s="2270"/>
      <c r="AM80" s="2270"/>
      <c r="AN80" s="2270"/>
      <c r="AO80" s="2270"/>
      <c r="AP80" s="2270"/>
      <c r="AQ80" s="2270"/>
      <c r="AR80" s="2270"/>
      <c r="AS80" s="2270"/>
      <c r="AT80" s="2270"/>
      <c r="AU80" s="2270"/>
      <c r="AV80" s="2270"/>
      <c r="AW80" s="2270"/>
      <c r="AX80" s="2239"/>
      <c r="AY80" s="2240"/>
      <c r="AZ80" s="2240"/>
      <c r="BA80" s="2240"/>
      <c r="BB80" s="2240"/>
      <c r="BC80" s="2240"/>
      <c r="BD80" s="2240"/>
      <c r="BE80" s="2240"/>
      <c r="BF80" s="2240"/>
      <c r="BG80" s="2240"/>
      <c r="BH80" s="2240"/>
      <c r="BI80" s="2240"/>
      <c r="BJ80" s="2240"/>
      <c r="BK80" s="2240"/>
      <c r="BL80" s="2241"/>
      <c r="BM80" s="2245" t="s">
        <v>1201</v>
      </c>
      <c r="BN80" s="2246"/>
      <c r="BO80" s="2246"/>
      <c r="BP80" s="2246"/>
      <c r="BQ80" s="2246"/>
      <c r="BR80" s="2274"/>
      <c r="BS80" s="2275"/>
      <c r="BT80" s="2275"/>
      <c r="BU80" s="2275"/>
      <c r="BV80" s="2275"/>
      <c r="BW80" s="2275"/>
      <c r="BX80" s="2275"/>
      <c r="BY80" s="2275"/>
      <c r="BZ80" s="2275"/>
      <c r="CA80" s="2275"/>
      <c r="CB80" s="2275"/>
      <c r="CC80" s="2275"/>
      <c r="CD80" s="2275"/>
      <c r="CE80" s="2275"/>
      <c r="CF80" s="2275"/>
      <c r="CG80" s="2275"/>
      <c r="CH80" s="2275"/>
      <c r="CI80" s="2275"/>
      <c r="CJ80" s="2275"/>
      <c r="CK80" s="2275"/>
      <c r="CL80" s="2275"/>
      <c r="CM80" s="2275"/>
      <c r="CN80" s="2275"/>
      <c r="CO80" s="2276"/>
      <c r="CP80" s="2290" t="s">
        <v>641</v>
      </c>
      <c r="CQ80" s="2291"/>
      <c r="CR80" s="2291"/>
      <c r="CS80" s="2291"/>
      <c r="CT80" s="2291"/>
      <c r="CU80" s="2291"/>
      <c r="CV80" s="2291"/>
      <c r="CW80" s="2291"/>
      <c r="CX80" s="2291"/>
      <c r="CY80" s="2291"/>
      <c r="CZ80" s="2291"/>
      <c r="DA80" s="2291"/>
      <c r="DB80" s="2291"/>
      <c r="DC80" s="2291"/>
      <c r="DD80" s="2291"/>
      <c r="DE80" s="2291"/>
      <c r="DF80" s="2291"/>
      <c r="DG80" s="2291"/>
      <c r="DH80" s="2291"/>
      <c r="DI80" s="2291"/>
      <c r="DJ80" s="2291"/>
      <c r="DK80" s="2291"/>
      <c r="DL80" s="2292"/>
      <c r="DM80" s="127"/>
      <c r="DN80" s="45"/>
      <c r="DO80" s="45"/>
      <c r="DP80" s="45"/>
      <c r="DQ80" s="45"/>
      <c r="DR80" s="45"/>
      <c r="DS80" s="45"/>
      <c r="DT80" s="109"/>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row>
    <row r="81" spans="1:165" customFormat="1" ht="17.149999999999999" customHeight="1">
      <c r="B81" s="2226"/>
      <c r="C81" s="2227"/>
      <c r="D81" s="2227"/>
      <c r="E81" s="2227"/>
      <c r="F81" s="2227"/>
      <c r="G81" s="2227"/>
      <c r="H81" s="2227"/>
      <c r="I81" s="2227"/>
      <c r="J81" s="2227"/>
      <c r="K81" s="2227"/>
      <c r="L81" s="2227"/>
      <c r="M81" s="2227"/>
      <c r="N81" s="2227"/>
      <c r="O81" s="2227"/>
      <c r="P81" s="2227"/>
      <c r="Q81" s="2227"/>
      <c r="R81" s="2227"/>
      <c r="S81" s="2227"/>
      <c r="T81" s="2227"/>
      <c r="U81" s="2227"/>
      <c r="V81" s="2227"/>
      <c r="W81" s="2227"/>
      <c r="X81" s="2228"/>
      <c r="Y81" s="2271"/>
      <c r="Z81" s="2270"/>
      <c r="AA81" s="2270"/>
      <c r="AB81" s="2270"/>
      <c r="AC81" s="2270"/>
      <c r="AD81" s="2270"/>
      <c r="AE81" s="2270"/>
      <c r="AF81" s="2270"/>
      <c r="AG81" s="2270"/>
      <c r="AH81" s="2270"/>
      <c r="AI81" s="2270"/>
      <c r="AJ81" s="2270"/>
      <c r="AK81" s="2270"/>
      <c r="AL81" s="2270"/>
      <c r="AM81" s="2270"/>
      <c r="AN81" s="2270"/>
      <c r="AO81" s="2270"/>
      <c r="AP81" s="2270"/>
      <c r="AQ81" s="2270"/>
      <c r="AR81" s="2270"/>
      <c r="AS81" s="2270"/>
      <c r="AT81" s="2270"/>
      <c r="AU81" s="2270"/>
      <c r="AV81" s="2270"/>
      <c r="AW81" s="2270"/>
      <c r="AX81" s="2242"/>
      <c r="AY81" s="2243"/>
      <c r="AZ81" s="2243"/>
      <c r="BA81" s="2243"/>
      <c r="BB81" s="2243"/>
      <c r="BC81" s="2243"/>
      <c r="BD81" s="2243"/>
      <c r="BE81" s="2243"/>
      <c r="BF81" s="2243"/>
      <c r="BG81" s="2243"/>
      <c r="BH81" s="2243"/>
      <c r="BI81" s="2243"/>
      <c r="BJ81" s="2243"/>
      <c r="BK81" s="2243"/>
      <c r="BL81" s="2244"/>
      <c r="BM81" s="2247"/>
      <c r="BN81" s="2248"/>
      <c r="BO81" s="2248"/>
      <c r="BP81" s="2248"/>
      <c r="BQ81" s="2248"/>
      <c r="BR81" s="2277"/>
      <c r="BS81" s="2278"/>
      <c r="BT81" s="2278"/>
      <c r="BU81" s="2278"/>
      <c r="BV81" s="2278"/>
      <c r="BW81" s="2278"/>
      <c r="BX81" s="2278"/>
      <c r="BY81" s="2278"/>
      <c r="BZ81" s="2278"/>
      <c r="CA81" s="2278"/>
      <c r="CB81" s="2278"/>
      <c r="CC81" s="2278"/>
      <c r="CD81" s="2278"/>
      <c r="CE81" s="2278"/>
      <c r="CF81" s="2278"/>
      <c r="CG81" s="2278"/>
      <c r="CH81" s="2278"/>
      <c r="CI81" s="2278"/>
      <c r="CJ81" s="2278"/>
      <c r="CK81" s="2278"/>
      <c r="CL81" s="2278"/>
      <c r="CM81" s="2278"/>
      <c r="CN81" s="2278"/>
      <c r="CO81" s="2279"/>
      <c r="CP81" s="2290"/>
      <c r="CQ81" s="2291"/>
      <c r="CR81" s="2291"/>
      <c r="CS81" s="2291"/>
      <c r="CT81" s="2291"/>
      <c r="CU81" s="2291"/>
      <c r="CV81" s="2291"/>
      <c r="CW81" s="2291"/>
      <c r="CX81" s="2291"/>
      <c r="CY81" s="2291"/>
      <c r="CZ81" s="2291"/>
      <c r="DA81" s="2291"/>
      <c r="DB81" s="2291"/>
      <c r="DC81" s="2291"/>
      <c r="DD81" s="2291"/>
      <c r="DE81" s="2291"/>
      <c r="DF81" s="2291"/>
      <c r="DG81" s="2291"/>
      <c r="DH81" s="2291"/>
      <c r="DI81" s="2291"/>
      <c r="DJ81" s="2291"/>
      <c r="DK81" s="2291"/>
      <c r="DL81" s="2292"/>
      <c r="DM81" s="127"/>
      <c r="DN81" s="45"/>
      <c r="DO81" s="45"/>
      <c r="DP81" s="45"/>
      <c r="DQ81" s="45"/>
      <c r="DR81" s="45"/>
      <c r="DS81" s="45"/>
      <c r="DT81" s="109"/>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row>
    <row r="82" spans="1:165" customFormat="1" ht="17.149999999999999" customHeight="1">
      <c r="B82" s="2280" t="s">
        <v>1245</v>
      </c>
      <c r="C82" s="2281"/>
      <c r="D82" s="2281"/>
      <c r="E82" s="2281"/>
      <c r="F82" s="2281"/>
      <c r="G82" s="2281"/>
      <c r="H82" s="2281"/>
      <c r="I82" s="2281"/>
      <c r="J82" s="2284" t="s">
        <v>1246</v>
      </c>
      <c r="K82" s="2285"/>
      <c r="L82" s="2285"/>
      <c r="M82" s="2285"/>
      <c r="N82" s="2285"/>
      <c r="O82" s="2285"/>
      <c r="P82" s="2285"/>
      <c r="Q82" s="2285"/>
      <c r="R82" s="2285"/>
      <c r="S82" s="2285"/>
      <c r="T82" s="2285"/>
      <c r="U82" s="2285"/>
      <c r="V82" s="2285"/>
      <c r="W82" s="2285"/>
      <c r="X82" s="2285"/>
      <c r="Y82" s="2271"/>
      <c r="Z82" s="2270"/>
      <c r="AA82" s="2270"/>
      <c r="AB82" s="2270"/>
      <c r="AC82" s="2270"/>
      <c r="AD82" s="2270"/>
      <c r="AE82" s="2270"/>
      <c r="AF82" s="2270"/>
      <c r="AG82" s="2270"/>
      <c r="AH82" s="2270"/>
      <c r="AI82" s="2270"/>
      <c r="AJ82" s="2270"/>
      <c r="AK82" s="2270"/>
      <c r="AL82" s="2270"/>
      <c r="AM82" s="2270"/>
      <c r="AN82" s="2270"/>
      <c r="AO82" s="2270"/>
      <c r="AP82" s="2270"/>
      <c r="AQ82" s="2270"/>
      <c r="AR82" s="2270"/>
      <c r="AS82" s="2270"/>
      <c r="AT82" s="2270"/>
      <c r="AU82" s="2270"/>
      <c r="AV82" s="2270"/>
      <c r="AW82" s="2270"/>
      <c r="AX82" s="2249"/>
      <c r="AY82" s="2250"/>
      <c r="AZ82" s="2250"/>
      <c r="BA82" s="2250"/>
      <c r="BB82" s="2250"/>
      <c r="BC82" s="2250"/>
      <c r="BD82" s="2250"/>
      <c r="BE82" s="2250"/>
      <c r="BF82" s="2250"/>
      <c r="BG82" s="2250"/>
      <c r="BH82" s="2250"/>
      <c r="BI82" s="2250"/>
      <c r="BJ82" s="2250"/>
      <c r="BK82" s="2250"/>
      <c r="BL82" s="2251"/>
      <c r="BM82" s="2246" t="s">
        <v>1201</v>
      </c>
      <c r="BN82" s="2246"/>
      <c r="BO82" s="2246"/>
      <c r="BP82" s="2246"/>
      <c r="BQ82" s="2246"/>
      <c r="BR82" s="2256"/>
      <c r="BS82" s="2257"/>
      <c r="BT82" s="2257"/>
      <c r="BU82" s="2257"/>
      <c r="BV82" s="2257"/>
      <c r="BW82" s="2257"/>
      <c r="BX82" s="2257"/>
      <c r="BY82" s="2257"/>
      <c r="BZ82" s="2257"/>
      <c r="CA82" s="2257"/>
      <c r="CB82" s="2257"/>
      <c r="CC82" s="2257"/>
      <c r="CD82" s="2257"/>
      <c r="CE82" s="2257"/>
      <c r="CF82" s="2257"/>
      <c r="CG82" s="2257"/>
      <c r="CH82" s="2257"/>
      <c r="CI82" s="2257"/>
      <c r="CJ82" s="2257"/>
      <c r="CK82" s="2257"/>
      <c r="CL82" s="2257"/>
      <c r="CM82" s="2257"/>
      <c r="CN82" s="2257"/>
      <c r="CO82" s="2257"/>
      <c r="CP82" s="2229" t="s">
        <v>1250</v>
      </c>
      <c r="CQ82" s="2230"/>
      <c r="CR82" s="2230"/>
      <c r="CS82" s="2230"/>
      <c r="CT82" s="2230"/>
      <c r="CU82" s="2230"/>
      <c r="CV82" s="2230"/>
      <c r="CW82" s="2230"/>
      <c r="CX82" s="2230"/>
      <c r="CY82" s="2230"/>
      <c r="CZ82" s="2230"/>
      <c r="DA82" s="2230"/>
      <c r="DB82" s="2230"/>
      <c r="DC82" s="2230"/>
      <c r="DD82" s="2230"/>
      <c r="DE82" s="2230"/>
      <c r="DF82" s="2230"/>
      <c r="DG82" s="2230"/>
      <c r="DH82" s="2230"/>
      <c r="DI82" s="2230"/>
      <c r="DJ82" s="2230"/>
      <c r="DK82" s="2230"/>
      <c r="DL82" s="2231"/>
      <c r="DM82" s="691"/>
      <c r="DN82" s="45"/>
      <c r="DO82" s="45"/>
      <c r="DP82" s="45"/>
      <c r="DQ82" s="45"/>
      <c r="DR82" s="45"/>
      <c r="DS82" s="45"/>
      <c r="DT82" s="109"/>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row>
    <row r="83" spans="1:165" customFormat="1" ht="17.149999999999999" customHeight="1" thickBot="1">
      <c r="B83" s="2282"/>
      <c r="C83" s="2283"/>
      <c r="D83" s="2283"/>
      <c r="E83" s="2283"/>
      <c r="F83" s="2283"/>
      <c r="G83" s="2283"/>
      <c r="H83" s="2283"/>
      <c r="I83" s="2283"/>
      <c r="J83" s="2286"/>
      <c r="K83" s="2286"/>
      <c r="L83" s="2286"/>
      <c r="M83" s="2286"/>
      <c r="N83" s="2286"/>
      <c r="O83" s="2286"/>
      <c r="P83" s="2286"/>
      <c r="Q83" s="2286"/>
      <c r="R83" s="2286"/>
      <c r="S83" s="2286"/>
      <c r="T83" s="2286"/>
      <c r="U83" s="2286"/>
      <c r="V83" s="2286"/>
      <c r="W83" s="2286"/>
      <c r="X83" s="2286"/>
      <c r="Y83" s="2272"/>
      <c r="Z83" s="2273"/>
      <c r="AA83" s="2273"/>
      <c r="AB83" s="2273"/>
      <c r="AC83" s="2273"/>
      <c r="AD83" s="2273"/>
      <c r="AE83" s="2273"/>
      <c r="AF83" s="2273"/>
      <c r="AG83" s="2273"/>
      <c r="AH83" s="2273"/>
      <c r="AI83" s="2273"/>
      <c r="AJ83" s="2273"/>
      <c r="AK83" s="2273"/>
      <c r="AL83" s="2273"/>
      <c r="AM83" s="2273"/>
      <c r="AN83" s="2273"/>
      <c r="AO83" s="2273"/>
      <c r="AP83" s="2273"/>
      <c r="AQ83" s="2273"/>
      <c r="AR83" s="2273"/>
      <c r="AS83" s="2273"/>
      <c r="AT83" s="2273"/>
      <c r="AU83" s="2273"/>
      <c r="AV83" s="2273"/>
      <c r="AW83" s="2273"/>
      <c r="AX83" s="2252"/>
      <c r="AY83" s="2253"/>
      <c r="AZ83" s="2253"/>
      <c r="BA83" s="2253"/>
      <c r="BB83" s="2253"/>
      <c r="BC83" s="2253"/>
      <c r="BD83" s="2253"/>
      <c r="BE83" s="2253"/>
      <c r="BF83" s="2253"/>
      <c r="BG83" s="2253"/>
      <c r="BH83" s="2253"/>
      <c r="BI83" s="2253"/>
      <c r="BJ83" s="2253"/>
      <c r="BK83" s="2253"/>
      <c r="BL83" s="2254"/>
      <c r="BM83" s="2255"/>
      <c r="BN83" s="2255"/>
      <c r="BO83" s="2255"/>
      <c r="BP83" s="2255"/>
      <c r="BQ83" s="2255"/>
      <c r="BR83" s="2258"/>
      <c r="BS83" s="2259"/>
      <c r="BT83" s="2259"/>
      <c r="BU83" s="2259"/>
      <c r="BV83" s="2259"/>
      <c r="BW83" s="2259"/>
      <c r="BX83" s="2259"/>
      <c r="BY83" s="2259"/>
      <c r="BZ83" s="2259"/>
      <c r="CA83" s="2259"/>
      <c r="CB83" s="2259"/>
      <c r="CC83" s="2259"/>
      <c r="CD83" s="2259"/>
      <c r="CE83" s="2259"/>
      <c r="CF83" s="2259"/>
      <c r="CG83" s="2259"/>
      <c r="CH83" s="2259"/>
      <c r="CI83" s="2259"/>
      <c r="CJ83" s="2259"/>
      <c r="CK83" s="2259"/>
      <c r="CL83" s="2259"/>
      <c r="CM83" s="2259"/>
      <c r="CN83" s="2259"/>
      <c r="CO83" s="2259"/>
      <c r="CP83" s="2232"/>
      <c r="CQ83" s="2233"/>
      <c r="CR83" s="2233"/>
      <c r="CS83" s="2233"/>
      <c r="CT83" s="2233"/>
      <c r="CU83" s="2233"/>
      <c r="CV83" s="2233"/>
      <c r="CW83" s="2233"/>
      <c r="CX83" s="2233"/>
      <c r="CY83" s="2233"/>
      <c r="CZ83" s="2233"/>
      <c r="DA83" s="2233"/>
      <c r="DB83" s="2233"/>
      <c r="DC83" s="2233"/>
      <c r="DD83" s="2233"/>
      <c r="DE83" s="2233"/>
      <c r="DF83" s="2233"/>
      <c r="DG83" s="2233"/>
      <c r="DH83" s="2233"/>
      <c r="DI83" s="2233"/>
      <c r="DJ83" s="2233"/>
      <c r="DK83" s="2233"/>
      <c r="DL83" s="2234"/>
      <c r="DM83" s="691"/>
      <c r="DN83" s="45"/>
      <c r="DO83" s="45"/>
      <c r="DP83" s="45"/>
      <c r="DQ83" s="45"/>
      <c r="DR83" s="45"/>
      <c r="DS83" s="45"/>
      <c r="DT83" s="109"/>
      <c r="DU83" s="45"/>
      <c r="DV83" s="45"/>
      <c r="DW83" s="45"/>
      <c r="DX83" s="45"/>
      <c r="DY83" s="45"/>
      <c r="DZ83" s="45"/>
      <c r="EA83" s="45"/>
      <c r="EB83" s="45"/>
      <c r="EC83" s="45"/>
      <c r="ED83" s="45"/>
      <c r="EE83" s="45"/>
      <c r="EF83" s="45"/>
      <c r="EG83" s="45"/>
      <c r="EH83" s="45"/>
      <c r="EI83" s="45"/>
      <c r="EJ83" s="45"/>
      <c r="EK83" s="45"/>
      <c r="EL83" s="45"/>
      <c r="EM83" s="45"/>
      <c r="EN83" s="45"/>
      <c r="EO83" s="45"/>
      <c r="EP83" s="45"/>
      <c r="EQ83" s="45"/>
      <c r="ER83" s="45"/>
      <c r="ES83" s="45"/>
      <c r="ET83" s="45"/>
      <c r="EU83" s="45"/>
      <c r="EV83" s="45"/>
      <c r="EW83" s="45"/>
      <c r="EX83" s="45"/>
      <c r="EY83" s="45"/>
      <c r="EZ83" s="45"/>
      <c r="FA83" s="45"/>
      <c r="FB83" s="45"/>
      <c r="FC83" s="45"/>
      <c r="FD83" s="45"/>
      <c r="FE83" s="45"/>
      <c r="FF83" s="45"/>
      <c r="FG83" s="45"/>
      <c r="FH83" s="45"/>
      <c r="FI83" s="45"/>
    </row>
    <row r="84" spans="1:165" ht="4.5" customHeight="1" thickTop="1" thickBot="1">
      <c r="BR84" s="562"/>
      <c r="BS84" s="562"/>
      <c r="BT84" s="562"/>
      <c r="BU84" s="562"/>
      <c r="BV84" s="562"/>
      <c r="BW84" s="562"/>
      <c r="BX84" s="562"/>
      <c r="BY84" s="562"/>
      <c r="BZ84" s="562"/>
      <c r="CA84" s="562"/>
      <c r="CV84" s="571"/>
      <c r="CW84" s="571"/>
      <c r="CX84" s="571"/>
      <c r="CY84" s="571"/>
      <c r="CZ84" s="571"/>
      <c r="DA84" s="571"/>
      <c r="DB84" s="571"/>
      <c r="DC84" s="571"/>
      <c r="DD84" s="571"/>
      <c r="DE84" s="571"/>
      <c r="DF84" s="571"/>
      <c r="DG84" s="571"/>
      <c r="DH84" s="571"/>
      <c r="DT84" s="109"/>
    </row>
    <row r="85" spans="1:165" s="200" customFormat="1" ht="7.5" customHeight="1">
      <c r="A85" s="199"/>
      <c r="B85" s="2262" t="s">
        <v>390</v>
      </c>
      <c r="C85" s="2263"/>
      <c r="D85" s="2263"/>
      <c r="E85" s="2263"/>
      <c r="F85" s="2263"/>
      <c r="G85" s="2263"/>
      <c r="H85" s="2263"/>
      <c r="I85" s="2263"/>
      <c r="J85" s="2263"/>
      <c r="K85" s="2263"/>
      <c r="L85" s="2263"/>
      <c r="M85" s="2263"/>
      <c r="N85" s="2263"/>
      <c r="O85" s="2263"/>
      <c r="P85" s="2263"/>
      <c r="Q85" s="2263"/>
      <c r="R85" s="2263"/>
      <c r="S85" s="2263"/>
      <c r="T85" s="2263"/>
      <c r="U85" s="2263"/>
      <c r="V85" s="2263"/>
      <c r="W85" s="2263"/>
      <c r="X85" s="2263"/>
      <c r="Y85" s="2263"/>
      <c r="Z85" s="2263"/>
      <c r="AA85" s="2263"/>
      <c r="AB85" s="2263"/>
      <c r="AC85" s="2263"/>
      <c r="AD85" s="2263"/>
      <c r="AE85" s="2263"/>
      <c r="AF85" s="2263"/>
      <c r="AG85" s="2263"/>
      <c r="AH85" s="2263"/>
      <c r="AI85" s="2263"/>
      <c r="AJ85" s="2263"/>
      <c r="AK85" s="2263"/>
      <c r="AL85" s="2263"/>
      <c r="AM85" s="2263"/>
      <c r="AN85" s="2263"/>
      <c r="AO85" s="2263"/>
      <c r="AP85" s="2263"/>
      <c r="AQ85" s="2263"/>
      <c r="AR85" s="2263"/>
      <c r="AS85" s="2263"/>
      <c r="AT85" s="2263"/>
      <c r="AU85" s="2263"/>
      <c r="AV85" s="2263"/>
      <c r="AW85" s="2263"/>
      <c r="AX85" s="2263"/>
      <c r="AY85" s="2263"/>
      <c r="AZ85" s="2263"/>
      <c r="BA85" s="2263"/>
      <c r="BB85" s="2263"/>
      <c r="BC85" s="2263"/>
      <c r="BD85" s="2263"/>
      <c r="BE85" s="2263"/>
      <c r="BF85" s="2263"/>
      <c r="BG85" s="2263"/>
      <c r="BH85" s="2263"/>
      <c r="BI85" s="2263"/>
      <c r="BJ85" s="2263"/>
      <c r="BK85" s="2263"/>
      <c r="BL85" s="2263"/>
      <c r="BM85" s="2263"/>
      <c r="BN85" s="2263"/>
      <c r="BO85" s="2263"/>
      <c r="BP85" s="2263"/>
      <c r="BQ85" s="2263"/>
      <c r="BR85" s="2263"/>
      <c r="BS85" s="2263"/>
      <c r="BT85" s="2263"/>
      <c r="BU85" s="2263"/>
      <c r="BV85" s="2263"/>
      <c r="BW85" s="2263"/>
      <c r="BX85" s="2263"/>
      <c r="BY85" s="2263"/>
      <c r="BZ85" s="2263"/>
      <c r="CA85" s="2263"/>
      <c r="CB85" s="2263"/>
      <c r="CC85" s="2263"/>
      <c r="CD85" s="2263"/>
      <c r="CE85" s="2263"/>
      <c r="CF85" s="2263"/>
      <c r="CG85" s="2263"/>
      <c r="CH85" s="2263"/>
      <c r="CI85" s="2263"/>
      <c r="CJ85" s="2263"/>
      <c r="CK85" s="2263"/>
      <c r="CL85" s="2263"/>
      <c r="CM85" s="2263"/>
      <c r="CN85" s="2263"/>
      <c r="CO85" s="2263"/>
      <c r="CP85" s="2263"/>
      <c r="CQ85" s="2263"/>
      <c r="CR85" s="2263"/>
      <c r="CS85" s="2263"/>
      <c r="CT85" s="2263"/>
      <c r="CU85" s="2263"/>
      <c r="CV85" s="2263"/>
      <c r="CW85" s="2263"/>
      <c r="CX85" s="2263"/>
      <c r="CY85" s="2263"/>
      <c r="CZ85" s="2263"/>
      <c r="DA85" s="2263"/>
      <c r="DB85" s="2263"/>
      <c r="DC85" s="2263"/>
      <c r="DD85" s="2263"/>
      <c r="DE85" s="2263"/>
      <c r="DF85" s="2263"/>
      <c r="DG85" s="2263"/>
      <c r="DH85" s="2263"/>
      <c r="DI85" s="2263"/>
      <c r="DJ85" s="2263"/>
      <c r="DK85" s="2263"/>
      <c r="DL85" s="2264"/>
      <c r="DM85" s="202"/>
      <c r="DN85" s="45"/>
      <c r="DO85" s="45"/>
      <c r="DP85" s="45"/>
      <c r="DQ85" s="45"/>
      <c r="DR85" s="45"/>
      <c r="DS85" s="109"/>
      <c r="DT85" s="45"/>
      <c r="DU85" s="45"/>
      <c r="DV85" s="45"/>
      <c r="DW85" s="45"/>
      <c r="DX85" s="45"/>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row>
    <row r="86" spans="1:165" s="200" customFormat="1" ht="7.5" customHeight="1" thickBot="1">
      <c r="A86" s="199"/>
      <c r="B86" s="2265"/>
      <c r="C86" s="2266"/>
      <c r="D86" s="2266"/>
      <c r="E86" s="2266"/>
      <c r="F86" s="2266"/>
      <c r="G86" s="2266"/>
      <c r="H86" s="2266"/>
      <c r="I86" s="2266"/>
      <c r="J86" s="2266"/>
      <c r="K86" s="2266"/>
      <c r="L86" s="2266"/>
      <c r="M86" s="2266"/>
      <c r="N86" s="2266"/>
      <c r="O86" s="2266"/>
      <c r="P86" s="2266"/>
      <c r="Q86" s="2266"/>
      <c r="R86" s="2266"/>
      <c r="S86" s="2266"/>
      <c r="T86" s="2266"/>
      <c r="U86" s="2266"/>
      <c r="V86" s="2266"/>
      <c r="W86" s="2266"/>
      <c r="X86" s="2266"/>
      <c r="Y86" s="2266"/>
      <c r="Z86" s="2266"/>
      <c r="AA86" s="2266"/>
      <c r="AB86" s="2266"/>
      <c r="AC86" s="2266"/>
      <c r="AD86" s="2266"/>
      <c r="AE86" s="2266"/>
      <c r="AF86" s="2266"/>
      <c r="AG86" s="2266"/>
      <c r="AH86" s="2266"/>
      <c r="AI86" s="2266"/>
      <c r="AJ86" s="2266"/>
      <c r="AK86" s="2266"/>
      <c r="AL86" s="2266"/>
      <c r="AM86" s="2266"/>
      <c r="AN86" s="2266"/>
      <c r="AO86" s="2266"/>
      <c r="AP86" s="2266"/>
      <c r="AQ86" s="2266"/>
      <c r="AR86" s="2266"/>
      <c r="AS86" s="2266"/>
      <c r="AT86" s="2266"/>
      <c r="AU86" s="2266"/>
      <c r="AV86" s="2266"/>
      <c r="AW86" s="2266"/>
      <c r="AX86" s="2266"/>
      <c r="AY86" s="2266"/>
      <c r="AZ86" s="2266"/>
      <c r="BA86" s="2266"/>
      <c r="BB86" s="2266"/>
      <c r="BC86" s="2266"/>
      <c r="BD86" s="2266"/>
      <c r="BE86" s="2266"/>
      <c r="BF86" s="2266"/>
      <c r="BG86" s="2266"/>
      <c r="BH86" s="2266"/>
      <c r="BI86" s="2266"/>
      <c r="BJ86" s="2266"/>
      <c r="BK86" s="2266"/>
      <c r="BL86" s="2266"/>
      <c r="BM86" s="2266"/>
      <c r="BN86" s="2266"/>
      <c r="BO86" s="2266"/>
      <c r="BP86" s="2266"/>
      <c r="BQ86" s="2266"/>
      <c r="BR86" s="2266"/>
      <c r="BS86" s="2266"/>
      <c r="BT86" s="2266"/>
      <c r="BU86" s="2266"/>
      <c r="BV86" s="2266"/>
      <c r="BW86" s="2266"/>
      <c r="BX86" s="2266"/>
      <c r="BY86" s="2266"/>
      <c r="BZ86" s="2266"/>
      <c r="CA86" s="2266"/>
      <c r="CB86" s="2266"/>
      <c r="CC86" s="2266"/>
      <c r="CD86" s="2266"/>
      <c r="CE86" s="2266"/>
      <c r="CF86" s="2266"/>
      <c r="CG86" s="2266"/>
      <c r="CH86" s="2266"/>
      <c r="CI86" s="2266"/>
      <c r="CJ86" s="2266"/>
      <c r="CK86" s="2266"/>
      <c r="CL86" s="2266"/>
      <c r="CM86" s="2266"/>
      <c r="CN86" s="2266"/>
      <c r="CO86" s="2266"/>
      <c r="CP86" s="2266"/>
      <c r="CQ86" s="2266"/>
      <c r="CR86" s="2266"/>
      <c r="CS86" s="2266"/>
      <c r="CT86" s="2266"/>
      <c r="CU86" s="2266"/>
      <c r="CV86" s="2266"/>
      <c r="CW86" s="2266"/>
      <c r="CX86" s="2266"/>
      <c r="CY86" s="2266"/>
      <c r="CZ86" s="2266"/>
      <c r="DA86" s="2266"/>
      <c r="DB86" s="2266"/>
      <c r="DC86" s="2266"/>
      <c r="DD86" s="2266"/>
      <c r="DE86" s="2266"/>
      <c r="DF86" s="2266"/>
      <c r="DG86" s="2266"/>
      <c r="DH86" s="2266"/>
      <c r="DI86" s="2266"/>
      <c r="DJ86" s="2266"/>
      <c r="DK86" s="2266"/>
      <c r="DL86" s="2267"/>
      <c r="DM86" s="202"/>
      <c r="DN86" s="45"/>
      <c r="DO86" s="45"/>
      <c r="DP86" s="45"/>
      <c r="DQ86" s="109"/>
      <c r="DR86" s="45"/>
      <c r="DS86" s="45"/>
      <c r="DT86" s="45"/>
      <c r="DU86" s="45"/>
      <c r="DV86" s="45"/>
      <c r="DW86" s="45"/>
      <c r="DX86" s="45"/>
      <c r="DY86" s="45"/>
      <c r="DZ86" s="45"/>
      <c r="EA86" s="45"/>
      <c r="EB86" s="45"/>
      <c r="EC86" s="45"/>
      <c r="ED86" s="45"/>
      <c r="EE86" s="45"/>
      <c r="EF86" s="45"/>
      <c r="EG86" s="45"/>
      <c r="EH86" s="45"/>
      <c r="EI86" s="45"/>
      <c r="EJ86" s="45"/>
      <c r="EK86" s="45"/>
      <c r="EL86" s="45"/>
      <c r="EM86" s="45"/>
      <c r="EN86" s="45"/>
      <c r="EO86" s="45"/>
      <c r="EP86" s="45"/>
      <c r="EQ86" s="45"/>
      <c r="ER86" s="45"/>
      <c r="ES86" s="45"/>
      <c r="ET86" s="45"/>
      <c r="EU86" s="45"/>
      <c r="EV86" s="45"/>
      <c r="EW86" s="45"/>
      <c r="EX86" s="45"/>
      <c r="EY86" s="45"/>
      <c r="EZ86" s="45"/>
      <c r="FA86" s="45"/>
      <c r="FB86" s="45"/>
      <c r="FC86" s="45"/>
      <c r="FD86" s="45"/>
      <c r="FE86" s="45"/>
      <c r="FF86" s="45"/>
      <c r="FG86" s="45"/>
      <c r="FH86" s="45"/>
      <c r="FI86" s="45"/>
    </row>
    <row r="87" spans="1:165" ht="7.5" customHeight="1" thickTop="1">
      <c r="B87" s="1295" t="s">
        <v>241</v>
      </c>
      <c r="C87" s="1296"/>
      <c r="D87" s="1296"/>
      <c r="E87" s="1296"/>
      <c r="F87" s="1296"/>
      <c r="G87" s="1296"/>
      <c r="H87" s="1296"/>
      <c r="I87" s="1296"/>
      <c r="J87" s="1299"/>
      <c r="K87" s="1300"/>
      <c r="L87" s="1300"/>
      <c r="M87" s="1300"/>
      <c r="N87" s="1300"/>
      <c r="O87" s="1300"/>
      <c r="P87" s="1300"/>
      <c r="Q87" s="1300"/>
      <c r="R87" s="1300"/>
      <c r="S87" s="1300"/>
      <c r="T87" s="1300"/>
      <c r="U87" s="1301"/>
      <c r="V87" s="1305" t="s">
        <v>242</v>
      </c>
      <c r="W87" s="1238"/>
      <c r="X87" s="1238"/>
      <c r="Y87" s="1238"/>
      <c r="Z87" s="1238"/>
      <c r="AA87" s="1238"/>
      <c r="AB87" s="1238"/>
      <c r="AC87" s="1239"/>
      <c r="AD87" s="1300"/>
      <c r="AE87" s="1300"/>
      <c r="AF87" s="1300"/>
      <c r="AG87" s="1300"/>
      <c r="AH87" s="1300"/>
      <c r="AI87" s="1300"/>
      <c r="AJ87" s="1300"/>
      <c r="AK87" s="1300"/>
      <c r="AL87" s="1300"/>
      <c r="AM87" s="1300"/>
      <c r="AN87" s="1300"/>
      <c r="AO87" s="1300"/>
      <c r="AP87" s="1300"/>
      <c r="AQ87" s="1300"/>
      <c r="AR87" s="1300"/>
      <c r="AS87" s="1305" t="s">
        <v>391</v>
      </c>
      <c r="AT87" s="1238"/>
      <c r="AU87" s="1238"/>
      <c r="AV87" s="1238"/>
      <c r="AW87" s="1238"/>
      <c r="AX87" s="1238"/>
      <c r="AY87" s="1238"/>
      <c r="AZ87" s="1239"/>
      <c r="BA87" s="1307"/>
      <c r="BB87" s="1308"/>
      <c r="BC87" s="1308"/>
      <c r="BD87" s="1308"/>
      <c r="BE87" s="1308"/>
      <c r="BF87" s="1308"/>
      <c r="BG87" s="1305" t="s">
        <v>246</v>
      </c>
      <c r="BH87" s="1238"/>
      <c r="BI87" s="1238"/>
      <c r="BJ87" s="1238"/>
      <c r="BK87" s="1238"/>
      <c r="BL87" s="1238"/>
      <c r="BM87" s="1238"/>
      <c r="BN87" s="1239"/>
      <c r="BO87" s="1363"/>
      <c r="BP87" s="1364"/>
      <c r="BQ87" s="1364"/>
      <c r="BR87" s="1305" t="s">
        <v>392</v>
      </c>
      <c r="BS87" s="1372"/>
      <c r="BT87" s="1372"/>
      <c r="BU87" s="1372"/>
      <c r="BV87" s="1372"/>
      <c r="BW87" s="1372"/>
      <c r="BX87" s="1372"/>
      <c r="BY87" s="1373"/>
      <c r="BZ87" s="1395"/>
      <c r="CA87" s="1396"/>
      <c r="CB87" s="1396"/>
      <c r="CC87" s="1396"/>
      <c r="CD87" s="1396"/>
      <c r="CE87" s="1396"/>
      <c r="CF87" s="1396"/>
      <c r="CG87" s="1396"/>
      <c r="CH87" s="1396"/>
      <c r="CI87" s="1396"/>
      <c r="CJ87" s="1396"/>
      <c r="CK87" s="1396"/>
      <c r="CL87" s="1396"/>
      <c r="CM87" s="1396"/>
      <c r="CN87" s="1396"/>
      <c r="CO87" s="1396"/>
      <c r="CP87" s="1396"/>
      <c r="CQ87" s="1396"/>
      <c r="CR87" s="1396"/>
      <c r="CS87" s="1396"/>
      <c r="CT87" s="1396"/>
      <c r="CU87" s="1396"/>
      <c r="CV87" s="1396"/>
      <c r="CW87" s="1396"/>
      <c r="CX87" s="1396"/>
      <c r="CY87" s="1404" t="s">
        <v>38</v>
      </c>
      <c r="CZ87" s="1238"/>
      <c r="DA87" s="1238"/>
      <c r="DB87" s="1238"/>
      <c r="DC87" s="1238"/>
      <c r="DD87" s="1238"/>
      <c r="DE87" s="1238"/>
      <c r="DF87" s="1239"/>
      <c r="DG87" s="1299"/>
      <c r="DH87" s="1300"/>
      <c r="DI87" s="1300"/>
      <c r="DJ87" s="1300"/>
      <c r="DK87" s="1300"/>
      <c r="DL87" s="1407"/>
      <c r="DQ87" s="109"/>
    </row>
    <row r="88" spans="1:165" ht="7.5" customHeight="1">
      <c r="B88" s="1297"/>
      <c r="C88" s="1298"/>
      <c r="D88" s="1298"/>
      <c r="E88" s="1298"/>
      <c r="F88" s="1298"/>
      <c r="G88" s="1298"/>
      <c r="H88" s="1298"/>
      <c r="I88" s="1298"/>
      <c r="J88" s="1302"/>
      <c r="K88" s="1303"/>
      <c r="L88" s="1303"/>
      <c r="M88" s="1303"/>
      <c r="N88" s="1303"/>
      <c r="O88" s="1303"/>
      <c r="P88" s="1303"/>
      <c r="Q88" s="1303"/>
      <c r="R88" s="1303"/>
      <c r="S88" s="1303"/>
      <c r="T88" s="1303"/>
      <c r="U88" s="1304"/>
      <c r="V88" s="1306"/>
      <c r="W88" s="1241"/>
      <c r="X88" s="1241"/>
      <c r="Y88" s="1241"/>
      <c r="Z88" s="1241"/>
      <c r="AA88" s="1241"/>
      <c r="AB88" s="1241"/>
      <c r="AC88" s="1242"/>
      <c r="AD88" s="1303"/>
      <c r="AE88" s="1303"/>
      <c r="AF88" s="1303"/>
      <c r="AG88" s="1303"/>
      <c r="AH88" s="1303"/>
      <c r="AI88" s="1303"/>
      <c r="AJ88" s="1303"/>
      <c r="AK88" s="1303"/>
      <c r="AL88" s="1303"/>
      <c r="AM88" s="1303"/>
      <c r="AN88" s="1303"/>
      <c r="AO88" s="1303"/>
      <c r="AP88" s="1303"/>
      <c r="AQ88" s="1303"/>
      <c r="AR88" s="1303"/>
      <c r="AS88" s="1306"/>
      <c r="AT88" s="1241"/>
      <c r="AU88" s="1241"/>
      <c r="AV88" s="1241"/>
      <c r="AW88" s="1241"/>
      <c r="AX88" s="1241"/>
      <c r="AY88" s="1241"/>
      <c r="AZ88" s="1242"/>
      <c r="BA88" s="1310"/>
      <c r="BB88" s="1311"/>
      <c r="BC88" s="1311"/>
      <c r="BD88" s="1311"/>
      <c r="BE88" s="1311"/>
      <c r="BF88" s="1311"/>
      <c r="BG88" s="1306"/>
      <c r="BH88" s="1241"/>
      <c r="BI88" s="1241"/>
      <c r="BJ88" s="1241"/>
      <c r="BK88" s="1241"/>
      <c r="BL88" s="1241"/>
      <c r="BM88" s="1241"/>
      <c r="BN88" s="1242"/>
      <c r="BO88" s="1366"/>
      <c r="BP88" s="1367"/>
      <c r="BQ88" s="1367"/>
      <c r="BR88" s="1374"/>
      <c r="BS88" s="1375"/>
      <c r="BT88" s="1375"/>
      <c r="BU88" s="1375"/>
      <c r="BV88" s="1375"/>
      <c r="BW88" s="1375"/>
      <c r="BX88" s="1375"/>
      <c r="BY88" s="1376"/>
      <c r="BZ88" s="1398"/>
      <c r="CA88" s="1399"/>
      <c r="CB88" s="1399"/>
      <c r="CC88" s="1399"/>
      <c r="CD88" s="1399"/>
      <c r="CE88" s="1399"/>
      <c r="CF88" s="1399"/>
      <c r="CG88" s="1399"/>
      <c r="CH88" s="1399"/>
      <c r="CI88" s="1399"/>
      <c r="CJ88" s="1399"/>
      <c r="CK88" s="1399"/>
      <c r="CL88" s="1399"/>
      <c r="CM88" s="1399"/>
      <c r="CN88" s="1399"/>
      <c r="CO88" s="1399"/>
      <c r="CP88" s="1399"/>
      <c r="CQ88" s="1399"/>
      <c r="CR88" s="1399"/>
      <c r="CS88" s="1399"/>
      <c r="CT88" s="1399"/>
      <c r="CU88" s="1399"/>
      <c r="CV88" s="1399"/>
      <c r="CW88" s="1399"/>
      <c r="CX88" s="1399"/>
      <c r="CY88" s="1405"/>
      <c r="CZ88" s="1241"/>
      <c r="DA88" s="1241"/>
      <c r="DB88" s="1241"/>
      <c r="DC88" s="1241"/>
      <c r="DD88" s="1241"/>
      <c r="DE88" s="1241"/>
      <c r="DF88" s="1242"/>
      <c r="DG88" s="1302"/>
      <c r="DH88" s="1303"/>
      <c r="DI88" s="1303"/>
      <c r="DJ88" s="1303"/>
      <c r="DK88" s="1303"/>
      <c r="DL88" s="1408"/>
    </row>
    <row r="89" spans="1:165" ht="7.5" customHeight="1">
      <c r="B89" s="1297"/>
      <c r="C89" s="1298"/>
      <c r="D89" s="1298"/>
      <c r="E89" s="1298"/>
      <c r="F89" s="1298"/>
      <c r="G89" s="1298"/>
      <c r="H89" s="1298"/>
      <c r="I89" s="1298"/>
      <c r="J89" s="1302"/>
      <c r="K89" s="1303"/>
      <c r="L89" s="1303"/>
      <c r="M89" s="1303"/>
      <c r="N89" s="1303"/>
      <c r="O89" s="1303"/>
      <c r="P89" s="1303"/>
      <c r="Q89" s="1303"/>
      <c r="R89" s="1303"/>
      <c r="S89" s="1303"/>
      <c r="T89" s="1303"/>
      <c r="U89" s="1304"/>
      <c r="V89" s="1306"/>
      <c r="W89" s="1241"/>
      <c r="X89" s="1241"/>
      <c r="Y89" s="1241"/>
      <c r="Z89" s="1241"/>
      <c r="AA89" s="1241"/>
      <c r="AB89" s="1241"/>
      <c r="AC89" s="1242"/>
      <c r="AD89" s="1303"/>
      <c r="AE89" s="1303"/>
      <c r="AF89" s="1303"/>
      <c r="AG89" s="1303"/>
      <c r="AH89" s="1303"/>
      <c r="AI89" s="1303"/>
      <c r="AJ89" s="1303"/>
      <c r="AK89" s="1303"/>
      <c r="AL89" s="1303"/>
      <c r="AM89" s="1303"/>
      <c r="AN89" s="1303"/>
      <c r="AO89" s="1303"/>
      <c r="AP89" s="1303"/>
      <c r="AQ89" s="1303"/>
      <c r="AR89" s="1303"/>
      <c r="AS89" s="1306"/>
      <c r="AT89" s="1241"/>
      <c r="AU89" s="1241"/>
      <c r="AV89" s="1241"/>
      <c r="AW89" s="1241"/>
      <c r="AX89" s="1241"/>
      <c r="AY89" s="1241"/>
      <c r="AZ89" s="1242"/>
      <c r="BA89" s="1310"/>
      <c r="BB89" s="1311"/>
      <c r="BC89" s="1311"/>
      <c r="BD89" s="1311"/>
      <c r="BE89" s="1311"/>
      <c r="BF89" s="1311"/>
      <c r="BG89" s="1306"/>
      <c r="BH89" s="1241"/>
      <c r="BI89" s="1241"/>
      <c r="BJ89" s="1241"/>
      <c r="BK89" s="1241"/>
      <c r="BL89" s="1241"/>
      <c r="BM89" s="1241"/>
      <c r="BN89" s="1242"/>
      <c r="BO89" s="1778"/>
      <c r="BP89" s="1779"/>
      <c r="BQ89" s="1779"/>
      <c r="BR89" s="1374"/>
      <c r="BS89" s="1375"/>
      <c r="BT89" s="1375"/>
      <c r="BU89" s="1375"/>
      <c r="BV89" s="1375"/>
      <c r="BW89" s="1375"/>
      <c r="BX89" s="1375"/>
      <c r="BY89" s="1376"/>
      <c r="BZ89" s="1705"/>
      <c r="CA89" s="1706"/>
      <c r="CB89" s="1706"/>
      <c r="CC89" s="1706"/>
      <c r="CD89" s="1706"/>
      <c r="CE89" s="1706"/>
      <c r="CF89" s="1706"/>
      <c r="CG89" s="1706"/>
      <c r="CH89" s="1706"/>
      <c r="CI89" s="1706"/>
      <c r="CJ89" s="1706"/>
      <c r="CK89" s="1706"/>
      <c r="CL89" s="1706"/>
      <c r="CM89" s="1706"/>
      <c r="CN89" s="1706"/>
      <c r="CO89" s="1706"/>
      <c r="CP89" s="1706"/>
      <c r="CQ89" s="1706"/>
      <c r="CR89" s="1706"/>
      <c r="CS89" s="1706"/>
      <c r="CT89" s="1706"/>
      <c r="CU89" s="1706"/>
      <c r="CV89" s="1706"/>
      <c r="CW89" s="1706"/>
      <c r="CX89" s="1706"/>
      <c r="CY89" s="1405"/>
      <c r="CZ89" s="1241"/>
      <c r="DA89" s="1241"/>
      <c r="DB89" s="1241"/>
      <c r="DC89" s="1241"/>
      <c r="DD89" s="1241"/>
      <c r="DE89" s="1241"/>
      <c r="DF89" s="1242"/>
      <c r="DG89" s="1302"/>
      <c r="DH89" s="1303"/>
      <c r="DI89" s="1303"/>
      <c r="DJ89" s="1410"/>
      <c r="DK89" s="1410"/>
      <c r="DL89" s="1411"/>
    </row>
    <row r="90" spans="1:165" ht="7.5" customHeight="1">
      <c r="B90" s="1240" t="s">
        <v>393</v>
      </c>
      <c r="C90" s="1241"/>
      <c r="D90" s="1241"/>
      <c r="E90" s="1241"/>
      <c r="F90" s="1241"/>
      <c r="G90" s="1241"/>
      <c r="H90" s="1241"/>
      <c r="I90" s="1242"/>
      <c r="J90" s="1338">
        <v>20</v>
      </c>
      <c r="K90" s="1338"/>
      <c r="L90" s="1338"/>
      <c r="M90" s="1338"/>
      <c r="N90" s="1340"/>
      <c r="O90" s="1340"/>
      <c r="P90" s="1340"/>
      <c r="Q90" s="1340"/>
      <c r="R90" s="1342" t="s">
        <v>0</v>
      </c>
      <c r="S90" s="1342"/>
      <c r="T90" s="1342"/>
      <c r="U90" s="1344"/>
      <c r="V90" s="1344"/>
      <c r="W90" s="1344"/>
      <c r="X90" s="1344"/>
      <c r="Y90" s="1342" t="s">
        <v>1</v>
      </c>
      <c r="Z90" s="1342"/>
      <c r="AA90" s="1342"/>
      <c r="AB90" s="1346">
        <v>1</v>
      </c>
      <c r="AC90" s="1346"/>
      <c r="AD90" s="1346"/>
      <c r="AE90" s="1348" t="s">
        <v>394</v>
      </c>
      <c r="AF90" s="1348"/>
      <c r="AG90" s="1348"/>
      <c r="AH90" s="1349"/>
      <c r="AI90" s="1830" t="s">
        <v>395</v>
      </c>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3"/>
      <c r="BE90" s="1714" t="s">
        <v>396</v>
      </c>
      <c r="BF90" s="1714"/>
      <c r="BG90" s="1714"/>
      <c r="BH90" s="1714"/>
      <c r="BI90" s="1714"/>
      <c r="BJ90" s="1714"/>
      <c r="BK90" s="1306" t="s">
        <v>397</v>
      </c>
      <c r="BL90" s="1241"/>
      <c r="BM90" s="1241"/>
      <c r="BN90" s="1241"/>
      <c r="BO90" s="1242"/>
      <c r="BP90" s="2235"/>
      <c r="BQ90" s="2236"/>
      <c r="BR90" s="2236"/>
      <c r="BS90" s="2236"/>
      <c r="BT90" s="2236"/>
      <c r="BU90" s="2236"/>
      <c r="BV90" s="2236"/>
      <c r="BW90" s="2236"/>
      <c r="BX90" s="2236"/>
      <c r="BY90" s="2236"/>
      <c r="BZ90" s="2236"/>
      <c r="CA90" s="2237"/>
      <c r="CB90" s="1306" t="s">
        <v>398</v>
      </c>
      <c r="CC90" s="1241"/>
      <c r="CD90" s="1241"/>
      <c r="CE90" s="1241"/>
      <c r="CF90" s="1241"/>
      <c r="CG90" s="1241"/>
      <c r="CH90" s="1241"/>
      <c r="CI90" s="1242"/>
      <c r="CJ90" s="2212"/>
      <c r="CK90" s="2082"/>
      <c r="CL90" s="2213"/>
      <c r="CM90" s="2178"/>
      <c r="CN90" s="2179"/>
      <c r="CO90" s="2179"/>
      <c r="CP90" s="2179"/>
      <c r="CQ90" s="2179"/>
      <c r="CR90" s="2179"/>
      <c r="CS90" s="2179"/>
      <c r="CT90" s="2179"/>
      <c r="CU90" s="2208"/>
      <c r="CV90" s="2209"/>
      <c r="CW90" s="2209"/>
      <c r="CX90" s="2209"/>
      <c r="CY90" s="2317" t="s">
        <v>1211</v>
      </c>
      <c r="CZ90" s="2318"/>
      <c r="DA90" s="2318"/>
      <c r="DB90" s="2318"/>
      <c r="DC90" s="2318"/>
      <c r="DD90" s="2318"/>
      <c r="DE90" s="2318"/>
      <c r="DF90" s="2318"/>
      <c r="DG90" s="2318"/>
      <c r="DH90" s="2318"/>
      <c r="DI90" s="2318"/>
      <c r="DJ90" s="2319"/>
      <c r="DK90" s="2320"/>
      <c r="DL90" s="2321"/>
    </row>
    <row r="91" spans="1:165" ht="7.5" customHeight="1">
      <c r="B91" s="1240"/>
      <c r="C91" s="1241"/>
      <c r="D91" s="1241"/>
      <c r="E91" s="1241"/>
      <c r="F91" s="1241"/>
      <c r="G91" s="1241"/>
      <c r="H91" s="1241"/>
      <c r="I91" s="1242"/>
      <c r="J91" s="1338"/>
      <c r="K91" s="1338"/>
      <c r="L91" s="1338"/>
      <c r="M91" s="1338"/>
      <c r="N91" s="1340"/>
      <c r="O91" s="1340"/>
      <c r="P91" s="1340"/>
      <c r="Q91" s="1340"/>
      <c r="R91" s="1342"/>
      <c r="S91" s="1342"/>
      <c r="T91" s="1342"/>
      <c r="U91" s="1344"/>
      <c r="V91" s="1344"/>
      <c r="W91" s="1344"/>
      <c r="X91" s="1344"/>
      <c r="Y91" s="1342"/>
      <c r="Z91" s="1342"/>
      <c r="AA91" s="1342"/>
      <c r="AB91" s="1346"/>
      <c r="AC91" s="1346"/>
      <c r="AD91" s="1346"/>
      <c r="AE91" s="1348"/>
      <c r="AF91" s="1348"/>
      <c r="AG91" s="1348"/>
      <c r="AH91" s="1349"/>
      <c r="AI91" s="1830"/>
      <c r="AJ91" s="1831"/>
      <c r="AK91" s="1831"/>
      <c r="AL91" s="1831"/>
      <c r="AM91" s="1831"/>
      <c r="AN91" s="1831"/>
      <c r="AO91" s="1831"/>
      <c r="AP91" s="1831"/>
      <c r="AQ91" s="1831"/>
      <c r="AR91" s="1831"/>
      <c r="AS91" s="1831"/>
      <c r="AT91" s="1831"/>
      <c r="AU91" s="1831"/>
      <c r="AV91" s="1831"/>
      <c r="AW91" s="1831"/>
      <c r="AX91" s="1831"/>
      <c r="AY91" s="1831"/>
      <c r="AZ91" s="1831"/>
      <c r="BA91" s="1831"/>
      <c r="BB91" s="1831"/>
      <c r="BC91" s="1831"/>
      <c r="BD91" s="1833"/>
      <c r="BE91" s="1717"/>
      <c r="BF91" s="1717"/>
      <c r="BG91" s="1717"/>
      <c r="BH91" s="1717"/>
      <c r="BI91" s="1717"/>
      <c r="BJ91" s="1717"/>
      <c r="BK91" s="1306"/>
      <c r="BL91" s="1241"/>
      <c r="BM91" s="1241"/>
      <c r="BN91" s="1241"/>
      <c r="BO91" s="1242"/>
      <c r="BP91" s="2235"/>
      <c r="BQ91" s="2236"/>
      <c r="BR91" s="2236"/>
      <c r="BS91" s="2236"/>
      <c r="BT91" s="2236"/>
      <c r="BU91" s="2236"/>
      <c r="BV91" s="2236"/>
      <c r="BW91" s="2236"/>
      <c r="BX91" s="2236"/>
      <c r="BY91" s="2236"/>
      <c r="BZ91" s="2236"/>
      <c r="CA91" s="2237"/>
      <c r="CB91" s="1306"/>
      <c r="CC91" s="1241"/>
      <c r="CD91" s="1241"/>
      <c r="CE91" s="1241"/>
      <c r="CF91" s="1241"/>
      <c r="CG91" s="1241"/>
      <c r="CH91" s="1241"/>
      <c r="CI91" s="1242"/>
      <c r="CJ91" s="2212"/>
      <c r="CK91" s="2082"/>
      <c r="CL91" s="2213"/>
      <c r="CM91" s="2178"/>
      <c r="CN91" s="2179"/>
      <c r="CO91" s="2179"/>
      <c r="CP91" s="2179"/>
      <c r="CQ91" s="2179"/>
      <c r="CR91" s="2179"/>
      <c r="CS91" s="2179"/>
      <c r="CT91" s="2179"/>
      <c r="CU91" s="2210"/>
      <c r="CV91" s="2211"/>
      <c r="CW91" s="2211"/>
      <c r="CX91" s="2211"/>
      <c r="CY91" s="1389"/>
      <c r="CZ91" s="1390"/>
      <c r="DA91" s="1390"/>
      <c r="DB91" s="1390"/>
      <c r="DC91" s="1390"/>
      <c r="DD91" s="1390"/>
      <c r="DE91" s="1390"/>
      <c r="DF91" s="1390"/>
      <c r="DG91" s="1390"/>
      <c r="DH91" s="1390"/>
      <c r="DI91" s="1390"/>
      <c r="DJ91" s="2322"/>
      <c r="DK91" s="2323"/>
      <c r="DL91" s="2324"/>
      <c r="DQ91" s="109"/>
    </row>
    <row r="92" spans="1:165" ht="7.5" customHeight="1">
      <c r="B92" s="1335"/>
      <c r="C92" s="1336"/>
      <c r="D92" s="1336"/>
      <c r="E92" s="1336"/>
      <c r="F92" s="1336"/>
      <c r="G92" s="1336"/>
      <c r="H92" s="1336"/>
      <c r="I92" s="1337"/>
      <c r="J92" s="1339"/>
      <c r="K92" s="1339"/>
      <c r="L92" s="1339"/>
      <c r="M92" s="1339"/>
      <c r="N92" s="1341"/>
      <c r="O92" s="1341"/>
      <c r="P92" s="1341"/>
      <c r="Q92" s="1341"/>
      <c r="R92" s="1343"/>
      <c r="S92" s="1343"/>
      <c r="T92" s="1343"/>
      <c r="U92" s="1345"/>
      <c r="V92" s="1345"/>
      <c r="W92" s="1345"/>
      <c r="X92" s="1345"/>
      <c r="Y92" s="1343"/>
      <c r="Z92" s="1343"/>
      <c r="AA92" s="1343"/>
      <c r="AB92" s="1347"/>
      <c r="AC92" s="1347"/>
      <c r="AD92" s="1347"/>
      <c r="AE92" s="1350"/>
      <c r="AF92" s="1350"/>
      <c r="AG92" s="1350"/>
      <c r="AH92" s="1351"/>
      <c r="AI92" s="1834"/>
      <c r="AJ92" s="1835"/>
      <c r="AK92" s="1835"/>
      <c r="AL92" s="1835"/>
      <c r="AM92" s="1835"/>
      <c r="AN92" s="1835"/>
      <c r="AO92" s="1835"/>
      <c r="AP92" s="1835"/>
      <c r="AQ92" s="1835"/>
      <c r="AR92" s="1835"/>
      <c r="AS92" s="1835"/>
      <c r="AT92" s="1835"/>
      <c r="AU92" s="1835"/>
      <c r="AV92" s="1835"/>
      <c r="AW92" s="1835"/>
      <c r="AX92" s="1835"/>
      <c r="AY92" s="1835"/>
      <c r="AZ92" s="1835"/>
      <c r="BA92" s="1835"/>
      <c r="BB92" s="1835"/>
      <c r="BC92" s="1835"/>
      <c r="BD92" s="1836"/>
      <c r="BE92" s="1717"/>
      <c r="BF92" s="1717"/>
      <c r="BG92" s="1717"/>
      <c r="BH92" s="1717"/>
      <c r="BI92" s="1717"/>
      <c r="BJ92" s="1717"/>
      <c r="BK92" s="1362"/>
      <c r="BL92" s="1275"/>
      <c r="BM92" s="1275"/>
      <c r="BN92" s="1275"/>
      <c r="BO92" s="1276"/>
      <c r="BP92" s="1708"/>
      <c r="BQ92" s="1709"/>
      <c r="BR92" s="1709"/>
      <c r="BS92" s="1709"/>
      <c r="BT92" s="1709"/>
      <c r="BU92" s="1709"/>
      <c r="BV92" s="1709"/>
      <c r="BW92" s="1709"/>
      <c r="BX92" s="1709"/>
      <c r="BY92" s="1709"/>
      <c r="BZ92" s="1709"/>
      <c r="CA92" s="2238"/>
      <c r="CB92" s="1362"/>
      <c r="CC92" s="1275"/>
      <c r="CD92" s="1275"/>
      <c r="CE92" s="1275"/>
      <c r="CF92" s="1275"/>
      <c r="CG92" s="1275"/>
      <c r="CH92" s="1275"/>
      <c r="CI92" s="1276"/>
      <c r="CJ92" s="1858"/>
      <c r="CK92" s="1425"/>
      <c r="CL92" s="1426"/>
      <c r="CM92" s="2180"/>
      <c r="CN92" s="2181"/>
      <c r="CO92" s="2181"/>
      <c r="CP92" s="2181"/>
      <c r="CQ92" s="2181"/>
      <c r="CR92" s="2181"/>
      <c r="CS92" s="2181"/>
      <c r="CT92" s="2181"/>
      <c r="CU92" s="2210"/>
      <c r="CV92" s="2211"/>
      <c r="CW92" s="2211"/>
      <c r="CX92" s="2211"/>
      <c r="CY92" s="1389"/>
      <c r="CZ92" s="1390"/>
      <c r="DA92" s="1390"/>
      <c r="DB92" s="1390"/>
      <c r="DC92" s="1390"/>
      <c r="DD92" s="1390"/>
      <c r="DE92" s="1390"/>
      <c r="DF92" s="1390"/>
      <c r="DG92" s="1390"/>
      <c r="DH92" s="1390"/>
      <c r="DI92" s="1390"/>
      <c r="DJ92" s="2322"/>
      <c r="DK92" s="2323"/>
      <c r="DL92" s="2324"/>
    </row>
    <row r="93" spans="1:165" ht="7.5" customHeight="1">
      <c r="B93" s="1476"/>
      <c r="C93" s="774"/>
      <c r="D93" s="774"/>
      <c r="E93" s="774"/>
      <c r="F93" s="774"/>
      <c r="G93" s="774"/>
      <c r="H93" s="774"/>
      <c r="I93" s="774"/>
      <c r="J93" s="774"/>
      <c r="K93" s="774"/>
      <c r="L93" s="774"/>
      <c r="M93" s="774"/>
      <c r="N93" s="774"/>
      <c r="O93" s="774"/>
      <c r="P93" s="774"/>
      <c r="Q93" s="774"/>
      <c r="R93" s="774"/>
      <c r="S93" s="774"/>
      <c r="T93" s="774"/>
      <c r="U93" s="774"/>
      <c r="V93" s="774"/>
      <c r="W93" s="774"/>
      <c r="X93" s="774"/>
      <c r="Y93" s="774"/>
      <c r="Z93" s="774"/>
      <c r="AA93" s="774"/>
      <c r="AB93" s="774"/>
      <c r="AC93" s="774"/>
      <c r="AD93" s="774"/>
      <c r="AE93" s="774"/>
      <c r="AF93" s="774"/>
      <c r="AG93" s="774"/>
      <c r="AH93" s="774"/>
      <c r="AI93" s="774"/>
      <c r="AJ93" s="774"/>
      <c r="AK93" s="774"/>
      <c r="AL93" s="774"/>
      <c r="AM93" s="774"/>
      <c r="AN93" s="774"/>
      <c r="AO93" s="774"/>
      <c r="AP93" s="774"/>
      <c r="AQ93" s="774"/>
      <c r="AR93" s="774"/>
      <c r="AS93" s="774"/>
      <c r="AT93" s="774"/>
      <c r="AU93" s="774"/>
      <c r="AV93" s="774"/>
      <c r="AW93" s="774"/>
      <c r="AX93" s="774"/>
      <c r="AY93" s="774"/>
      <c r="AZ93" s="774"/>
      <c r="BA93" s="774"/>
      <c r="BB93" s="774"/>
      <c r="BC93" s="774"/>
      <c r="BD93" s="2214"/>
      <c r="BE93" s="1717"/>
      <c r="BF93" s="1717"/>
      <c r="BG93" s="1717"/>
      <c r="BH93" s="1717"/>
      <c r="BI93" s="1717"/>
      <c r="BJ93" s="1717"/>
      <c r="BK93" s="2130" t="s">
        <v>1251</v>
      </c>
      <c r="BL93" s="2130"/>
      <c r="BM93" s="2130"/>
      <c r="BN93" s="2130"/>
      <c r="BO93" s="2130"/>
      <c r="BP93" s="2130"/>
      <c r="BQ93" s="2130"/>
      <c r="BR93" s="2130"/>
      <c r="BS93" s="2130"/>
      <c r="BT93" s="2131"/>
      <c r="BU93" s="1888"/>
      <c r="BV93" s="1889"/>
      <c r="BW93" s="2132"/>
      <c r="BX93" s="2124" t="s">
        <v>1209</v>
      </c>
      <c r="BY93" s="2125"/>
      <c r="BZ93" s="2125"/>
      <c r="CA93" s="2125"/>
      <c r="CB93" s="2125"/>
      <c r="CC93" s="2125"/>
      <c r="CD93" s="2125"/>
      <c r="CE93" s="2125"/>
      <c r="CF93" s="2125"/>
      <c r="CG93" s="2125"/>
      <c r="CH93" s="2125"/>
      <c r="CI93" s="2126"/>
      <c r="CJ93" s="2109"/>
      <c r="CK93" s="2110"/>
      <c r="CL93" s="2110"/>
      <c r="CM93" s="2182"/>
      <c r="CN93" s="2183"/>
      <c r="CO93" s="2183"/>
      <c r="CP93" s="2183"/>
      <c r="CQ93" s="2183"/>
      <c r="CR93" s="2183"/>
      <c r="CS93" s="2183"/>
      <c r="CT93" s="2183"/>
      <c r="CU93" s="2183"/>
      <c r="CV93" s="2183"/>
      <c r="CW93" s="2183"/>
      <c r="CX93" s="2183"/>
      <c r="CY93" s="2183"/>
      <c r="CZ93" s="2183"/>
      <c r="DA93" s="2183"/>
      <c r="DB93" s="2183"/>
      <c r="DC93" s="2183"/>
      <c r="DD93" s="2183"/>
      <c r="DE93" s="2183"/>
      <c r="DF93" s="2183"/>
      <c r="DG93" s="2183"/>
      <c r="DH93" s="2183"/>
      <c r="DI93" s="2183"/>
      <c r="DJ93" s="2183"/>
      <c r="DK93" s="2183"/>
      <c r="DL93" s="2184"/>
      <c r="DM93" s="692"/>
    </row>
    <row r="94" spans="1:165" ht="7.5" customHeight="1">
      <c r="B94" s="1476"/>
      <c r="C94" s="774"/>
      <c r="D94" s="774"/>
      <c r="E94" s="774"/>
      <c r="F94" s="774"/>
      <c r="G94" s="774"/>
      <c r="H94" s="774"/>
      <c r="I94" s="774"/>
      <c r="J94" s="774"/>
      <c r="K94" s="774"/>
      <c r="L94" s="774"/>
      <c r="M94" s="774"/>
      <c r="N94" s="774"/>
      <c r="O94" s="774"/>
      <c r="P94" s="774"/>
      <c r="Q94" s="774"/>
      <c r="R94" s="774"/>
      <c r="S94" s="774"/>
      <c r="T94" s="774"/>
      <c r="U94" s="774"/>
      <c r="V94" s="774"/>
      <c r="W94" s="774"/>
      <c r="X94" s="774"/>
      <c r="Y94" s="774"/>
      <c r="Z94" s="774"/>
      <c r="AA94" s="774"/>
      <c r="AB94" s="774"/>
      <c r="AC94" s="774"/>
      <c r="AD94" s="774"/>
      <c r="AE94" s="774"/>
      <c r="AF94" s="774"/>
      <c r="AG94" s="774"/>
      <c r="AH94" s="774"/>
      <c r="AI94" s="774"/>
      <c r="AJ94" s="774"/>
      <c r="AK94" s="774"/>
      <c r="AL94" s="774"/>
      <c r="AM94" s="774"/>
      <c r="AN94" s="774"/>
      <c r="AO94" s="774"/>
      <c r="AP94" s="774"/>
      <c r="AQ94" s="774"/>
      <c r="AR94" s="774"/>
      <c r="AS94" s="774"/>
      <c r="AT94" s="774"/>
      <c r="AU94" s="774"/>
      <c r="AV94" s="774"/>
      <c r="AW94" s="774"/>
      <c r="AX94" s="774"/>
      <c r="AY94" s="774"/>
      <c r="AZ94" s="774"/>
      <c r="BA94" s="774"/>
      <c r="BB94" s="774"/>
      <c r="BC94" s="774"/>
      <c r="BD94" s="2214"/>
      <c r="BE94" s="1717"/>
      <c r="BF94" s="1717"/>
      <c r="BG94" s="1717"/>
      <c r="BH94" s="1717"/>
      <c r="BI94" s="1717"/>
      <c r="BJ94" s="1717"/>
      <c r="BK94" s="774"/>
      <c r="BL94" s="774"/>
      <c r="BM94" s="774"/>
      <c r="BN94" s="774"/>
      <c r="BO94" s="774"/>
      <c r="BP94" s="774"/>
      <c r="BQ94" s="774"/>
      <c r="BR94" s="774"/>
      <c r="BS94" s="774"/>
      <c r="BT94" s="1423"/>
      <c r="BU94" s="1891"/>
      <c r="BV94" s="1890"/>
      <c r="BW94" s="2133"/>
      <c r="BX94" s="2127"/>
      <c r="BY94" s="2128"/>
      <c r="BZ94" s="2128"/>
      <c r="CA94" s="2128"/>
      <c r="CB94" s="2128"/>
      <c r="CC94" s="2128"/>
      <c r="CD94" s="2128"/>
      <c r="CE94" s="2128"/>
      <c r="CF94" s="2128"/>
      <c r="CG94" s="2128"/>
      <c r="CH94" s="2128"/>
      <c r="CI94" s="2129"/>
      <c r="CJ94" s="2111"/>
      <c r="CK94" s="2112"/>
      <c r="CL94" s="2112"/>
      <c r="CM94" s="2185"/>
      <c r="CN94" s="2186"/>
      <c r="CO94" s="2186"/>
      <c r="CP94" s="2186"/>
      <c r="CQ94" s="2186"/>
      <c r="CR94" s="2186"/>
      <c r="CS94" s="2186"/>
      <c r="CT94" s="2186"/>
      <c r="CU94" s="2186"/>
      <c r="CV94" s="2186"/>
      <c r="CW94" s="2186"/>
      <c r="CX94" s="2186"/>
      <c r="CY94" s="2186"/>
      <c r="CZ94" s="2186"/>
      <c r="DA94" s="2186"/>
      <c r="DB94" s="2186"/>
      <c r="DC94" s="2186"/>
      <c r="DD94" s="2186"/>
      <c r="DE94" s="2186"/>
      <c r="DF94" s="2186"/>
      <c r="DG94" s="2186"/>
      <c r="DH94" s="2186"/>
      <c r="DI94" s="2186"/>
      <c r="DJ94" s="2186"/>
      <c r="DK94" s="2186"/>
      <c r="DL94" s="2187"/>
      <c r="DM94" s="692"/>
    </row>
    <row r="95" spans="1:165" ht="7.5" customHeight="1">
      <c r="B95" s="1476"/>
      <c r="C95" s="774"/>
      <c r="D95" s="774"/>
      <c r="E95" s="774"/>
      <c r="F95" s="774"/>
      <c r="G95" s="774"/>
      <c r="H95" s="774"/>
      <c r="I95" s="774"/>
      <c r="J95" s="774"/>
      <c r="K95" s="774"/>
      <c r="L95" s="774"/>
      <c r="M95" s="774"/>
      <c r="N95" s="774"/>
      <c r="O95" s="774"/>
      <c r="P95" s="774"/>
      <c r="Q95" s="774"/>
      <c r="R95" s="774"/>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74"/>
      <c r="AR95" s="774"/>
      <c r="AS95" s="774"/>
      <c r="AT95" s="774"/>
      <c r="AU95" s="774"/>
      <c r="AV95" s="774"/>
      <c r="AW95" s="774"/>
      <c r="AX95" s="774"/>
      <c r="AY95" s="774"/>
      <c r="AZ95" s="774"/>
      <c r="BA95" s="774"/>
      <c r="BB95" s="774"/>
      <c r="BC95" s="774"/>
      <c r="BD95" s="2214"/>
      <c r="BE95" s="1717"/>
      <c r="BF95" s="1717"/>
      <c r="BG95" s="1717"/>
      <c r="BH95" s="1717"/>
      <c r="BI95" s="1717"/>
      <c r="BJ95" s="1717"/>
      <c r="BK95" s="774"/>
      <c r="BL95" s="774"/>
      <c r="BM95" s="774"/>
      <c r="BN95" s="774"/>
      <c r="BO95" s="774"/>
      <c r="BP95" s="774"/>
      <c r="BQ95" s="774"/>
      <c r="BR95" s="774"/>
      <c r="BS95" s="774"/>
      <c r="BT95" s="1423"/>
      <c r="BU95" s="1891"/>
      <c r="BV95" s="1890"/>
      <c r="BW95" s="2133"/>
      <c r="BX95" s="2127"/>
      <c r="BY95" s="2128"/>
      <c r="BZ95" s="2128"/>
      <c r="CA95" s="2128"/>
      <c r="CB95" s="2128"/>
      <c r="CC95" s="2128"/>
      <c r="CD95" s="2128"/>
      <c r="CE95" s="2128"/>
      <c r="CF95" s="2128"/>
      <c r="CG95" s="2128"/>
      <c r="CH95" s="2128"/>
      <c r="CI95" s="2129"/>
      <c r="CJ95" s="2111"/>
      <c r="CK95" s="2112"/>
      <c r="CL95" s="2112"/>
      <c r="CM95" s="2185"/>
      <c r="CN95" s="2186"/>
      <c r="CO95" s="2186"/>
      <c r="CP95" s="2186"/>
      <c r="CQ95" s="2186"/>
      <c r="CR95" s="2186"/>
      <c r="CS95" s="2186"/>
      <c r="CT95" s="2186"/>
      <c r="CU95" s="2186"/>
      <c r="CV95" s="2186"/>
      <c r="CW95" s="2186"/>
      <c r="CX95" s="2186"/>
      <c r="CY95" s="2186"/>
      <c r="CZ95" s="2186"/>
      <c r="DA95" s="2186"/>
      <c r="DB95" s="2186"/>
      <c r="DC95" s="2186"/>
      <c r="DD95" s="2186"/>
      <c r="DE95" s="2186"/>
      <c r="DF95" s="2186"/>
      <c r="DG95" s="2186"/>
      <c r="DH95" s="2186"/>
      <c r="DI95" s="2186"/>
      <c r="DJ95" s="2186"/>
      <c r="DK95" s="2186"/>
      <c r="DL95" s="2187"/>
      <c r="DM95" s="692"/>
    </row>
    <row r="96" spans="1:165" ht="7.5" customHeight="1">
      <c r="B96" s="2305" t="s">
        <v>1378</v>
      </c>
      <c r="C96" s="2306"/>
      <c r="D96" s="2306"/>
      <c r="E96" s="2306"/>
      <c r="F96" s="2306"/>
      <c r="G96" s="2306"/>
      <c r="H96" s="2306"/>
      <c r="I96" s="2306"/>
      <c r="J96" s="2306"/>
      <c r="K96" s="2306"/>
      <c r="L96" s="2306"/>
      <c r="M96" s="2306"/>
      <c r="N96" s="2307"/>
      <c r="O96" s="2308"/>
      <c r="P96" s="2308"/>
      <c r="Q96" s="2308"/>
      <c r="R96" s="2308"/>
      <c r="S96" s="2308"/>
      <c r="T96" s="2308"/>
      <c r="U96" s="2308"/>
      <c r="V96" s="2308"/>
      <c r="W96" s="2308"/>
      <c r="X96" s="2309"/>
      <c r="Y96" s="2313" t="s">
        <v>1380</v>
      </c>
      <c r="Z96" s="2306"/>
      <c r="AA96" s="2306"/>
      <c r="AB96" s="2306"/>
      <c r="AC96" s="2306"/>
      <c r="AD96" s="2306"/>
      <c r="AE96" s="2306"/>
      <c r="AF96" s="2306"/>
      <c r="AG96" s="2306"/>
      <c r="AH96" s="2306"/>
      <c r="AI96" s="2314"/>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15"/>
      <c r="BE96" s="2315"/>
      <c r="BF96" s="2315"/>
      <c r="BG96" s="2315"/>
      <c r="BH96" s="2315"/>
      <c r="BI96" s="2315"/>
      <c r="BJ96" s="2316"/>
      <c r="BK96" s="2293"/>
      <c r="BL96" s="1902"/>
      <c r="BM96" s="1902"/>
      <c r="BN96" s="1902"/>
      <c r="BO96" s="1902"/>
      <c r="BP96" s="1902"/>
      <c r="BQ96" s="1902"/>
      <c r="BR96" s="1902"/>
      <c r="BS96" s="1902"/>
      <c r="BT96" s="1902"/>
      <c r="BU96" s="1902"/>
      <c r="BV96" s="1902"/>
      <c r="BW96" s="1902"/>
      <c r="BX96" s="1902"/>
      <c r="BY96" s="1902"/>
      <c r="BZ96" s="1902"/>
      <c r="CA96" s="1902"/>
      <c r="CB96" s="1902"/>
      <c r="CC96" s="1902"/>
      <c r="CD96" s="1902"/>
      <c r="CE96" s="1902"/>
      <c r="CF96" s="1902"/>
      <c r="CG96" s="1902"/>
      <c r="CH96" s="1902"/>
      <c r="CI96" s="1902"/>
      <c r="CJ96" s="1902"/>
      <c r="CK96" s="1902"/>
      <c r="CL96" s="1902"/>
      <c r="CM96" s="1902"/>
      <c r="CN96" s="1902"/>
      <c r="CO96" s="1902"/>
      <c r="CP96" s="1902"/>
      <c r="CQ96" s="1902"/>
      <c r="CR96" s="1902"/>
      <c r="CS96" s="1902"/>
      <c r="CT96" s="1902"/>
      <c r="CU96" s="1902"/>
      <c r="CV96" s="1902"/>
      <c r="CW96" s="1902"/>
      <c r="CX96" s="1902"/>
      <c r="CY96" s="1902"/>
      <c r="CZ96" s="1902"/>
      <c r="DA96" s="1902"/>
      <c r="DB96" s="1902"/>
      <c r="DC96" s="1902"/>
      <c r="DD96" s="1902"/>
      <c r="DE96" s="1902"/>
      <c r="DF96" s="1902"/>
      <c r="DG96" s="1902"/>
      <c r="DH96" s="1902"/>
      <c r="DI96" s="1902"/>
      <c r="DJ96" s="1902"/>
      <c r="DK96" s="1902"/>
      <c r="DL96" s="2294"/>
    </row>
    <row r="97" spans="1:165" ht="7.5" customHeight="1">
      <c r="B97" s="1476"/>
      <c r="C97" s="774"/>
      <c r="D97" s="774"/>
      <c r="E97" s="774"/>
      <c r="F97" s="774"/>
      <c r="G97" s="774"/>
      <c r="H97" s="774"/>
      <c r="I97" s="774"/>
      <c r="J97" s="774"/>
      <c r="K97" s="774"/>
      <c r="L97" s="774"/>
      <c r="M97" s="774"/>
      <c r="N97" s="1434"/>
      <c r="O97" s="1435"/>
      <c r="P97" s="1435"/>
      <c r="Q97" s="1435"/>
      <c r="R97" s="1435"/>
      <c r="S97" s="1435"/>
      <c r="T97" s="1435"/>
      <c r="U97" s="1435"/>
      <c r="V97" s="1435"/>
      <c r="W97" s="1435"/>
      <c r="X97" s="1436"/>
      <c r="Y97" s="1432"/>
      <c r="Z97" s="774"/>
      <c r="AA97" s="774"/>
      <c r="AB97" s="774"/>
      <c r="AC97" s="774"/>
      <c r="AD97" s="774"/>
      <c r="AE97" s="774"/>
      <c r="AF97" s="774"/>
      <c r="AG97" s="774"/>
      <c r="AH97" s="774"/>
      <c r="AI97" s="1875"/>
      <c r="AJ97" s="1876"/>
      <c r="AK97" s="1876"/>
      <c r="AL97" s="1876"/>
      <c r="AM97" s="1876"/>
      <c r="AN97" s="1876"/>
      <c r="AO97" s="1876"/>
      <c r="AP97" s="1876"/>
      <c r="AQ97" s="1876"/>
      <c r="AR97" s="1876"/>
      <c r="AS97" s="1876"/>
      <c r="AT97" s="1876"/>
      <c r="AU97" s="1876"/>
      <c r="AV97" s="1876"/>
      <c r="AW97" s="1876"/>
      <c r="AX97" s="1876"/>
      <c r="AY97" s="1876"/>
      <c r="AZ97" s="1876"/>
      <c r="BA97" s="1876"/>
      <c r="BB97" s="1876"/>
      <c r="BC97" s="1876"/>
      <c r="BD97" s="1876"/>
      <c r="BE97" s="1876"/>
      <c r="BF97" s="1876"/>
      <c r="BG97" s="1876"/>
      <c r="BH97" s="1876"/>
      <c r="BI97" s="1876"/>
      <c r="BJ97" s="1877"/>
      <c r="BK97" s="2293"/>
      <c r="BL97" s="1902"/>
      <c r="BM97" s="1902"/>
      <c r="BN97" s="1902"/>
      <c r="BO97" s="1902"/>
      <c r="BP97" s="1902"/>
      <c r="BQ97" s="1902"/>
      <c r="BR97" s="1902"/>
      <c r="BS97" s="1902"/>
      <c r="BT97" s="1902"/>
      <c r="BU97" s="1902"/>
      <c r="BV97" s="1902"/>
      <c r="BW97" s="1902"/>
      <c r="BX97" s="1902"/>
      <c r="BY97" s="1902"/>
      <c r="BZ97" s="1902"/>
      <c r="CA97" s="1902"/>
      <c r="CB97" s="1902"/>
      <c r="CC97" s="1902"/>
      <c r="CD97" s="1902"/>
      <c r="CE97" s="1902"/>
      <c r="CF97" s="1902"/>
      <c r="CG97" s="1902"/>
      <c r="CH97" s="1902"/>
      <c r="CI97" s="1902"/>
      <c r="CJ97" s="1902"/>
      <c r="CK97" s="1902"/>
      <c r="CL97" s="1902"/>
      <c r="CM97" s="1902"/>
      <c r="CN97" s="1902"/>
      <c r="CO97" s="1902"/>
      <c r="CP97" s="1902"/>
      <c r="CQ97" s="1902"/>
      <c r="CR97" s="1902"/>
      <c r="CS97" s="1902"/>
      <c r="CT97" s="1902"/>
      <c r="CU97" s="1902"/>
      <c r="CV97" s="1902"/>
      <c r="CW97" s="1902"/>
      <c r="CX97" s="1902"/>
      <c r="CY97" s="1902"/>
      <c r="CZ97" s="1902"/>
      <c r="DA97" s="1902"/>
      <c r="DB97" s="1902"/>
      <c r="DC97" s="1902"/>
      <c r="DD97" s="1902"/>
      <c r="DE97" s="1902"/>
      <c r="DF97" s="1902"/>
      <c r="DG97" s="1902"/>
      <c r="DH97" s="1902"/>
      <c r="DI97" s="1902"/>
      <c r="DJ97" s="1902"/>
      <c r="DK97" s="1902"/>
      <c r="DL97" s="2294"/>
    </row>
    <row r="98" spans="1:165" ht="7.5" customHeight="1">
      <c r="B98" s="1477"/>
      <c r="C98" s="1478"/>
      <c r="D98" s="1478"/>
      <c r="E98" s="1478"/>
      <c r="F98" s="1478"/>
      <c r="G98" s="1478"/>
      <c r="H98" s="1478"/>
      <c r="I98" s="1478"/>
      <c r="J98" s="1478"/>
      <c r="K98" s="1478"/>
      <c r="L98" s="1478"/>
      <c r="M98" s="1478"/>
      <c r="N98" s="2310"/>
      <c r="O98" s="2311"/>
      <c r="P98" s="2311"/>
      <c r="Q98" s="2311"/>
      <c r="R98" s="2311"/>
      <c r="S98" s="2311"/>
      <c r="T98" s="2311"/>
      <c r="U98" s="2311"/>
      <c r="V98" s="2311"/>
      <c r="W98" s="2311"/>
      <c r="X98" s="2312"/>
      <c r="Y98" s="1601"/>
      <c r="Z98" s="1478"/>
      <c r="AA98" s="1478"/>
      <c r="AB98" s="1478"/>
      <c r="AC98" s="1478"/>
      <c r="AD98" s="1478"/>
      <c r="AE98" s="1478"/>
      <c r="AF98" s="1478"/>
      <c r="AG98" s="1478"/>
      <c r="AH98" s="1478"/>
      <c r="AI98" s="1922"/>
      <c r="AJ98" s="1923"/>
      <c r="AK98" s="1923"/>
      <c r="AL98" s="1923"/>
      <c r="AM98" s="1923"/>
      <c r="AN98" s="1923"/>
      <c r="AO98" s="1923"/>
      <c r="AP98" s="1923"/>
      <c r="AQ98" s="1923"/>
      <c r="AR98" s="1923"/>
      <c r="AS98" s="1923"/>
      <c r="AT98" s="1923"/>
      <c r="AU98" s="1923"/>
      <c r="AV98" s="1923"/>
      <c r="AW98" s="1923"/>
      <c r="AX98" s="1923"/>
      <c r="AY98" s="1923"/>
      <c r="AZ98" s="1923"/>
      <c r="BA98" s="1923"/>
      <c r="BB98" s="1923"/>
      <c r="BC98" s="1923"/>
      <c r="BD98" s="1923"/>
      <c r="BE98" s="1923"/>
      <c r="BF98" s="1923"/>
      <c r="BG98" s="1923"/>
      <c r="BH98" s="1923"/>
      <c r="BI98" s="1923"/>
      <c r="BJ98" s="1924"/>
      <c r="BK98" s="2295"/>
      <c r="BL98" s="2296"/>
      <c r="BM98" s="2296"/>
      <c r="BN98" s="2296"/>
      <c r="BO98" s="2296"/>
      <c r="BP98" s="2296"/>
      <c r="BQ98" s="2296"/>
      <c r="BR98" s="2296"/>
      <c r="BS98" s="2296"/>
      <c r="BT98" s="2296"/>
      <c r="BU98" s="2296"/>
      <c r="BV98" s="2296"/>
      <c r="BW98" s="2296"/>
      <c r="BX98" s="2296"/>
      <c r="BY98" s="2296"/>
      <c r="BZ98" s="2296"/>
      <c r="CA98" s="2296"/>
      <c r="CB98" s="2296"/>
      <c r="CC98" s="2296"/>
      <c r="CD98" s="2296"/>
      <c r="CE98" s="2296"/>
      <c r="CF98" s="2296"/>
      <c r="CG98" s="2296"/>
      <c r="CH98" s="2296"/>
      <c r="CI98" s="2296"/>
      <c r="CJ98" s="2296"/>
      <c r="CK98" s="2296"/>
      <c r="CL98" s="2296"/>
      <c r="CM98" s="2296"/>
      <c r="CN98" s="2296"/>
      <c r="CO98" s="2296"/>
      <c r="CP98" s="2296"/>
      <c r="CQ98" s="2296"/>
      <c r="CR98" s="2296"/>
      <c r="CS98" s="2296"/>
      <c r="CT98" s="2296"/>
      <c r="CU98" s="2296"/>
      <c r="CV98" s="2296"/>
      <c r="CW98" s="2296"/>
      <c r="CX98" s="2296"/>
      <c r="CY98" s="2296"/>
      <c r="CZ98" s="2296"/>
      <c r="DA98" s="2296"/>
      <c r="DB98" s="2296"/>
      <c r="DC98" s="2296"/>
      <c r="DD98" s="2296"/>
      <c r="DE98" s="2296"/>
      <c r="DF98" s="2296"/>
      <c r="DG98" s="2296"/>
      <c r="DH98" s="2296"/>
      <c r="DI98" s="2296"/>
      <c r="DJ98" s="2296"/>
      <c r="DK98" s="2296"/>
      <c r="DL98" s="2297"/>
    </row>
    <row r="99" spans="1:165" ht="7.5" customHeight="1">
      <c r="B99" s="1509" t="s">
        <v>1302</v>
      </c>
      <c r="C99" s="1510"/>
      <c r="D99" s="1510"/>
      <c r="E99" s="1510"/>
      <c r="F99" s="1510"/>
      <c r="G99" s="1510"/>
      <c r="H99" s="1510"/>
      <c r="I99" s="1510"/>
      <c r="J99" s="1510"/>
      <c r="K99" s="1510"/>
      <c r="L99" s="1510"/>
      <c r="M99" s="1510"/>
      <c r="N99" s="2151"/>
      <c r="O99" s="2152"/>
      <c r="P99" s="1550" t="s">
        <v>1304</v>
      </c>
      <c r="Q99" s="1551"/>
      <c r="R99" s="1551"/>
      <c r="S99" s="1551"/>
      <c r="T99" s="1551"/>
      <c r="U99" s="1551"/>
      <c r="V99" s="1551"/>
      <c r="W99" s="1551"/>
      <c r="X99" s="1551"/>
      <c r="Y99" s="1551"/>
      <c r="Z99" s="1551"/>
      <c r="AA99" s="1551"/>
      <c r="AB99" s="2157" t="s">
        <v>1303</v>
      </c>
      <c r="AC99" s="2158"/>
      <c r="AD99" s="2158"/>
      <c r="AE99" s="2158"/>
      <c r="AF99" s="2158"/>
      <c r="AG99" s="2158"/>
      <c r="AH99" s="2158"/>
      <c r="AI99" s="2158"/>
      <c r="AJ99" s="2158"/>
      <c r="AK99" s="2158"/>
      <c r="AL99" s="2158"/>
      <c r="AM99" s="2158"/>
      <c r="AN99" s="2158"/>
      <c r="AO99" s="2158"/>
      <c r="AP99" s="2158"/>
      <c r="AQ99" s="2158"/>
      <c r="AR99" s="2158"/>
      <c r="AS99" s="2158"/>
      <c r="AT99" s="2158"/>
      <c r="AU99" s="2158"/>
      <c r="AV99" s="2158"/>
      <c r="AW99" s="2158"/>
      <c r="AX99" s="2158"/>
      <c r="AY99" s="2158"/>
      <c r="AZ99" s="2158"/>
      <c r="BA99" s="2158"/>
      <c r="BB99" s="2158"/>
      <c r="BC99" s="2158"/>
      <c r="BD99" s="2158"/>
      <c r="BE99" s="2158"/>
      <c r="BF99" s="2158"/>
      <c r="BG99" s="2158"/>
      <c r="BH99" s="2158"/>
      <c r="BI99" s="2158"/>
      <c r="BJ99" s="2158"/>
      <c r="BK99" s="2158"/>
      <c r="BL99" s="2158"/>
      <c r="BM99" s="2158"/>
      <c r="BN99" s="2158"/>
      <c r="BO99" s="2158"/>
      <c r="BP99" s="2158"/>
      <c r="BQ99" s="2158"/>
      <c r="BR99" s="2158"/>
      <c r="BS99" s="2158"/>
      <c r="BT99" s="2158"/>
      <c r="BU99" s="2158"/>
      <c r="BV99" s="2158"/>
      <c r="BW99" s="2158"/>
      <c r="BX99" s="2158"/>
      <c r="BY99" s="2158"/>
      <c r="BZ99" s="2158"/>
      <c r="CA99" s="2158"/>
      <c r="CB99" s="2158"/>
      <c r="CC99" s="2158"/>
      <c r="CD99" s="2158"/>
      <c r="CE99" s="2158"/>
      <c r="CF99" s="2158"/>
      <c r="CG99" s="2158"/>
      <c r="CH99" s="2158"/>
      <c r="CI99" s="2158"/>
      <c r="CJ99" s="2158"/>
      <c r="CK99" s="2158"/>
      <c r="CL99" s="2158"/>
      <c r="CM99" s="2158"/>
      <c r="CN99" s="2158"/>
      <c r="CO99" s="2158"/>
      <c r="CP99" s="2158"/>
      <c r="CQ99" s="2158"/>
      <c r="CR99" s="2158"/>
      <c r="CS99" s="2158"/>
      <c r="CT99" s="2158"/>
      <c r="CU99" s="2158"/>
      <c r="CV99" s="2158"/>
      <c r="CW99" s="2158"/>
      <c r="CX99" s="2158"/>
      <c r="CY99" s="2158"/>
      <c r="CZ99" s="2158"/>
      <c r="DA99" s="2158"/>
      <c r="DB99" s="2158"/>
      <c r="DC99" s="2158"/>
      <c r="DD99" s="2159"/>
      <c r="DE99" s="2172"/>
      <c r="DF99" s="2173"/>
      <c r="DG99" s="2173"/>
      <c r="DH99" s="2173"/>
      <c r="DI99" s="2173"/>
      <c r="DJ99" s="2173"/>
      <c r="DK99" s="2173"/>
      <c r="DL99" s="2174"/>
    </row>
    <row r="100" spans="1:165" ht="7.5" customHeight="1">
      <c r="B100" s="1512"/>
      <c r="C100" s="1511"/>
      <c r="D100" s="1511"/>
      <c r="E100" s="1511"/>
      <c r="F100" s="1511"/>
      <c r="G100" s="1511"/>
      <c r="H100" s="1511"/>
      <c r="I100" s="1511"/>
      <c r="J100" s="1511"/>
      <c r="K100" s="1511"/>
      <c r="L100" s="1511"/>
      <c r="M100" s="1511"/>
      <c r="N100" s="2153"/>
      <c r="O100" s="2154"/>
      <c r="P100" s="1552"/>
      <c r="Q100" s="1553"/>
      <c r="R100" s="1553"/>
      <c r="S100" s="1553"/>
      <c r="T100" s="1553"/>
      <c r="U100" s="1553"/>
      <c r="V100" s="1553"/>
      <c r="W100" s="1553"/>
      <c r="X100" s="1553"/>
      <c r="Y100" s="1553"/>
      <c r="Z100" s="1553"/>
      <c r="AA100" s="1553"/>
      <c r="AB100" s="2160"/>
      <c r="AC100" s="2161"/>
      <c r="AD100" s="2161"/>
      <c r="AE100" s="2161"/>
      <c r="AF100" s="2161"/>
      <c r="AG100" s="2161"/>
      <c r="AH100" s="2161"/>
      <c r="AI100" s="2161"/>
      <c r="AJ100" s="2161"/>
      <c r="AK100" s="2161"/>
      <c r="AL100" s="2161"/>
      <c r="AM100" s="2161"/>
      <c r="AN100" s="2161"/>
      <c r="AO100" s="2161"/>
      <c r="AP100" s="2161"/>
      <c r="AQ100" s="2161"/>
      <c r="AR100" s="2161"/>
      <c r="AS100" s="2161"/>
      <c r="AT100" s="2161"/>
      <c r="AU100" s="2161"/>
      <c r="AV100" s="2161"/>
      <c r="AW100" s="2161"/>
      <c r="AX100" s="2161"/>
      <c r="AY100" s="2161"/>
      <c r="AZ100" s="2161"/>
      <c r="BA100" s="2161"/>
      <c r="BB100" s="2161"/>
      <c r="BC100" s="2161"/>
      <c r="BD100" s="2161"/>
      <c r="BE100" s="2161"/>
      <c r="BF100" s="2161"/>
      <c r="BG100" s="2161"/>
      <c r="BH100" s="2161"/>
      <c r="BI100" s="2161"/>
      <c r="BJ100" s="2161"/>
      <c r="BK100" s="2161"/>
      <c r="BL100" s="2161"/>
      <c r="BM100" s="2161"/>
      <c r="BN100" s="2161"/>
      <c r="BO100" s="2161"/>
      <c r="BP100" s="2161"/>
      <c r="BQ100" s="2161"/>
      <c r="BR100" s="2161"/>
      <c r="BS100" s="2161"/>
      <c r="BT100" s="2161"/>
      <c r="BU100" s="2161"/>
      <c r="BV100" s="2161"/>
      <c r="BW100" s="2161"/>
      <c r="BX100" s="2161"/>
      <c r="BY100" s="2161"/>
      <c r="BZ100" s="2161"/>
      <c r="CA100" s="2161"/>
      <c r="CB100" s="2161"/>
      <c r="CC100" s="2161"/>
      <c r="CD100" s="2161"/>
      <c r="CE100" s="2161"/>
      <c r="CF100" s="2161"/>
      <c r="CG100" s="2161"/>
      <c r="CH100" s="2161"/>
      <c r="CI100" s="2161"/>
      <c r="CJ100" s="2161"/>
      <c r="CK100" s="2161"/>
      <c r="CL100" s="2161"/>
      <c r="CM100" s="2161"/>
      <c r="CN100" s="2161"/>
      <c r="CO100" s="2161"/>
      <c r="CP100" s="2161"/>
      <c r="CQ100" s="2161"/>
      <c r="CR100" s="2161"/>
      <c r="CS100" s="2161"/>
      <c r="CT100" s="2161"/>
      <c r="CU100" s="2161"/>
      <c r="CV100" s="2161"/>
      <c r="CW100" s="2161"/>
      <c r="CX100" s="2161"/>
      <c r="CY100" s="2161"/>
      <c r="CZ100" s="2161"/>
      <c r="DA100" s="2161"/>
      <c r="DB100" s="2161"/>
      <c r="DC100" s="2161"/>
      <c r="DD100" s="2162"/>
      <c r="DE100" s="2175"/>
      <c r="DF100" s="2176"/>
      <c r="DG100" s="2176"/>
      <c r="DH100" s="2176"/>
      <c r="DI100" s="2176"/>
      <c r="DJ100" s="2176"/>
      <c r="DK100" s="2176"/>
      <c r="DL100" s="2177"/>
    </row>
    <row r="101" spans="1:165" ht="12.65" customHeight="1" thickBot="1">
      <c r="B101" s="1558"/>
      <c r="C101" s="1559"/>
      <c r="D101" s="1559"/>
      <c r="E101" s="1559"/>
      <c r="F101" s="1559"/>
      <c r="G101" s="1559"/>
      <c r="H101" s="1559"/>
      <c r="I101" s="1559"/>
      <c r="J101" s="1559"/>
      <c r="K101" s="1559"/>
      <c r="L101" s="1559"/>
      <c r="M101" s="1559"/>
      <c r="N101" s="2155"/>
      <c r="O101" s="2156"/>
      <c r="P101" s="2165"/>
      <c r="Q101" s="2166"/>
      <c r="R101" s="2166"/>
      <c r="S101" s="2166"/>
      <c r="T101" s="2166"/>
      <c r="U101" s="2166"/>
      <c r="V101" s="2166"/>
      <c r="W101" s="2166"/>
      <c r="X101" s="2166"/>
      <c r="Y101" s="2166"/>
      <c r="Z101" s="2166"/>
      <c r="AA101" s="2166"/>
      <c r="AB101" s="2163"/>
      <c r="AC101" s="2164"/>
      <c r="AD101" s="2164"/>
      <c r="AE101" s="2164"/>
      <c r="AF101" s="2164"/>
      <c r="AG101" s="2164"/>
      <c r="AH101" s="2164"/>
      <c r="AI101" s="2164"/>
      <c r="AJ101" s="2164"/>
      <c r="AK101" s="2164"/>
      <c r="AL101" s="2161"/>
      <c r="AM101" s="2161"/>
      <c r="AN101" s="2161"/>
      <c r="AO101" s="2161"/>
      <c r="AP101" s="2161"/>
      <c r="AQ101" s="2161"/>
      <c r="AR101" s="2161"/>
      <c r="AS101" s="2161"/>
      <c r="AT101" s="2161"/>
      <c r="AU101" s="2161"/>
      <c r="AV101" s="2161"/>
      <c r="AW101" s="2161"/>
      <c r="AX101" s="2161"/>
      <c r="AY101" s="2161"/>
      <c r="AZ101" s="2161"/>
      <c r="BA101" s="2161"/>
      <c r="BB101" s="2161"/>
      <c r="BC101" s="2161"/>
      <c r="BD101" s="2161"/>
      <c r="BE101" s="2161"/>
      <c r="BF101" s="2161"/>
      <c r="BG101" s="2161"/>
      <c r="BH101" s="2161"/>
      <c r="BI101" s="2161"/>
      <c r="BJ101" s="2161"/>
      <c r="BK101" s="2161"/>
      <c r="BL101" s="2161"/>
      <c r="BM101" s="2161"/>
      <c r="BN101" s="2161"/>
      <c r="BO101" s="2161"/>
      <c r="BP101" s="2161"/>
      <c r="BQ101" s="2161"/>
      <c r="BR101" s="2161"/>
      <c r="BS101" s="2161"/>
      <c r="BT101" s="2161"/>
      <c r="BU101" s="2161"/>
      <c r="BV101" s="2161"/>
      <c r="BW101" s="2161"/>
      <c r="BX101" s="2161"/>
      <c r="BY101" s="2161"/>
      <c r="BZ101" s="2161"/>
      <c r="CA101" s="2161"/>
      <c r="CB101" s="2161"/>
      <c r="CC101" s="2161"/>
      <c r="CD101" s="2161"/>
      <c r="CE101" s="2161"/>
      <c r="CF101" s="2161"/>
      <c r="CG101" s="2161"/>
      <c r="CH101" s="2161"/>
      <c r="CI101" s="2161"/>
      <c r="CJ101" s="2161"/>
      <c r="CK101" s="2161"/>
      <c r="CL101" s="2161"/>
      <c r="CM101" s="2161"/>
      <c r="CN101" s="2161"/>
      <c r="CO101" s="2161"/>
      <c r="CP101" s="2161"/>
      <c r="CQ101" s="2161"/>
      <c r="CR101" s="2161"/>
      <c r="CS101" s="2161"/>
      <c r="CT101" s="2161"/>
      <c r="CU101" s="2161"/>
      <c r="CV101" s="2161"/>
      <c r="CW101" s="2161"/>
      <c r="CX101" s="2161"/>
      <c r="CY101" s="2161"/>
      <c r="CZ101" s="2161"/>
      <c r="DA101" s="2161"/>
      <c r="DB101" s="2161"/>
      <c r="DC101" s="2161"/>
      <c r="DD101" s="2162"/>
      <c r="DE101" s="2175"/>
      <c r="DF101" s="2176"/>
      <c r="DG101" s="2176"/>
      <c r="DH101" s="2176"/>
      <c r="DI101" s="2176"/>
      <c r="DJ101" s="2176"/>
      <c r="DK101" s="2176"/>
      <c r="DL101" s="2177"/>
    </row>
    <row r="102" spans="1:165" ht="9.75" customHeight="1" thickTop="1">
      <c r="B102" s="2113" t="s">
        <v>1132</v>
      </c>
      <c r="C102" s="2114"/>
      <c r="D102" s="2114"/>
      <c r="E102" s="2114"/>
      <c r="F102" s="2114"/>
      <c r="G102" s="2114"/>
      <c r="H102" s="1781" t="s">
        <v>800</v>
      </c>
      <c r="I102" s="1782"/>
      <c r="J102" s="1782"/>
      <c r="K102" s="1782"/>
      <c r="L102" s="1782"/>
      <c r="M102" s="1782"/>
      <c r="N102" s="1782"/>
      <c r="O102" s="1783"/>
      <c r="P102" s="1813"/>
      <c r="Q102" s="2167"/>
      <c r="R102" s="2215" t="s">
        <v>827</v>
      </c>
      <c r="S102" s="2215"/>
      <c r="T102" s="2215"/>
      <c r="U102" s="2215"/>
      <c r="V102" s="2215"/>
      <c r="W102" s="2215"/>
      <c r="X102" s="2215"/>
      <c r="Y102" s="2216"/>
      <c r="Z102" s="1813"/>
      <c r="AA102" s="1814"/>
      <c r="AB102" s="1816" t="s">
        <v>1139</v>
      </c>
      <c r="AC102" s="1817"/>
      <c r="AD102" s="1817"/>
      <c r="AE102" s="1817"/>
      <c r="AF102" s="1817"/>
      <c r="AG102" s="1817"/>
      <c r="AH102" s="1817"/>
      <c r="AI102" s="1817"/>
      <c r="AJ102" s="1817"/>
      <c r="AK102" s="1817"/>
      <c r="AL102" s="2115" t="s">
        <v>1135</v>
      </c>
      <c r="AM102" s="2116"/>
      <c r="AN102" s="2116"/>
      <c r="AO102" s="2116"/>
      <c r="AP102" s="2116"/>
      <c r="AQ102" s="2116"/>
      <c r="AR102" s="2116"/>
      <c r="AS102" s="2116"/>
      <c r="AT102" s="2116"/>
      <c r="AU102" s="2116"/>
      <c r="AV102" s="2116"/>
      <c r="AW102" s="2116"/>
      <c r="AX102" s="2116"/>
      <c r="AY102" s="2116"/>
      <c r="AZ102" s="2117"/>
      <c r="BA102" s="1792"/>
      <c r="BB102" s="1506"/>
      <c r="BC102" s="1506"/>
      <c r="BD102" s="1506"/>
      <c r="BE102" s="2135" t="s">
        <v>1134</v>
      </c>
      <c r="BF102" s="2136"/>
      <c r="BG102" s="2136"/>
      <c r="BH102" s="2136"/>
      <c r="BI102" s="2136"/>
      <c r="BJ102" s="2136"/>
      <c r="BK102" s="2136"/>
      <c r="BL102" s="2136"/>
      <c r="BM102" s="2136"/>
      <c r="BN102" s="2136"/>
      <c r="BO102" s="2136"/>
      <c r="BP102" s="2136"/>
      <c r="BQ102" s="2136"/>
      <c r="BR102" s="2136"/>
      <c r="BS102" s="2136"/>
      <c r="BT102" s="1791"/>
      <c r="BU102" s="1791"/>
      <c r="BV102" s="1791"/>
      <c r="BW102" s="2139"/>
      <c r="BX102" s="2135" t="s">
        <v>1133</v>
      </c>
      <c r="BY102" s="2136"/>
      <c r="BZ102" s="2136"/>
      <c r="CA102" s="2136"/>
      <c r="CB102" s="2136"/>
      <c r="CC102" s="2136"/>
      <c r="CD102" s="2136"/>
      <c r="CE102" s="2136"/>
      <c r="CF102" s="2136"/>
      <c r="CG102" s="2136"/>
      <c r="CH102" s="2136"/>
      <c r="CI102" s="2136"/>
      <c r="CJ102" s="2136"/>
      <c r="CK102" s="2136"/>
      <c r="CL102" s="2136"/>
      <c r="CM102" s="1791"/>
      <c r="CN102" s="1791"/>
      <c r="CO102" s="1791"/>
      <c r="CP102" s="1792"/>
      <c r="CQ102" s="2194" t="s">
        <v>1161</v>
      </c>
      <c r="CR102" s="2195"/>
      <c r="CS102" s="2195"/>
      <c r="CT102" s="2195"/>
      <c r="CU102" s="2195"/>
      <c r="CV102" s="2195"/>
      <c r="CW102" s="2195"/>
      <c r="CX102" s="2195"/>
      <c r="CY102" s="2195"/>
      <c r="CZ102" s="2195"/>
      <c r="DA102" s="2195"/>
      <c r="DB102" s="2195"/>
      <c r="DC102" s="2195"/>
      <c r="DD102" s="2195"/>
      <c r="DE102" s="2195"/>
      <c r="DF102" s="2195"/>
      <c r="DG102" s="2195"/>
      <c r="DH102" s="2195"/>
      <c r="DI102" s="2195"/>
      <c r="DJ102" s="2195"/>
      <c r="DK102" s="2195"/>
      <c r="DL102" s="2196"/>
    </row>
    <row r="103" spans="1:165" ht="7.5" customHeight="1">
      <c r="B103" s="2113"/>
      <c r="C103" s="2114"/>
      <c r="D103" s="2114"/>
      <c r="E103" s="2114"/>
      <c r="F103" s="2114"/>
      <c r="G103" s="2114"/>
      <c r="H103" s="1784"/>
      <c r="I103" s="1782"/>
      <c r="J103" s="1782"/>
      <c r="K103" s="1782"/>
      <c r="L103" s="1782"/>
      <c r="M103" s="1782"/>
      <c r="N103" s="1782"/>
      <c r="O103" s="1783"/>
      <c r="P103" s="1813"/>
      <c r="Q103" s="2167"/>
      <c r="R103" s="2215"/>
      <c r="S103" s="2215"/>
      <c r="T103" s="2215"/>
      <c r="U103" s="2215"/>
      <c r="V103" s="2215"/>
      <c r="W103" s="2215"/>
      <c r="X103" s="2215"/>
      <c r="Y103" s="2216"/>
      <c r="Z103" s="1813"/>
      <c r="AA103" s="1814"/>
      <c r="AB103" s="1818"/>
      <c r="AC103" s="1819"/>
      <c r="AD103" s="1819"/>
      <c r="AE103" s="1819"/>
      <c r="AF103" s="1819"/>
      <c r="AG103" s="1819"/>
      <c r="AH103" s="1819"/>
      <c r="AI103" s="1819"/>
      <c r="AJ103" s="1819"/>
      <c r="AK103" s="1819"/>
      <c r="AL103" s="2118"/>
      <c r="AM103" s="2119"/>
      <c r="AN103" s="2119"/>
      <c r="AO103" s="2119"/>
      <c r="AP103" s="2119"/>
      <c r="AQ103" s="2119"/>
      <c r="AR103" s="2119"/>
      <c r="AS103" s="2119"/>
      <c r="AT103" s="2119"/>
      <c r="AU103" s="2119"/>
      <c r="AV103" s="2119"/>
      <c r="AW103" s="2119"/>
      <c r="AX103" s="2119"/>
      <c r="AY103" s="2119"/>
      <c r="AZ103" s="2120"/>
      <c r="BA103" s="1701"/>
      <c r="BB103" s="1507"/>
      <c r="BC103" s="1507"/>
      <c r="BD103" s="1507"/>
      <c r="BE103" s="1787"/>
      <c r="BF103" s="1788"/>
      <c r="BG103" s="1788"/>
      <c r="BH103" s="1788"/>
      <c r="BI103" s="1788"/>
      <c r="BJ103" s="1788"/>
      <c r="BK103" s="1788"/>
      <c r="BL103" s="1788"/>
      <c r="BM103" s="1788"/>
      <c r="BN103" s="1788"/>
      <c r="BO103" s="1788"/>
      <c r="BP103" s="1788"/>
      <c r="BQ103" s="1788"/>
      <c r="BR103" s="1788"/>
      <c r="BS103" s="1788"/>
      <c r="BT103" s="1793"/>
      <c r="BU103" s="1793"/>
      <c r="BV103" s="1793"/>
      <c r="BW103" s="2140"/>
      <c r="BX103" s="1787"/>
      <c r="BY103" s="1788"/>
      <c r="BZ103" s="1788"/>
      <c r="CA103" s="1788"/>
      <c r="CB103" s="1788"/>
      <c r="CC103" s="1788"/>
      <c r="CD103" s="1788"/>
      <c r="CE103" s="1788"/>
      <c r="CF103" s="1788"/>
      <c r="CG103" s="1788"/>
      <c r="CH103" s="1788"/>
      <c r="CI103" s="1788"/>
      <c r="CJ103" s="1788"/>
      <c r="CK103" s="1788"/>
      <c r="CL103" s="1788"/>
      <c r="CM103" s="1793"/>
      <c r="CN103" s="1793"/>
      <c r="CO103" s="1793"/>
      <c r="CP103" s="1701"/>
      <c r="CQ103" s="2197" t="s">
        <v>1163</v>
      </c>
      <c r="CR103" s="2198"/>
      <c r="CS103" s="2198"/>
      <c r="CT103" s="2198"/>
      <c r="CU103" s="2198"/>
      <c r="CV103" s="2198"/>
      <c r="CW103" s="2198"/>
      <c r="CX103" s="2198"/>
      <c r="CY103" s="2198"/>
      <c r="CZ103" s="2198"/>
      <c r="DA103" s="2198"/>
      <c r="DB103" s="2198"/>
      <c r="DC103" s="2198"/>
      <c r="DD103" s="2198"/>
      <c r="DE103" s="2198"/>
      <c r="DF103" s="2198"/>
      <c r="DG103" s="2198"/>
      <c r="DH103" s="2198"/>
      <c r="DI103" s="2198"/>
      <c r="DJ103" s="2198"/>
      <c r="DK103" s="2198"/>
      <c r="DL103" s="2199"/>
    </row>
    <row r="104" spans="1:165" ht="7.5" customHeight="1">
      <c r="B104" s="2113"/>
      <c r="C104" s="2114"/>
      <c r="D104" s="2114"/>
      <c r="E104" s="2114"/>
      <c r="F104" s="2114"/>
      <c r="G104" s="2114"/>
      <c r="H104" s="1784"/>
      <c r="I104" s="1782"/>
      <c r="J104" s="1782"/>
      <c r="K104" s="1782"/>
      <c r="L104" s="1782"/>
      <c r="M104" s="1782"/>
      <c r="N104" s="1782"/>
      <c r="O104" s="1783"/>
      <c r="P104" s="1813"/>
      <c r="Q104" s="2167"/>
      <c r="R104" s="2215"/>
      <c r="S104" s="2215"/>
      <c r="T104" s="2215"/>
      <c r="U104" s="2215"/>
      <c r="V104" s="2215"/>
      <c r="W104" s="2215"/>
      <c r="X104" s="2215"/>
      <c r="Y104" s="2216"/>
      <c r="Z104" s="1813"/>
      <c r="AA104" s="1814"/>
      <c r="AB104" s="1818"/>
      <c r="AC104" s="1819"/>
      <c r="AD104" s="1819"/>
      <c r="AE104" s="1819"/>
      <c r="AF104" s="1819"/>
      <c r="AG104" s="1819"/>
      <c r="AH104" s="1819"/>
      <c r="AI104" s="1819"/>
      <c r="AJ104" s="1819"/>
      <c r="AK104" s="1819"/>
      <c r="AL104" s="2118"/>
      <c r="AM104" s="2119"/>
      <c r="AN104" s="2119"/>
      <c r="AO104" s="2119"/>
      <c r="AP104" s="2119"/>
      <c r="AQ104" s="2119"/>
      <c r="AR104" s="2119"/>
      <c r="AS104" s="2119"/>
      <c r="AT104" s="2119"/>
      <c r="AU104" s="2119"/>
      <c r="AV104" s="2119"/>
      <c r="AW104" s="2119"/>
      <c r="AX104" s="2119"/>
      <c r="AY104" s="2119"/>
      <c r="AZ104" s="2120"/>
      <c r="BA104" s="1795"/>
      <c r="BB104" s="2134"/>
      <c r="BC104" s="2134"/>
      <c r="BD104" s="2134"/>
      <c r="BE104" s="2137"/>
      <c r="BF104" s="2138"/>
      <c r="BG104" s="2138"/>
      <c r="BH104" s="2138"/>
      <c r="BI104" s="2138"/>
      <c r="BJ104" s="2138"/>
      <c r="BK104" s="2138"/>
      <c r="BL104" s="2138"/>
      <c r="BM104" s="2138"/>
      <c r="BN104" s="2138"/>
      <c r="BO104" s="2138"/>
      <c r="BP104" s="2138"/>
      <c r="BQ104" s="2138"/>
      <c r="BR104" s="2138"/>
      <c r="BS104" s="2138"/>
      <c r="BT104" s="1794"/>
      <c r="BU104" s="1794"/>
      <c r="BV104" s="1794"/>
      <c r="BW104" s="2141"/>
      <c r="BX104" s="2137"/>
      <c r="BY104" s="2138"/>
      <c r="BZ104" s="2138"/>
      <c r="CA104" s="2138"/>
      <c r="CB104" s="2138"/>
      <c r="CC104" s="2138"/>
      <c r="CD104" s="2138"/>
      <c r="CE104" s="2138"/>
      <c r="CF104" s="2138"/>
      <c r="CG104" s="2138"/>
      <c r="CH104" s="2138"/>
      <c r="CI104" s="2138"/>
      <c r="CJ104" s="2138"/>
      <c r="CK104" s="2138"/>
      <c r="CL104" s="2138"/>
      <c r="CM104" s="1794"/>
      <c r="CN104" s="1794"/>
      <c r="CO104" s="1794"/>
      <c r="CP104" s="1795"/>
      <c r="CQ104" s="2197"/>
      <c r="CR104" s="2198"/>
      <c r="CS104" s="2198"/>
      <c r="CT104" s="2198"/>
      <c r="CU104" s="2198"/>
      <c r="CV104" s="2198"/>
      <c r="CW104" s="2198"/>
      <c r="CX104" s="2198"/>
      <c r="CY104" s="2198"/>
      <c r="CZ104" s="2198"/>
      <c r="DA104" s="2198"/>
      <c r="DB104" s="2198"/>
      <c r="DC104" s="2198"/>
      <c r="DD104" s="2198"/>
      <c r="DE104" s="2198"/>
      <c r="DF104" s="2198"/>
      <c r="DG104" s="2198"/>
      <c r="DH104" s="2198"/>
      <c r="DI104" s="2198"/>
      <c r="DJ104" s="2198"/>
      <c r="DK104" s="2198"/>
      <c r="DL104" s="2199"/>
    </row>
    <row r="105" spans="1:165" ht="7.5" customHeight="1">
      <c r="B105" s="1522" t="s">
        <v>1117</v>
      </c>
      <c r="C105" s="1523"/>
      <c r="D105" s="1523"/>
      <c r="E105" s="1523"/>
      <c r="F105" s="1523"/>
      <c r="G105" s="1523"/>
      <c r="H105" s="1523"/>
      <c r="I105" s="1523"/>
      <c r="J105" s="1524"/>
      <c r="K105" s="1524"/>
      <c r="L105" s="1524"/>
      <c r="M105" s="1524"/>
      <c r="N105" s="1524"/>
      <c r="O105" s="1525"/>
      <c r="P105" s="1526" t="s">
        <v>1115</v>
      </c>
      <c r="Q105" s="1527"/>
      <c r="R105" s="1527"/>
      <c r="S105" s="1527"/>
      <c r="T105" s="1527"/>
      <c r="U105" s="1528"/>
      <c r="V105" s="1529"/>
      <c r="W105" s="1530"/>
      <c r="X105" s="1530"/>
      <c r="Y105" s="1530"/>
      <c r="Z105" s="1530"/>
      <c r="AA105" s="1815"/>
      <c r="AB105" s="2142" t="s">
        <v>1160</v>
      </c>
      <c r="AC105" s="2143"/>
      <c r="AD105" s="2143"/>
      <c r="AE105" s="2143"/>
      <c r="AF105" s="2143"/>
      <c r="AG105" s="2146">
        <f>SUM(BA102,BT102,CM102,BA105,BT105,CM105)</f>
        <v>0</v>
      </c>
      <c r="AH105" s="2147"/>
      <c r="AI105" s="2147"/>
      <c r="AJ105" s="2147"/>
      <c r="AK105" s="2148"/>
      <c r="AL105" s="2118" t="s">
        <v>1136</v>
      </c>
      <c r="AM105" s="2119"/>
      <c r="AN105" s="2119"/>
      <c r="AO105" s="2119"/>
      <c r="AP105" s="2119"/>
      <c r="AQ105" s="2119"/>
      <c r="AR105" s="2119"/>
      <c r="AS105" s="2119"/>
      <c r="AT105" s="2119"/>
      <c r="AU105" s="2119"/>
      <c r="AV105" s="2119"/>
      <c r="AW105" s="2119"/>
      <c r="AX105" s="2119"/>
      <c r="AY105" s="2119"/>
      <c r="AZ105" s="2120"/>
      <c r="BA105" s="1699"/>
      <c r="BB105" s="1700"/>
      <c r="BC105" s="1700"/>
      <c r="BD105" s="1700"/>
      <c r="BE105" s="1785" t="s">
        <v>1137</v>
      </c>
      <c r="BF105" s="1786"/>
      <c r="BG105" s="1786"/>
      <c r="BH105" s="1786"/>
      <c r="BI105" s="1786"/>
      <c r="BJ105" s="1786"/>
      <c r="BK105" s="1786"/>
      <c r="BL105" s="1786"/>
      <c r="BM105" s="1786"/>
      <c r="BN105" s="1786"/>
      <c r="BO105" s="1786"/>
      <c r="BP105" s="1786"/>
      <c r="BQ105" s="1786"/>
      <c r="BR105" s="1786"/>
      <c r="BS105" s="1786"/>
      <c r="BT105" s="2168"/>
      <c r="BU105" s="2168"/>
      <c r="BV105" s="2168"/>
      <c r="BW105" s="2169"/>
      <c r="BX105" s="1785" t="s">
        <v>1138</v>
      </c>
      <c r="BY105" s="1786"/>
      <c r="BZ105" s="1786"/>
      <c r="CA105" s="1786"/>
      <c r="CB105" s="1786"/>
      <c r="CC105" s="1786"/>
      <c r="CD105" s="1786"/>
      <c r="CE105" s="1786"/>
      <c r="CF105" s="1786"/>
      <c r="CG105" s="1786"/>
      <c r="CH105" s="1786"/>
      <c r="CI105" s="1786"/>
      <c r="CJ105" s="1786"/>
      <c r="CK105" s="1786"/>
      <c r="CL105" s="1786"/>
      <c r="CM105" s="2168"/>
      <c r="CN105" s="2168"/>
      <c r="CO105" s="2168"/>
      <c r="CP105" s="1699"/>
      <c r="CQ105" s="2197"/>
      <c r="CR105" s="2198"/>
      <c r="CS105" s="2198"/>
      <c r="CT105" s="2198"/>
      <c r="CU105" s="2198"/>
      <c r="CV105" s="2198"/>
      <c r="CW105" s="2198"/>
      <c r="CX105" s="2198"/>
      <c r="CY105" s="2198"/>
      <c r="CZ105" s="2198"/>
      <c r="DA105" s="2198"/>
      <c r="DB105" s="2198"/>
      <c r="DC105" s="2198"/>
      <c r="DD105" s="2198"/>
      <c r="DE105" s="2198"/>
      <c r="DF105" s="2198"/>
      <c r="DG105" s="2198"/>
      <c r="DH105" s="2198"/>
      <c r="DI105" s="2198"/>
      <c r="DJ105" s="2198"/>
      <c r="DK105" s="2198"/>
      <c r="DL105" s="2199"/>
    </row>
    <row r="106" spans="1:165" ht="7.5" customHeight="1">
      <c r="B106" s="1522"/>
      <c r="C106" s="1523"/>
      <c r="D106" s="1523"/>
      <c r="E106" s="1523"/>
      <c r="F106" s="1523"/>
      <c r="G106" s="1523"/>
      <c r="H106" s="1523"/>
      <c r="I106" s="1523"/>
      <c r="J106" s="1524"/>
      <c r="K106" s="1524"/>
      <c r="L106" s="1524"/>
      <c r="M106" s="1524"/>
      <c r="N106" s="1524"/>
      <c r="O106" s="1525"/>
      <c r="P106" s="1526"/>
      <c r="Q106" s="1527"/>
      <c r="R106" s="1527"/>
      <c r="S106" s="1527"/>
      <c r="T106" s="1527"/>
      <c r="U106" s="1528"/>
      <c r="V106" s="1529"/>
      <c r="W106" s="1530"/>
      <c r="X106" s="1530"/>
      <c r="Y106" s="1530"/>
      <c r="Z106" s="1530"/>
      <c r="AA106" s="1815"/>
      <c r="AB106" s="2142"/>
      <c r="AC106" s="2143"/>
      <c r="AD106" s="2143"/>
      <c r="AE106" s="2143"/>
      <c r="AF106" s="2143"/>
      <c r="AG106" s="2147"/>
      <c r="AH106" s="2147"/>
      <c r="AI106" s="2147"/>
      <c r="AJ106" s="2147"/>
      <c r="AK106" s="2148"/>
      <c r="AL106" s="2118"/>
      <c r="AM106" s="2119"/>
      <c r="AN106" s="2119"/>
      <c r="AO106" s="2119"/>
      <c r="AP106" s="2119"/>
      <c r="AQ106" s="2119"/>
      <c r="AR106" s="2119"/>
      <c r="AS106" s="2119"/>
      <c r="AT106" s="2119"/>
      <c r="AU106" s="2119"/>
      <c r="AV106" s="2119"/>
      <c r="AW106" s="2119"/>
      <c r="AX106" s="2119"/>
      <c r="AY106" s="2119"/>
      <c r="AZ106" s="2120"/>
      <c r="BA106" s="1701"/>
      <c r="BB106" s="1507"/>
      <c r="BC106" s="1507"/>
      <c r="BD106" s="1507"/>
      <c r="BE106" s="1787"/>
      <c r="BF106" s="1788"/>
      <c r="BG106" s="1788"/>
      <c r="BH106" s="1788"/>
      <c r="BI106" s="1788"/>
      <c r="BJ106" s="1788"/>
      <c r="BK106" s="1788"/>
      <c r="BL106" s="1788"/>
      <c r="BM106" s="1788"/>
      <c r="BN106" s="1788"/>
      <c r="BO106" s="1788"/>
      <c r="BP106" s="1788"/>
      <c r="BQ106" s="1788"/>
      <c r="BR106" s="1788"/>
      <c r="BS106" s="1788"/>
      <c r="BT106" s="1793"/>
      <c r="BU106" s="1793"/>
      <c r="BV106" s="1793"/>
      <c r="BW106" s="2140"/>
      <c r="BX106" s="1787"/>
      <c r="BY106" s="1788"/>
      <c r="BZ106" s="1788"/>
      <c r="CA106" s="1788"/>
      <c r="CB106" s="1788"/>
      <c r="CC106" s="1788"/>
      <c r="CD106" s="1788"/>
      <c r="CE106" s="1788"/>
      <c r="CF106" s="1788"/>
      <c r="CG106" s="1788"/>
      <c r="CH106" s="1788"/>
      <c r="CI106" s="1788"/>
      <c r="CJ106" s="1788"/>
      <c r="CK106" s="1788"/>
      <c r="CL106" s="1788"/>
      <c r="CM106" s="1793"/>
      <c r="CN106" s="1793"/>
      <c r="CO106" s="1793"/>
      <c r="CP106" s="1701"/>
      <c r="CQ106" s="2188" t="s">
        <v>1162</v>
      </c>
      <c r="CR106" s="2189"/>
      <c r="CS106" s="2189"/>
      <c r="CT106" s="2189"/>
      <c r="CU106" s="2189"/>
      <c r="CV106" s="2189"/>
      <c r="CW106" s="2189"/>
      <c r="CX106" s="2189"/>
      <c r="CY106" s="2189"/>
      <c r="CZ106" s="2189"/>
      <c r="DA106" s="2189"/>
      <c r="DB106" s="2189"/>
      <c r="DC106" s="2189"/>
      <c r="DD106" s="2189"/>
      <c r="DE106" s="2189"/>
      <c r="DF106" s="2189"/>
      <c r="DG106" s="2189"/>
      <c r="DH106" s="2189"/>
      <c r="DI106" s="2189"/>
      <c r="DJ106" s="2189"/>
      <c r="DK106" s="2189"/>
      <c r="DL106" s="2190"/>
    </row>
    <row r="107" spans="1:165" ht="7.5" customHeight="1" thickBot="1">
      <c r="B107" s="1522"/>
      <c r="C107" s="1523"/>
      <c r="D107" s="1523"/>
      <c r="E107" s="1523"/>
      <c r="F107" s="1523"/>
      <c r="G107" s="1523"/>
      <c r="H107" s="1523"/>
      <c r="I107" s="1523"/>
      <c r="J107" s="1524"/>
      <c r="K107" s="1524"/>
      <c r="L107" s="1524"/>
      <c r="M107" s="1524"/>
      <c r="N107" s="1524"/>
      <c r="O107" s="1525"/>
      <c r="P107" s="1526"/>
      <c r="Q107" s="1527"/>
      <c r="R107" s="1527"/>
      <c r="S107" s="1527"/>
      <c r="T107" s="1527"/>
      <c r="U107" s="1528"/>
      <c r="V107" s="1529"/>
      <c r="W107" s="1530"/>
      <c r="X107" s="1530"/>
      <c r="Y107" s="1530"/>
      <c r="Z107" s="1530"/>
      <c r="AA107" s="1815"/>
      <c r="AB107" s="2144"/>
      <c r="AC107" s="2145"/>
      <c r="AD107" s="2145"/>
      <c r="AE107" s="2145"/>
      <c r="AF107" s="2145"/>
      <c r="AG107" s="2149"/>
      <c r="AH107" s="2149"/>
      <c r="AI107" s="2149"/>
      <c r="AJ107" s="2149"/>
      <c r="AK107" s="2150"/>
      <c r="AL107" s="2121"/>
      <c r="AM107" s="2122"/>
      <c r="AN107" s="2122"/>
      <c r="AO107" s="2122"/>
      <c r="AP107" s="2122"/>
      <c r="AQ107" s="2122"/>
      <c r="AR107" s="2122"/>
      <c r="AS107" s="2122"/>
      <c r="AT107" s="2122"/>
      <c r="AU107" s="2122"/>
      <c r="AV107" s="2122"/>
      <c r="AW107" s="2122"/>
      <c r="AX107" s="2122"/>
      <c r="AY107" s="2122"/>
      <c r="AZ107" s="2123"/>
      <c r="BA107" s="1702"/>
      <c r="BB107" s="1508"/>
      <c r="BC107" s="1508"/>
      <c r="BD107" s="1508"/>
      <c r="BE107" s="1789"/>
      <c r="BF107" s="1790"/>
      <c r="BG107" s="1790"/>
      <c r="BH107" s="1790"/>
      <c r="BI107" s="1790"/>
      <c r="BJ107" s="1790"/>
      <c r="BK107" s="1790"/>
      <c r="BL107" s="1790"/>
      <c r="BM107" s="1790"/>
      <c r="BN107" s="1790"/>
      <c r="BO107" s="1790"/>
      <c r="BP107" s="1790"/>
      <c r="BQ107" s="1790"/>
      <c r="BR107" s="1790"/>
      <c r="BS107" s="1790"/>
      <c r="BT107" s="2170"/>
      <c r="BU107" s="2170"/>
      <c r="BV107" s="2170"/>
      <c r="BW107" s="2171"/>
      <c r="BX107" s="1789"/>
      <c r="BY107" s="1790"/>
      <c r="BZ107" s="1790"/>
      <c r="CA107" s="1790"/>
      <c r="CB107" s="1790"/>
      <c r="CC107" s="1790"/>
      <c r="CD107" s="1790"/>
      <c r="CE107" s="1790"/>
      <c r="CF107" s="1790"/>
      <c r="CG107" s="1790"/>
      <c r="CH107" s="1790"/>
      <c r="CI107" s="1790"/>
      <c r="CJ107" s="1790"/>
      <c r="CK107" s="1790"/>
      <c r="CL107" s="1790"/>
      <c r="CM107" s="2170"/>
      <c r="CN107" s="2170"/>
      <c r="CO107" s="2170"/>
      <c r="CP107" s="1702"/>
      <c r="CQ107" s="2191"/>
      <c r="CR107" s="2192"/>
      <c r="CS107" s="2192"/>
      <c r="CT107" s="2192"/>
      <c r="CU107" s="2192"/>
      <c r="CV107" s="2192"/>
      <c r="CW107" s="2192"/>
      <c r="CX107" s="2192"/>
      <c r="CY107" s="2192"/>
      <c r="CZ107" s="2192"/>
      <c r="DA107" s="2192"/>
      <c r="DB107" s="2192"/>
      <c r="DC107" s="2192"/>
      <c r="DD107" s="2192"/>
      <c r="DE107" s="2192"/>
      <c r="DF107" s="2192"/>
      <c r="DG107" s="2192"/>
      <c r="DH107" s="2192"/>
      <c r="DI107" s="2192"/>
      <c r="DJ107" s="2192"/>
      <c r="DK107" s="2192"/>
      <c r="DL107" s="2193"/>
    </row>
    <row r="108" spans="1:165" ht="7.5" customHeight="1" thickTop="1">
      <c r="B108" s="1509" t="s">
        <v>1252</v>
      </c>
      <c r="C108" s="1510"/>
      <c r="D108" s="1510"/>
      <c r="E108" s="1510"/>
      <c r="F108" s="1510"/>
      <c r="G108" s="1510"/>
      <c r="H108" s="1510"/>
      <c r="I108" s="1510"/>
      <c r="J108" s="1510"/>
      <c r="K108" s="1510"/>
      <c r="L108" s="1510"/>
      <c r="M108" s="1510"/>
      <c r="N108" s="1511"/>
      <c r="O108" s="1511"/>
      <c r="P108" s="1513" t="str" cm="1">
        <f t="array" ref="P108">IF(V105="","",_xlfn.IFS(AND(OR(J87="GIGAスクール版",J87=""),AG105&lt;=V105),"正常",(AND(OR(J87="GIGAスクール版",J87=""),AG105&gt;V105)),"要確認",AND(NOT(OR(J87="GIGAスクール版",J87="")),NOT(OR(AG105&gt;V105,AG105&lt;V105))),"正常",AND(NOT(OR(J87="GIGAスクール版",J87="")),OR(AG105&gt;V105,AG105&lt;V105)),"要確認"))</f>
        <v/>
      </c>
      <c r="Q108" s="1514"/>
      <c r="R108" s="1514"/>
      <c r="S108" s="1514"/>
      <c r="T108" s="1514"/>
      <c r="U108" s="1514"/>
      <c r="V108" s="1514"/>
      <c r="W108" s="1514"/>
      <c r="X108" s="1514"/>
      <c r="Y108" s="1514"/>
      <c r="Z108" s="1514"/>
      <c r="AA108" s="1515"/>
      <c r="AB108" s="1516" t="str">
        <f>IFERROR(VLOOKUP(P108,中間データ共通・DACloud!O4:P5,2,FALSE),"")</f>
        <v/>
      </c>
      <c r="AC108" s="1517"/>
      <c r="AD108" s="1517"/>
      <c r="AE108" s="1517"/>
      <c r="AF108" s="1517"/>
      <c r="AG108" s="1517"/>
      <c r="AH108" s="1517"/>
      <c r="AI108" s="1517"/>
      <c r="AJ108" s="1517"/>
      <c r="AK108" s="1517"/>
      <c r="AL108" s="1517"/>
      <c r="AM108" s="1517"/>
      <c r="AN108" s="1517"/>
      <c r="AO108" s="1517"/>
      <c r="AP108" s="1517"/>
      <c r="AQ108" s="1517"/>
      <c r="AR108" s="1517"/>
      <c r="AS108" s="1517"/>
      <c r="AT108" s="1517"/>
      <c r="AU108" s="1517"/>
      <c r="AV108" s="1517"/>
      <c r="AW108" s="1517"/>
      <c r="AX108" s="1517"/>
      <c r="AY108" s="1517"/>
      <c r="AZ108" s="1517"/>
      <c r="BA108" s="1517"/>
      <c r="BB108" s="1517"/>
      <c r="BC108" s="1517"/>
      <c r="BD108" s="1517"/>
      <c r="BE108" s="1517"/>
      <c r="BF108" s="1517"/>
      <c r="BG108" s="1517"/>
      <c r="BH108" s="1517"/>
      <c r="BI108" s="1517"/>
      <c r="BJ108" s="1517"/>
      <c r="BK108" s="1517"/>
      <c r="BL108" s="1517"/>
      <c r="BM108" s="1517"/>
      <c r="BN108" s="1517"/>
      <c r="BO108" s="1517"/>
      <c r="BP108" s="1517"/>
      <c r="BQ108" s="1517"/>
      <c r="BR108" s="1517"/>
      <c r="BS108" s="1517"/>
      <c r="BT108" s="1517"/>
      <c r="BU108" s="1517"/>
      <c r="BV108" s="1517"/>
      <c r="BW108" s="1517"/>
      <c r="BX108" s="1517"/>
      <c r="BY108" s="1517"/>
      <c r="BZ108" s="1517"/>
      <c r="CA108" s="1517"/>
      <c r="CB108" s="1517"/>
      <c r="CC108" s="1517"/>
      <c r="CD108" s="1517"/>
      <c r="CE108" s="1517"/>
      <c r="CF108" s="1517"/>
      <c r="CG108" s="1517"/>
      <c r="CH108" s="1517"/>
      <c r="CI108" s="1517"/>
      <c r="CJ108" s="1517"/>
      <c r="CK108" s="1517"/>
      <c r="CL108" s="1517"/>
      <c r="CM108" s="1517"/>
      <c r="CN108" s="1517"/>
      <c r="CO108" s="1517"/>
      <c r="CP108" s="1517"/>
      <c r="CQ108" s="1517"/>
      <c r="CR108" s="1517"/>
      <c r="CS108" s="1517"/>
      <c r="CT108" s="1517"/>
      <c r="CU108" s="1517"/>
      <c r="CV108" s="1517"/>
      <c r="CW108" s="1517"/>
      <c r="CX108" s="1517"/>
      <c r="CY108" s="1517"/>
      <c r="CZ108" s="1517"/>
      <c r="DA108" s="1517"/>
      <c r="DB108" s="1517"/>
      <c r="DC108" s="1517"/>
      <c r="DD108" s="1517"/>
      <c r="DE108" s="1517"/>
      <c r="DF108" s="1517"/>
      <c r="DG108" s="1517"/>
      <c r="DH108" s="1517"/>
      <c r="DI108" s="1517"/>
      <c r="DJ108" s="1517"/>
      <c r="DK108" s="1517"/>
      <c r="DL108" s="1517"/>
      <c r="DM108" s="692"/>
    </row>
    <row r="109" spans="1:165" ht="15" customHeight="1" thickBot="1">
      <c r="B109" s="1803"/>
      <c r="C109" s="1804"/>
      <c r="D109" s="1804"/>
      <c r="E109" s="1804"/>
      <c r="F109" s="1804"/>
      <c r="G109" s="1804"/>
      <c r="H109" s="1804"/>
      <c r="I109" s="1804"/>
      <c r="J109" s="1804"/>
      <c r="K109" s="1804"/>
      <c r="L109" s="1804"/>
      <c r="M109" s="1804"/>
      <c r="N109" s="1804"/>
      <c r="O109" s="1804"/>
      <c r="P109" s="1747"/>
      <c r="Q109" s="1748"/>
      <c r="R109" s="1748"/>
      <c r="S109" s="1748"/>
      <c r="T109" s="1748"/>
      <c r="U109" s="1748"/>
      <c r="V109" s="1748"/>
      <c r="W109" s="1748"/>
      <c r="X109" s="1748"/>
      <c r="Y109" s="1748"/>
      <c r="Z109" s="1748"/>
      <c r="AA109" s="1749"/>
      <c r="AB109" s="1820"/>
      <c r="AC109" s="1821"/>
      <c r="AD109" s="1821"/>
      <c r="AE109" s="1821"/>
      <c r="AF109" s="1821"/>
      <c r="AG109" s="1821"/>
      <c r="AH109" s="1821"/>
      <c r="AI109" s="1821"/>
      <c r="AJ109" s="1821"/>
      <c r="AK109" s="1821"/>
      <c r="AL109" s="1821"/>
      <c r="AM109" s="1821"/>
      <c r="AN109" s="1821"/>
      <c r="AO109" s="1821"/>
      <c r="AP109" s="1821"/>
      <c r="AQ109" s="1821"/>
      <c r="AR109" s="1821"/>
      <c r="AS109" s="1821"/>
      <c r="AT109" s="1821"/>
      <c r="AU109" s="1821"/>
      <c r="AV109" s="1821"/>
      <c r="AW109" s="1821"/>
      <c r="AX109" s="1821"/>
      <c r="AY109" s="1821"/>
      <c r="AZ109" s="1821"/>
      <c r="BA109" s="1821"/>
      <c r="BB109" s="1821"/>
      <c r="BC109" s="1821"/>
      <c r="BD109" s="1821"/>
      <c r="BE109" s="1821"/>
      <c r="BF109" s="1821"/>
      <c r="BG109" s="1821"/>
      <c r="BH109" s="1821"/>
      <c r="BI109" s="1821"/>
      <c r="BJ109" s="1821"/>
      <c r="BK109" s="1821"/>
      <c r="BL109" s="1821"/>
      <c r="BM109" s="1821"/>
      <c r="BN109" s="1821"/>
      <c r="BO109" s="1821"/>
      <c r="BP109" s="1821"/>
      <c r="BQ109" s="1821"/>
      <c r="BR109" s="1821"/>
      <c r="BS109" s="1821"/>
      <c r="BT109" s="1821"/>
      <c r="BU109" s="1821"/>
      <c r="BV109" s="1821"/>
      <c r="BW109" s="1821"/>
      <c r="BX109" s="1821"/>
      <c r="BY109" s="1821"/>
      <c r="BZ109" s="1821"/>
      <c r="CA109" s="1821"/>
      <c r="CB109" s="1821"/>
      <c r="CC109" s="1821"/>
      <c r="CD109" s="1821"/>
      <c r="CE109" s="1821"/>
      <c r="CF109" s="1821"/>
      <c r="CG109" s="1821"/>
      <c r="CH109" s="1821"/>
      <c r="CI109" s="1821"/>
      <c r="CJ109" s="1821"/>
      <c r="CK109" s="1821"/>
      <c r="CL109" s="1821"/>
      <c r="CM109" s="1821"/>
      <c r="CN109" s="1821"/>
      <c r="CO109" s="1821"/>
      <c r="CP109" s="1821"/>
      <c r="CQ109" s="1821"/>
      <c r="CR109" s="1821"/>
      <c r="CS109" s="1821"/>
      <c r="CT109" s="1821"/>
      <c r="CU109" s="1821"/>
      <c r="CV109" s="1821"/>
      <c r="CW109" s="1821"/>
      <c r="CX109" s="1821"/>
      <c r="CY109" s="1821"/>
      <c r="CZ109" s="1821"/>
      <c r="DA109" s="1821"/>
      <c r="DB109" s="1821"/>
      <c r="DC109" s="1821"/>
      <c r="DD109" s="1821"/>
      <c r="DE109" s="1821"/>
      <c r="DF109" s="1821"/>
      <c r="DG109" s="1821"/>
      <c r="DH109" s="1821"/>
      <c r="DI109" s="1821"/>
      <c r="DJ109" s="1821"/>
      <c r="DK109" s="1821"/>
      <c r="DL109" s="1822"/>
    </row>
    <row r="110" spans="1:165" ht="4.5" customHeight="1" thickTop="1" thickBot="1"/>
    <row r="111" spans="1:165" s="200" customFormat="1" ht="7.5" customHeight="1">
      <c r="A111" s="199"/>
      <c r="B111" s="2201" t="s">
        <v>399</v>
      </c>
      <c r="C111" s="2202"/>
      <c r="D111" s="2202"/>
      <c r="E111" s="2202"/>
      <c r="F111" s="2202"/>
      <c r="G111" s="2202"/>
      <c r="H111" s="2202"/>
      <c r="I111" s="2202"/>
      <c r="J111" s="2202"/>
      <c r="K111" s="2202"/>
      <c r="L111" s="2202"/>
      <c r="M111" s="2202"/>
      <c r="N111" s="2202"/>
      <c r="O111" s="2202"/>
      <c r="P111" s="2202"/>
      <c r="Q111" s="2202"/>
      <c r="R111" s="2202"/>
      <c r="S111" s="2202"/>
      <c r="T111" s="2202"/>
      <c r="U111" s="2202"/>
      <c r="V111" s="2202"/>
      <c r="W111" s="2202"/>
      <c r="X111" s="2202"/>
      <c r="Y111" s="2202"/>
      <c r="Z111" s="2202"/>
      <c r="AA111" s="2202"/>
      <c r="AB111" s="2202"/>
      <c r="AC111" s="2202"/>
      <c r="AD111" s="2202"/>
      <c r="AE111" s="2202"/>
      <c r="AF111" s="2202"/>
      <c r="AG111" s="2202"/>
      <c r="AH111" s="2202"/>
      <c r="AI111" s="2202"/>
      <c r="AJ111" s="2202"/>
      <c r="AK111" s="2202"/>
      <c r="AL111" s="2202"/>
      <c r="AM111" s="2202"/>
      <c r="AN111" s="2202"/>
      <c r="AO111" s="2202"/>
      <c r="AP111" s="2202"/>
      <c r="AQ111" s="2202"/>
      <c r="AR111" s="2202"/>
      <c r="AS111" s="2202"/>
      <c r="AT111" s="2202"/>
      <c r="AU111" s="2202"/>
      <c r="AV111" s="2202"/>
      <c r="AW111" s="2202"/>
      <c r="AX111" s="2202"/>
      <c r="AY111" s="2202"/>
      <c r="AZ111" s="2202"/>
      <c r="BA111" s="2202"/>
      <c r="BB111" s="2202"/>
      <c r="BC111" s="2202"/>
      <c r="BD111" s="2202"/>
      <c r="BE111" s="2202"/>
      <c r="BF111" s="2202"/>
      <c r="BG111" s="2202"/>
      <c r="BH111" s="2202"/>
      <c r="BI111" s="2202"/>
      <c r="BJ111" s="2202"/>
      <c r="BK111" s="2202"/>
      <c r="BL111" s="2202"/>
      <c r="BM111" s="2202"/>
      <c r="BN111" s="2202"/>
      <c r="BO111" s="2202"/>
      <c r="BP111" s="2202"/>
      <c r="BQ111" s="2202"/>
      <c r="BR111" s="2202"/>
      <c r="BS111" s="2202"/>
      <c r="BT111" s="2202"/>
      <c r="BU111" s="2202"/>
      <c r="BV111" s="2202"/>
      <c r="BW111" s="2202"/>
      <c r="BX111" s="2202"/>
      <c r="BY111" s="2202"/>
      <c r="BZ111" s="2202"/>
      <c r="CA111" s="2202"/>
      <c r="CB111" s="2202"/>
      <c r="CC111" s="2202"/>
      <c r="CD111" s="2202"/>
      <c r="CE111" s="2202"/>
      <c r="CF111" s="2202"/>
      <c r="CG111" s="2202"/>
      <c r="CH111" s="2202"/>
      <c r="CI111" s="2202"/>
      <c r="CJ111" s="2202"/>
      <c r="CK111" s="2202"/>
      <c r="CL111" s="2202"/>
      <c r="CM111" s="2202"/>
      <c r="CN111" s="2202"/>
      <c r="CO111" s="2202"/>
      <c r="CP111" s="2202"/>
      <c r="CQ111" s="2202"/>
      <c r="CR111" s="2202"/>
      <c r="CS111" s="2202"/>
      <c r="CT111" s="2202"/>
      <c r="CU111" s="2202"/>
      <c r="CV111" s="2202"/>
      <c r="CW111" s="2202"/>
      <c r="CX111" s="2202"/>
      <c r="CY111" s="2202"/>
      <c r="CZ111" s="2202"/>
      <c r="DA111" s="2202"/>
      <c r="DB111" s="2202"/>
      <c r="DC111" s="2202"/>
      <c r="DD111" s="2202"/>
      <c r="DE111" s="2202"/>
      <c r="DF111" s="2202"/>
      <c r="DG111" s="2202"/>
      <c r="DH111" s="2202"/>
      <c r="DI111" s="2202"/>
      <c r="DJ111" s="2202"/>
      <c r="DK111" s="2202"/>
      <c r="DL111" s="2203"/>
      <c r="DM111" s="202"/>
      <c r="DN111" s="45"/>
      <c r="DO111" s="45"/>
      <c r="DP111" s="45"/>
      <c r="DQ111" s="45"/>
      <c r="DR111" s="45"/>
      <c r="DS111" s="45"/>
      <c r="DT111" s="45"/>
      <c r="DU111" s="45"/>
      <c r="DV111" s="45"/>
      <c r="DW111" s="45"/>
      <c r="DX111" s="45"/>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row>
    <row r="112" spans="1:165" s="200" customFormat="1" ht="7.5" customHeight="1" thickBot="1">
      <c r="A112" s="199"/>
      <c r="B112" s="2204"/>
      <c r="C112" s="2205"/>
      <c r="D112" s="2205"/>
      <c r="E112" s="2205"/>
      <c r="F112" s="2205"/>
      <c r="G112" s="2205"/>
      <c r="H112" s="2205"/>
      <c r="I112" s="2205"/>
      <c r="J112" s="2205"/>
      <c r="K112" s="2205"/>
      <c r="L112" s="2205"/>
      <c r="M112" s="2205"/>
      <c r="N112" s="2205"/>
      <c r="O112" s="2205"/>
      <c r="P112" s="2205"/>
      <c r="Q112" s="2205"/>
      <c r="R112" s="2205"/>
      <c r="S112" s="2205"/>
      <c r="T112" s="2205"/>
      <c r="U112" s="2205"/>
      <c r="V112" s="2205"/>
      <c r="W112" s="2205"/>
      <c r="X112" s="2205"/>
      <c r="Y112" s="2205"/>
      <c r="Z112" s="2205"/>
      <c r="AA112" s="2205"/>
      <c r="AB112" s="2205"/>
      <c r="AC112" s="2205"/>
      <c r="AD112" s="2205"/>
      <c r="AE112" s="2205"/>
      <c r="AF112" s="2205"/>
      <c r="AG112" s="2205"/>
      <c r="AH112" s="2205"/>
      <c r="AI112" s="2205"/>
      <c r="AJ112" s="2205"/>
      <c r="AK112" s="2206"/>
      <c r="AL112" s="2206"/>
      <c r="AM112" s="2206"/>
      <c r="AN112" s="2206"/>
      <c r="AO112" s="2206"/>
      <c r="AP112" s="2206"/>
      <c r="AQ112" s="2206"/>
      <c r="AR112" s="2206"/>
      <c r="AS112" s="2206"/>
      <c r="AT112" s="2206"/>
      <c r="AU112" s="2206"/>
      <c r="AV112" s="2206"/>
      <c r="AW112" s="2206"/>
      <c r="AX112" s="2206"/>
      <c r="AY112" s="2206"/>
      <c r="AZ112" s="2205"/>
      <c r="BA112" s="2205"/>
      <c r="BB112" s="2205"/>
      <c r="BC112" s="2205"/>
      <c r="BD112" s="2205"/>
      <c r="BE112" s="2205"/>
      <c r="BF112" s="2205"/>
      <c r="BG112" s="2205"/>
      <c r="BH112" s="2205"/>
      <c r="BI112" s="2205"/>
      <c r="BJ112" s="2205"/>
      <c r="BK112" s="2205"/>
      <c r="BL112" s="2205"/>
      <c r="BM112" s="2205"/>
      <c r="BN112" s="2205"/>
      <c r="BO112" s="2205"/>
      <c r="BP112" s="2205"/>
      <c r="BQ112" s="2205"/>
      <c r="BR112" s="2205"/>
      <c r="BS112" s="2205"/>
      <c r="BT112" s="2205"/>
      <c r="BU112" s="2205"/>
      <c r="BV112" s="2205"/>
      <c r="BW112" s="2205"/>
      <c r="BX112" s="2205"/>
      <c r="BY112" s="2205"/>
      <c r="BZ112" s="2205"/>
      <c r="CA112" s="2205"/>
      <c r="CB112" s="2205"/>
      <c r="CC112" s="2205"/>
      <c r="CD112" s="2205"/>
      <c r="CE112" s="2205"/>
      <c r="CF112" s="2205"/>
      <c r="CG112" s="2205"/>
      <c r="CH112" s="2205"/>
      <c r="CI112" s="2205"/>
      <c r="CJ112" s="2205"/>
      <c r="CK112" s="2205"/>
      <c r="CL112" s="2205"/>
      <c r="CM112" s="2205"/>
      <c r="CN112" s="2205"/>
      <c r="CO112" s="2205"/>
      <c r="CP112" s="2205"/>
      <c r="CQ112" s="2205"/>
      <c r="CR112" s="2205"/>
      <c r="CS112" s="2205"/>
      <c r="CT112" s="2205"/>
      <c r="CU112" s="2205"/>
      <c r="CV112" s="2205"/>
      <c r="CW112" s="2205"/>
      <c r="CX112" s="2205"/>
      <c r="CY112" s="2205"/>
      <c r="CZ112" s="2205"/>
      <c r="DA112" s="2205"/>
      <c r="DB112" s="2205"/>
      <c r="DC112" s="2205"/>
      <c r="DD112" s="2205"/>
      <c r="DE112" s="2205"/>
      <c r="DF112" s="2205"/>
      <c r="DG112" s="2205"/>
      <c r="DH112" s="2205"/>
      <c r="DI112" s="2205"/>
      <c r="DJ112" s="2205"/>
      <c r="DK112" s="2205"/>
      <c r="DL112" s="2207"/>
      <c r="DM112" s="202"/>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45"/>
      <c r="EK112" s="45"/>
      <c r="EL112" s="45"/>
      <c r="EM112" s="45"/>
      <c r="EN112" s="45"/>
      <c r="EO112" s="45"/>
      <c r="EP112" s="45"/>
      <c r="EQ112" s="45"/>
      <c r="ER112" s="45"/>
      <c r="ES112" s="45"/>
      <c r="ET112" s="45"/>
      <c r="EU112" s="45"/>
      <c r="EV112" s="45"/>
      <c r="EW112" s="45"/>
      <c r="EX112" s="45"/>
      <c r="EY112" s="45"/>
      <c r="EZ112" s="45"/>
      <c r="FA112" s="45"/>
      <c r="FB112" s="45"/>
      <c r="FC112" s="45"/>
      <c r="FD112" s="45"/>
      <c r="FE112" s="45"/>
      <c r="FF112" s="45"/>
      <c r="FG112" s="45"/>
      <c r="FH112" s="45"/>
      <c r="FI112" s="45"/>
    </row>
    <row r="113" spans="2:165" ht="7.5" customHeight="1" thickTop="1">
      <c r="B113" s="2219" t="s">
        <v>241</v>
      </c>
      <c r="C113" s="2220"/>
      <c r="D113" s="2220"/>
      <c r="E113" s="2220"/>
      <c r="F113" s="2220"/>
      <c r="G113" s="2220"/>
      <c r="H113" s="1641"/>
      <c r="I113" s="1641"/>
      <c r="J113" s="1641"/>
      <c r="K113" s="1641"/>
      <c r="L113" s="1641"/>
      <c r="M113" s="1641"/>
      <c r="N113" s="1641"/>
      <c r="O113" s="1641"/>
      <c r="P113" s="1641"/>
      <c r="Q113" s="1641"/>
      <c r="R113" s="1641"/>
      <c r="S113" s="1641"/>
      <c r="T113" s="1641"/>
      <c r="U113" s="774" t="s">
        <v>242</v>
      </c>
      <c r="V113" s="774"/>
      <c r="W113" s="774"/>
      <c r="X113" s="774"/>
      <c r="Y113" s="774"/>
      <c r="Z113" s="774"/>
      <c r="AA113" s="1641"/>
      <c r="AB113" s="1641"/>
      <c r="AC113" s="1641"/>
      <c r="AD113" s="1641"/>
      <c r="AE113" s="1641"/>
      <c r="AF113" s="1641"/>
      <c r="AG113" s="1641"/>
      <c r="AH113" s="1641"/>
      <c r="AI113" s="1641"/>
      <c r="AJ113" s="1641"/>
      <c r="AK113" s="1823" t="s">
        <v>1485</v>
      </c>
      <c r="AL113" s="1824"/>
      <c r="AM113" s="1824"/>
      <c r="AN113" s="1824"/>
      <c r="AO113" s="1824"/>
      <c r="AP113" s="2217"/>
      <c r="AQ113" s="1837"/>
      <c r="AR113" s="1838"/>
      <c r="AS113" s="1838"/>
      <c r="AT113" s="1838"/>
      <c r="AU113" s="1838"/>
      <c r="AV113" s="1838"/>
      <c r="AW113" s="1838"/>
      <c r="AX113" s="1838"/>
      <c r="AY113" s="1839"/>
      <c r="AZ113" s="774" t="s">
        <v>391</v>
      </c>
      <c r="BA113" s="774"/>
      <c r="BB113" s="774"/>
      <c r="BC113" s="774"/>
      <c r="BD113" s="774"/>
      <c r="BE113" s="774"/>
      <c r="BF113" s="1577"/>
      <c r="BG113" s="1577"/>
      <c r="BH113" s="1577"/>
      <c r="BI113" s="1577"/>
      <c r="BJ113" s="1577"/>
      <c r="BK113" s="774" t="s">
        <v>246</v>
      </c>
      <c r="BL113" s="774"/>
      <c r="BM113" s="774"/>
      <c r="BN113" s="774"/>
      <c r="BO113" s="774"/>
      <c r="BP113" s="774"/>
      <c r="BQ113" s="1750"/>
      <c r="BR113" s="1366"/>
      <c r="BS113" s="1367"/>
      <c r="BT113" s="1368"/>
      <c r="BU113" s="1422" t="s">
        <v>392</v>
      </c>
      <c r="BV113" s="774"/>
      <c r="BW113" s="774"/>
      <c r="BX113" s="774"/>
      <c r="BY113" s="774"/>
      <c r="BZ113" s="774"/>
      <c r="CA113" s="774"/>
      <c r="CB113" s="1750"/>
      <c r="CC113" s="1398"/>
      <c r="CD113" s="1399"/>
      <c r="CE113" s="1399"/>
      <c r="CF113" s="1399"/>
      <c r="CG113" s="1399"/>
      <c r="CH113" s="1399"/>
      <c r="CI113" s="1399"/>
      <c r="CJ113" s="1399"/>
      <c r="CK113" s="1399"/>
      <c r="CL113" s="1399"/>
      <c r="CM113" s="1399"/>
      <c r="CN113" s="1399"/>
      <c r="CO113" s="1399"/>
      <c r="CP113" s="1399"/>
      <c r="CQ113" s="1399"/>
      <c r="CR113" s="1399"/>
      <c r="CS113" s="1399"/>
      <c r="CT113" s="1399"/>
      <c r="CU113" s="1399"/>
      <c r="CV113" s="1399"/>
      <c r="CW113" s="1399"/>
      <c r="CX113" s="1399"/>
      <c r="CY113" s="1399"/>
      <c r="CZ113" s="774" t="s">
        <v>38</v>
      </c>
      <c r="DA113" s="774"/>
      <c r="DB113" s="774"/>
      <c r="DC113" s="774"/>
      <c r="DD113" s="774"/>
      <c r="DE113" s="774"/>
      <c r="DF113" s="774"/>
      <c r="DG113" s="774"/>
      <c r="DH113" s="1641"/>
      <c r="DI113" s="1641"/>
      <c r="DJ113" s="1641"/>
      <c r="DK113" s="1641"/>
      <c r="DL113" s="2200"/>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row>
    <row r="114" spans="2:165" ht="7.5" customHeight="1">
      <c r="B114" s="2219"/>
      <c r="C114" s="2220"/>
      <c r="D114" s="2220"/>
      <c r="E114" s="2220"/>
      <c r="F114" s="2220"/>
      <c r="G114" s="2220"/>
      <c r="H114" s="1641"/>
      <c r="I114" s="1641"/>
      <c r="J114" s="1641"/>
      <c r="K114" s="1641"/>
      <c r="L114" s="1641"/>
      <c r="M114" s="1641"/>
      <c r="N114" s="1641"/>
      <c r="O114" s="1641"/>
      <c r="P114" s="1641"/>
      <c r="Q114" s="1641"/>
      <c r="R114" s="1641"/>
      <c r="S114" s="1641"/>
      <c r="T114" s="1641"/>
      <c r="U114" s="774"/>
      <c r="V114" s="774"/>
      <c r="W114" s="774"/>
      <c r="X114" s="774"/>
      <c r="Y114" s="774"/>
      <c r="Z114" s="774"/>
      <c r="AA114" s="1641"/>
      <c r="AB114" s="1641"/>
      <c r="AC114" s="1641"/>
      <c r="AD114" s="1641"/>
      <c r="AE114" s="1641"/>
      <c r="AF114" s="1641"/>
      <c r="AG114" s="1641"/>
      <c r="AH114" s="1641"/>
      <c r="AI114" s="1641"/>
      <c r="AJ114" s="1641"/>
      <c r="AK114" s="1826"/>
      <c r="AL114" s="774"/>
      <c r="AM114" s="774"/>
      <c r="AN114" s="774"/>
      <c r="AO114" s="774"/>
      <c r="AP114" s="1423"/>
      <c r="AQ114" s="1651"/>
      <c r="AR114" s="1641"/>
      <c r="AS114" s="1641"/>
      <c r="AT114" s="1641"/>
      <c r="AU114" s="1641"/>
      <c r="AV114" s="1641"/>
      <c r="AW114" s="1641"/>
      <c r="AX114" s="1641"/>
      <c r="AY114" s="1840"/>
      <c r="AZ114" s="774"/>
      <c r="BA114" s="774"/>
      <c r="BB114" s="774"/>
      <c r="BC114" s="774"/>
      <c r="BD114" s="774"/>
      <c r="BE114" s="774"/>
      <c r="BF114" s="1577"/>
      <c r="BG114" s="1577"/>
      <c r="BH114" s="1577"/>
      <c r="BI114" s="1577"/>
      <c r="BJ114" s="1577"/>
      <c r="BK114" s="774"/>
      <c r="BL114" s="774"/>
      <c r="BM114" s="774"/>
      <c r="BN114" s="774"/>
      <c r="BO114" s="774"/>
      <c r="BP114" s="774"/>
      <c r="BQ114" s="1750"/>
      <c r="BR114" s="1366"/>
      <c r="BS114" s="1367"/>
      <c r="BT114" s="1368"/>
      <c r="BU114" s="1422"/>
      <c r="BV114" s="774"/>
      <c r="BW114" s="774"/>
      <c r="BX114" s="774"/>
      <c r="BY114" s="774"/>
      <c r="BZ114" s="774"/>
      <c r="CA114" s="774"/>
      <c r="CB114" s="1750"/>
      <c r="CC114" s="1398"/>
      <c r="CD114" s="1399"/>
      <c r="CE114" s="1399"/>
      <c r="CF114" s="1399"/>
      <c r="CG114" s="1399"/>
      <c r="CH114" s="1399"/>
      <c r="CI114" s="1399"/>
      <c r="CJ114" s="1399"/>
      <c r="CK114" s="1399"/>
      <c r="CL114" s="1399"/>
      <c r="CM114" s="1399"/>
      <c r="CN114" s="1399"/>
      <c r="CO114" s="1399"/>
      <c r="CP114" s="1399"/>
      <c r="CQ114" s="1399"/>
      <c r="CR114" s="1399"/>
      <c r="CS114" s="1399"/>
      <c r="CT114" s="1399"/>
      <c r="CU114" s="1399"/>
      <c r="CV114" s="1399"/>
      <c r="CW114" s="1399"/>
      <c r="CX114" s="1399"/>
      <c r="CY114" s="1399"/>
      <c r="CZ114" s="774"/>
      <c r="DA114" s="774"/>
      <c r="DB114" s="774"/>
      <c r="DC114" s="774"/>
      <c r="DD114" s="774"/>
      <c r="DE114" s="774"/>
      <c r="DF114" s="774"/>
      <c r="DG114" s="774"/>
      <c r="DH114" s="1641"/>
      <c r="DI114" s="1641"/>
      <c r="DJ114" s="1641"/>
      <c r="DK114" s="1641"/>
      <c r="DL114" s="2200"/>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row>
    <row r="115" spans="2:165" ht="7.5" customHeight="1" thickBot="1">
      <c r="B115" s="2221"/>
      <c r="C115" s="2222"/>
      <c r="D115" s="2222"/>
      <c r="E115" s="2222"/>
      <c r="F115" s="2222"/>
      <c r="G115" s="2222"/>
      <c r="H115" s="1766"/>
      <c r="I115" s="1766"/>
      <c r="J115" s="1766"/>
      <c r="K115" s="1766"/>
      <c r="L115" s="1766"/>
      <c r="M115" s="1766"/>
      <c r="N115" s="1766"/>
      <c r="O115" s="1766"/>
      <c r="P115" s="1766"/>
      <c r="Q115" s="1766"/>
      <c r="R115" s="1766"/>
      <c r="S115" s="1766"/>
      <c r="T115" s="1766"/>
      <c r="U115" s="1752"/>
      <c r="V115" s="1752"/>
      <c r="W115" s="1752"/>
      <c r="X115" s="1752"/>
      <c r="Y115" s="1752"/>
      <c r="Z115" s="1752"/>
      <c r="AA115" s="1766"/>
      <c r="AB115" s="1766"/>
      <c r="AC115" s="1766"/>
      <c r="AD115" s="1766"/>
      <c r="AE115" s="1766"/>
      <c r="AF115" s="1766"/>
      <c r="AG115" s="1766"/>
      <c r="AH115" s="1766"/>
      <c r="AI115" s="1766"/>
      <c r="AJ115" s="1766"/>
      <c r="AK115" s="1827"/>
      <c r="AL115" s="1828"/>
      <c r="AM115" s="1828"/>
      <c r="AN115" s="1828"/>
      <c r="AO115" s="1828"/>
      <c r="AP115" s="2218"/>
      <c r="AQ115" s="1841"/>
      <c r="AR115" s="1842"/>
      <c r="AS115" s="1842"/>
      <c r="AT115" s="1842"/>
      <c r="AU115" s="1842"/>
      <c r="AV115" s="1842"/>
      <c r="AW115" s="1842"/>
      <c r="AX115" s="1842"/>
      <c r="AY115" s="1843"/>
      <c r="AZ115" s="1752"/>
      <c r="BA115" s="1752"/>
      <c r="BB115" s="1752"/>
      <c r="BC115" s="1752"/>
      <c r="BD115" s="1752"/>
      <c r="BE115" s="1752"/>
      <c r="BF115" s="1698"/>
      <c r="BG115" s="1698"/>
      <c r="BH115" s="1698"/>
      <c r="BI115" s="1698"/>
      <c r="BJ115" s="1698"/>
      <c r="BK115" s="1752"/>
      <c r="BL115" s="1752"/>
      <c r="BM115" s="1752"/>
      <c r="BN115" s="1752"/>
      <c r="BO115" s="1752"/>
      <c r="BP115" s="1752"/>
      <c r="BQ115" s="1753"/>
      <c r="BR115" s="1778"/>
      <c r="BS115" s="1779"/>
      <c r="BT115" s="1780"/>
      <c r="BU115" s="1751"/>
      <c r="BV115" s="1752"/>
      <c r="BW115" s="1752"/>
      <c r="BX115" s="1752"/>
      <c r="BY115" s="1752"/>
      <c r="BZ115" s="1752"/>
      <c r="CA115" s="1752"/>
      <c r="CB115" s="1753"/>
      <c r="CC115" s="1705"/>
      <c r="CD115" s="1706"/>
      <c r="CE115" s="1706"/>
      <c r="CF115" s="1706"/>
      <c r="CG115" s="1706"/>
      <c r="CH115" s="1706"/>
      <c r="CI115" s="1706"/>
      <c r="CJ115" s="1706"/>
      <c r="CK115" s="1706"/>
      <c r="CL115" s="1706"/>
      <c r="CM115" s="1706"/>
      <c r="CN115" s="1706"/>
      <c r="CO115" s="1706"/>
      <c r="CP115" s="1706"/>
      <c r="CQ115" s="1706"/>
      <c r="CR115" s="1706"/>
      <c r="CS115" s="1706"/>
      <c r="CT115" s="1706"/>
      <c r="CU115" s="1706"/>
      <c r="CV115" s="1706"/>
      <c r="CW115" s="1706"/>
      <c r="CX115" s="1706"/>
      <c r="CY115" s="1706"/>
      <c r="CZ115" s="1478"/>
      <c r="DA115" s="1478"/>
      <c r="DB115" s="774"/>
      <c r="DC115" s="774"/>
      <c r="DD115" s="774"/>
      <c r="DE115" s="774"/>
      <c r="DF115" s="774"/>
      <c r="DG115" s="774"/>
      <c r="DH115" s="1641"/>
      <c r="DI115" s="1641"/>
      <c r="DJ115" s="1641"/>
      <c r="DK115" s="1641"/>
      <c r="DL115" s="2200"/>
      <c r="DN115" s="110"/>
      <c r="DO115" s="110"/>
      <c r="DP115" s="110"/>
      <c r="DQ115" s="110"/>
      <c r="DR115" s="110"/>
      <c r="DS115" s="110"/>
      <c r="DT115" s="110"/>
      <c r="DU115" s="110"/>
    </row>
    <row r="116" spans="2:165" ht="7.5" customHeight="1" thickTop="1">
      <c r="B116" s="1274" t="s">
        <v>393</v>
      </c>
      <c r="C116" s="1275"/>
      <c r="D116" s="1275"/>
      <c r="E116" s="1275"/>
      <c r="F116" s="1275"/>
      <c r="G116" s="1275"/>
      <c r="H116" s="1275"/>
      <c r="I116" s="1276"/>
      <c r="J116" s="1338">
        <v>20</v>
      </c>
      <c r="K116" s="1338"/>
      <c r="L116" s="1338"/>
      <c r="M116" s="1338"/>
      <c r="N116" s="1340"/>
      <c r="O116" s="1340"/>
      <c r="P116" s="1340"/>
      <c r="Q116" s="1340"/>
      <c r="R116" s="1342" t="s">
        <v>0</v>
      </c>
      <c r="S116" s="1342"/>
      <c r="T116" s="1342"/>
      <c r="U116" s="1344"/>
      <c r="V116" s="1344"/>
      <c r="W116" s="1344"/>
      <c r="X116" s="1344"/>
      <c r="Y116" s="1342" t="s">
        <v>1</v>
      </c>
      <c r="Z116" s="1342"/>
      <c r="AA116" s="1342"/>
      <c r="AB116" s="1346">
        <v>1</v>
      </c>
      <c r="AC116" s="1346"/>
      <c r="AD116" s="1346"/>
      <c r="AE116" s="1348" t="s">
        <v>394</v>
      </c>
      <c r="AF116" s="1348"/>
      <c r="AG116" s="1348"/>
      <c r="AH116" s="1348"/>
      <c r="AI116" s="1830" t="s">
        <v>400</v>
      </c>
      <c r="AJ116" s="1831"/>
      <c r="AK116" s="1832"/>
      <c r="AL116" s="1832"/>
      <c r="AM116" s="1832"/>
      <c r="AN116" s="1832"/>
      <c r="AO116" s="1832"/>
      <c r="AP116" s="1832"/>
      <c r="AQ116" s="1832"/>
      <c r="AR116" s="1832"/>
      <c r="AS116" s="1832"/>
      <c r="AT116" s="1832"/>
      <c r="AU116" s="1832"/>
      <c r="AV116" s="1832"/>
      <c r="AW116" s="1832"/>
      <c r="AX116" s="1832"/>
      <c r="AY116" s="1832"/>
      <c r="AZ116" s="1831"/>
      <c r="BA116" s="1831"/>
      <c r="BB116" s="1831"/>
      <c r="BC116" s="1831"/>
      <c r="BD116" s="1833"/>
      <c r="BE116" s="1713" t="s">
        <v>401</v>
      </c>
      <c r="BF116" s="1714"/>
      <c r="BG116" s="1714"/>
      <c r="BH116" s="1714"/>
      <c r="BI116" s="1714"/>
      <c r="BJ116" s="1715"/>
      <c r="BK116" s="1738" t="s">
        <v>1172</v>
      </c>
      <c r="BL116" s="1739"/>
      <c r="BM116" s="1739"/>
      <c r="BN116" s="1739"/>
      <c r="BO116" s="1739"/>
      <c r="BP116" s="1739"/>
      <c r="BQ116" s="1740"/>
      <c r="BR116" s="1768"/>
      <c r="BS116" s="1769"/>
      <c r="BT116" s="1769"/>
      <c r="BU116" s="1769"/>
      <c r="BV116" s="1769"/>
      <c r="BW116" s="1769"/>
      <c r="BX116" s="1769"/>
      <c r="BY116" s="1769"/>
      <c r="BZ116" s="1769"/>
      <c r="CA116" s="1770"/>
      <c r="CB116" s="1925" t="s">
        <v>1211</v>
      </c>
      <c r="CC116" s="1797"/>
      <c r="CD116" s="1797"/>
      <c r="CE116" s="1797"/>
      <c r="CF116" s="1797"/>
      <c r="CG116" s="1797"/>
      <c r="CH116" s="1797"/>
      <c r="CI116" s="1797"/>
      <c r="CJ116" s="1797"/>
      <c r="CK116" s="1797"/>
      <c r="CL116" s="1797"/>
      <c r="CM116" s="1805"/>
      <c r="CN116" s="1806"/>
      <c r="CO116" s="1806"/>
      <c r="CP116" s="1275" t="s">
        <v>1209</v>
      </c>
      <c r="CQ116" s="1275"/>
      <c r="CR116" s="1275"/>
      <c r="CS116" s="1275"/>
      <c r="CT116" s="1275"/>
      <c r="CU116" s="1275"/>
      <c r="CV116" s="1275"/>
      <c r="CW116" s="1275"/>
      <c r="CX116" s="1887"/>
      <c r="CY116" s="1896"/>
      <c r="CZ116" s="1896"/>
      <c r="DA116" s="1896"/>
      <c r="DB116" s="1823" t="s">
        <v>1258</v>
      </c>
      <c r="DC116" s="1824"/>
      <c r="DD116" s="1824"/>
      <c r="DE116" s="1824"/>
      <c r="DF116" s="1824"/>
      <c r="DG116" s="1824"/>
      <c r="DH116" s="1824"/>
      <c r="DI116" s="1825"/>
      <c r="DJ116" s="1892"/>
      <c r="DK116" s="1893"/>
      <c r="DL116" s="1894"/>
      <c r="DN116" s="110"/>
      <c r="DO116" s="110"/>
      <c r="DP116" s="110"/>
      <c r="DQ116" s="110"/>
      <c r="DR116" s="110"/>
      <c r="DS116" s="110"/>
      <c r="DT116" s="110"/>
      <c r="DU116" s="110"/>
    </row>
    <row r="117" spans="2:165" ht="7.5" customHeight="1">
      <c r="B117" s="1476"/>
      <c r="C117" s="774"/>
      <c r="D117" s="774"/>
      <c r="E117" s="774"/>
      <c r="F117" s="774"/>
      <c r="G117" s="774"/>
      <c r="H117" s="774"/>
      <c r="I117" s="1750"/>
      <c r="J117" s="1338"/>
      <c r="K117" s="1338"/>
      <c r="L117" s="1338"/>
      <c r="M117" s="1338"/>
      <c r="N117" s="1340"/>
      <c r="O117" s="1340"/>
      <c r="P117" s="1340"/>
      <c r="Q117" s="1340"/>
      <c r="R117" s="1342"/>
      <c r="S117" s="1342"/>
      <c r="T117" s="1342"/>
      <c r="U117" s="1344"/>
      <c r="V117" s="1344"/>
      <c r="W117" s="1344"/>
      <c r="X117" s="1344"/>
      <c r="Y117" s="1342"/>
      <c r="Z117" s="1342"/>
      <c r="AA117" s="1342"/>
      <c r="AB117" s="1346"/>
      <c r="AC117" s="1346"/>
      <c r="AD117" s="1346"/>
      <c r="AE117" s="1348"/>
      <c r="AF117" s="1348"/>
      <c r="AG117" s="1348"/>
      <c r="AH117" s="1348"/>
      <c r="AI117" s="1830"/>
      <c r="AJ117" s="1831"/>
      <c r="AK117" s="1831"/>
      <c r="AL117" s="1831"/>
      <c r="AM117" s="1831"/>
      <c r="AN117" s="1831"/>
      <c r="AO117" s="1831"/>
      <c r="AP117" s="1831"/>
      <c r="AQ117" s="1831"/>
      <c r="AR117" s="1831"/>
      <c r="AS117" s="1831"/>
      <c r="AT117" s="1831"/>
      <c r="AU117" s="1831"/>
      <c r="AV117" s="1831"/>
      <c r="AW117" s="1831"/>
      <c r="AX117" s="1831"/>
      <c r="AY117" s="1831"/>
      <c r="AZ117" s="1831"/>
      <c r="BA117" s="1831"/>
      <c r="BB117" s="1831"/>
      <c r="BC117" s="1831"/>
      <c r="BD117" s="1833"/>
      <c r="BE117" s="1716"/>
      <c r="BF117" s="1717"/>
      <c r="BG117" s="1717"/>
      <c r="BH117" s="1717"/>
      <c r="BI117" s="1717"/>
      <c r="BJ117" s="1718"/>
      <c r="BK117" s="1741"/>
      <c r="BL117" s="1742"/>
      <c r="BM117" s="1742"/>
      <c r="BN117" s="1742"/>
      <c r="BO117" s="1742"/>
      <c r="BP117" s="1742"/>
      <c r="BQ117" s="1743"/>
      <c r="BR117" s="1771"/>
      <c r="BS117" s="1772"/>
      <c r="BT117" s="1772"/>
      <c r="BU117" s="1772"/>
      <c r="BV117" s="1772"/>
      <c r="BW117" s="1772"/>
      <c r="BX117" s="1772"/>
      <c r="BY117" s="1772"/>
      <c r="BZ117" s="1772"/>
      <c r="CA117" s="1773"/>
      <c r="CB117" s="1926"/>
      <c r="CC117" s="1725"/>
      <c r="CD117" s="1725"/>
      <c r="CE117" s="1725"/>
      <c r="CF117" s="1725"/>
      <c r="CG117" s="1725"/>
      <c r="CH117" s="1725"/>
      <c r="CI117" s="1725"/>
      <c r="CJ117" s="1725"/>
      <c r="CK117" s="1725"/>
      <c r="CL117" s="1725"/>
      <c r="CM117" s="1807"/>
      <c r="CN117" s="1808"/>
      <c r="CO117" s="1808"/>
      <c r="CP117" s="774"/>
      <c r="CQ117" s="774"/>
      <c r="CR117" s="774"/>
      <c r="CS117" s="774"/>
      <c r="CT117" s="774"/>
      <c r="CU117" s="774"/>
      <c r="CV117" s="774"/>
      <c r="CW117" s="774"/>
      <c r="CX117" s="1433"/>
      <c r="CY117" s="1896"/>
      <c r="CZ117" s="1896"/>
      <c r="DA117" s="1896"/>
      <c r="DB117" s="1826"/>
      <c r="DC117" s="774"/>
      <c r="DD117" s="774"/>
      <c r="DE117" s="774"/>
      <c r="DF117" s="774"/>
      <c r="DG117" s="774"/>
      <c r="DH117" s="774"/>
      <c r="DI117" s="1433"/>
      <c r="DJ117" s="1895"/>
      <c r="DK117" s="1896"/>
      <c r="DL117" s="1897"/>
      <c r="DN117" s="110"/>
      <c r="DO117" s="110"/>
      <c r="DP117" s="110"/>
      <c r="DQ117" s="110"/>
      <c r="DR117" s="110"/>
      <c r="DS117" s="110"/>
      <c r="DT117" s="110"/>
      <c r="DU117" s="110"/>
    </row>
    <row r="118" spans="2:165" ht="7.5" customHeight="1" thickBot="1">
      <c r="B118" s="1476"/>
      <c r="C118" s="774"/>
      <c r="D118" s="774"/>
      <c r="E118" s="774"/>
      <c r="F118" s="774"/>
      <c r="G118" s="774"/>
      <c r="H118" s="774"/>
      <c r="I118" s="1750"/>
      <c r="J118" s="1811"/>
      <c r="K118" s="1811"/>
      <c r="L118" s="1811"/>
      <c r="M118" s="1811"/>
      <c r="N118" s="1812"/>
      <c r="O118" s="1812"/>
      <c r="P118" s="1812"/>
      <c r="Q118" s="1812"/>
      <c r="R118" s="1712"/>
      <c r="S118" s="1712"/>
      <c r="T118" s="1712"/>
      <c r="U118" s="1737"/>
      <c r="V118" s="1737"/>
      <c r="W118" s="1737"/>
      <c r="X118" s="1737"/>
      <c r="Y118" s="1712"/>
      <c r="Z118" s="1712"/>
      <c r="AA118" s="1712"/>
      <c r="AB118" s="1848"/>
      <c r="AC118" s="1848"/>
      <c r="AD118" s="1848"/>
      <c r="AE118" s="1777"/>
      <c r="AF118" s="1777"/>
      <c r="AG118" s="1777"/>
      <c r="AH118" s="1777"/>
      <c r="AI118" s="1834"/>
      <c r="AJ118" s="1835"/>
      <c r="AK118" s="1835"/>
      <c r="AL118" s="1835"/>
      <c r="AM118" s="1835"/>
      <c r="AN118" s="1835"/>
      <c r="AO118" s="1835"/>
      <c r="AP118" s="1835"/>
      <c r="AQ118" s="1835"/>
      <c r="AR118" s="1835"/>
      <c r="AS118" s="1835"/>
      <c r="AT118" s="1835"/>
      <c r="AU118" s="1835"/>
      <c r="AV118" s="1835"/>
      <c r="AW118" s="1835"/>
      <c r="AX118" s="1835"/>
      <c r="AY118" s="1835"/>
      <c r="AZ118" s="1835"/>
      <c r="BA118" s="1835"/>
      <c r="BB118" s="1835"/>
      <c r="BC118" s="1835"/>
      <c r="BD118" s="1836"/>
      <c r="BE118" s="1719"/>
      <c r="BF118" s="1720"/>
      <c r="BG118" s="1720"/>
      <c r="BH118" s="1720"/>
      <c r="BI118" s="1720"/>
      <c r="BJ118" s="1721"/>
      <c r="BK118" s="1744"/>
      <c r="BL118" s="1745"/>
      <c r="BM118" s="1745"/>
      <c r="BN118" s="1745"/>
      <c r="BO118" s="1745"/>
      <c r="BP118" s="1745"/>
      <c r="BQ118" s="1746"/>
      <c r="BR118" s="1774"/>
      <c r="BS118" s="1775"/>
      <c r="BT118" s="1775"/>
      <c r="BU118" s="1775"/>
      <c r="BV118" s="1775"/>
      <c r="BW118" s="1775"/>
      <c r="BX118" s="1775"/>
      <c r="BY118" s="1775"/>
      <c r="BZ118" s="1775"/>
      <c r="CA118" s="1776"/>
      <c r="CB118" s="1926"/>
      <c r="CC118" s="1725"/>
      <c r="CD118" s="1725"/>
      <c r="CE118" s="1725"/>
      <c r="CF118" s="1725"/>
      <c r="CG118" s="1725"/>
      <c r="CH118" s="1725"/>
      <c r="CI118" s="1725"/>
      <c r="CJ118" s="1725"/>
      <c r="CK118" s="1725"/>
      <c r="CL118" s="1725"/>
      <c r="CM118" s="1809"/>
      <c r="CN118" s="1810"/>
      <c r="CO118" s="1810"/>
      <c r="CP118" s="1478"/>
      <c r="CQ118" s="1478"/>
      <c r="CR118" s="1478"/>
      <c r="CS118" s="1478"/>
      <c r="CT118" s="1478"/>
      <c r="CU118" s="1478"/>
      <c r="CV118" s="1478"/>
      <c r="CW118" s="1478"/>
      <c r="CX118" s="1602"/>
      <c r="CY118" s="1927"/>
      <c r="CZ118" s="1927"/>
      <c r="DA118" s="1927"/>
      <c r="DB118" s="1827"/>
      <c r="DC118" s="1828"/>
      <c r="DD118" s="1828"/>
      <c r="DE118" s="1828"/>
      <c r="DF118" s="1828"/>
      <c r="DG118" s="1828"/>
      <c r="DH118" s="1828"/>
      <c r="DI118" s="1829"/>
      <c r="DJ118" s="1898"/>
      <c r="DK118" s="1899"/>
      <c r="DL118" s="1900"/>
      <c r="DN118" s="110"/>
      <c r="DO118" s="110"/>
      <c r="DP118" s="110"/>
      <c r="DQ118" s="110"/>
      <c r="DR118" s="110"/>
      <c r="DS118" s="110"/>
      <c r="DT118" s="110"/>
      <c r="DU118" s="110"/>
    </row>
    <row r="119" spans="2:165" ht="7.5" customHeight="1" thickTop="1">
      <c r="B119" s="1796" t="s">
        <v>1164</v>
      </c>
      <c r="C119" s="1797"/>
      <c r="D119" s="1797"/>
      <c r="E119" s="1797"/>
      <c r="F119" s="1797"/>
      <c r="G119" s="1797"/>
      <c r="H119" s="1798"/>
      <c r="I119" s="1708"/>
      <c r="J119" s="1709"/>
      <c r="K119" s="1709"/>
      <c r="L119" s="1709"/>
      <c r="M119" s="1709"/>
      <c r="N119" s="1709"/>
      <c r="O119" s="1709"/>
      <c r="P119" s="1709"/>
      <c r="Q119" s="1709"/>
      <c r="R119" s="1709"/>
      <c r="S119" s="1709"/>
      <c r="T119" s="1709"/>
      <c r="U119" s="1709"/>
      <c r="V119" s="1709"/>
      <c r="W119" s="1709"/>
      <c r="X119" s="1709"/>
      <c r="Y119" s="1904" t="s">
        <v>1198</v>
      </c>
      <c r="Z119" s="1905"/>
      <c r="AA119" s="1905"/>
      <c r="AB119" s="1905"/>
      <c r="AC119" s="1905"/>
      <c r="AD119" s="1905"/>
      <c r="AE119" s="1905"/>
      <c r="AF119" s="1905"/>
      <c r="AG119" s="1905"/>
      <c r="AH119" s="1905"/>
      <c r="AI119" s="1906"/>
      <c r="AJ119" s="1906"/>
      <c r="AK119" s="1910"/>
      <c r="AL119" s="1911"/>
      <c r="AM119" s="1849" t="s">
        <v>1173</v>
      </c>
      <c r="AN119" s="1723"/>
      <c r="AO119" s="1723"/>
      <c r="AP119" s="1723"/>
      <c r="AQ119" s="1723"/>
      <c r="AR119" s="1723"/>
      <c r="AS119" s="1850"/>
      <c r="AT119" s="1844"/>
      <c r="AU119" s="1844"/>
      <c r="AV119" s="1844"/>
      <c r="AW119" s="1844"/>
      <c r="AX119" s="1844"/>
      <c r="AY119" s="1844"/>
      <c r="AZ119" s="1844"/>
      <c r="BA119" s="1844"/>
      <c r="BB119" s="1844"/>
      <c r="BC119" s="1844"/>
      <c r="BD119" s="1844"/>
      <c r="BE119" s="1844"/>
      <c r="BF119" s="1844"/>
      <c r="BG119" s="1844"/>
      <c r="BH119" s="1844"/>
      <c r="BI119" s="1844"/>
      <c r="BJ119" s="1844"/>
      <c r="BK119" s="1844"/>
      <c r="BL119" s="1844"/>
      <c r="BM119" s="1844"/>
      <c r="BN119" s="1844"/>
      <c r="BO119" s="1844"/>
      <c r="BP119" s="1844"/>
      <c r="BQ119" s="1845"/>
      <c r="BR119" s="1722" t="s">
        <v>1171</v>
      </c>
      <c r="BS119" s="1723"/>
      <c r="BT119" s="1723"/>
      <c r="BU119" s="1723"/>
      <c r="BV119" s="1723"/>
      <c r="BW119" s="1723"/>
      <c r="BX119" s="1723"/>
      <c r="BY119" s="1723"/>
      <c r="BZ119" s="1723"/>
      <c r="CA119" s="1723"/>
      <c r="CB119" s="1728"/>
      <c r="CC119" s="1729"/>
      <c r="CD119" s="1729"/>
      <c r="CE119" s="1729"/>
      <c r="CF119" s="1729"/>
      <c r="CG119" s="1729"/>
      <c r="CH119" s="1729"/>
      <c r="CI119" s="1729"/>
      <c r="CJ119" s="1729"/>
      <c r="CK119" s="1729"/>
      <c r="CL119" s="1729"/>
      <c r="CM119" s="1729"/>
      <c r="CN119" s="1729"/>
      <c r="CO119" s="1730"/>
      <c r="CP119" s="1429" t="s">
        <v>1251</v>
      </c>
      <c r="CQ119" s="1430"/>
      <c r="CR119" s="1430"/>
      <c r="CS119" s="1430"/>
      <c r="CT119" s="1430"/>
      <c r="CU119" s="1430"/>
      <c r="CV119" s="1430"/>
      <c r="CW119" s="1430"/>
      <c r="CX119" s="1430"/>
      <c r="CY119" s="1633"/>
      <c r="CZ119" s="1888"/>
      <c r="DA119" s="1889"/>
      <c r="DB119" s="1890"/>
      <c r="DC119" s="1928" t="s">
        <v>1579</v>
      </c>
      <c r="DD119" s="1929"/>
      <c r="DE119" s="1929"/>
      <c r="DF119" s="1929"/>
      <c r="DG119" s="1929"/>
      <c r="DH119" s="1929"/>
      <c r="DI119" s="1930"/>
      <c r="DJ119" s="1934"/>
      <c r="DK119" s="1934"/>
      <c r="DL119" s="1935"/>
      <c r="DN119" s="110"/>
      <c r="DO119" s="110"/>
      <c r="DP119" s="110"/>
      <c r="DQ119" s="110"/>
      <c r="DR119" s="110"/>
      <c r="DS119" s="110"/>
      <c r="DT119" s="110"/>
      <c r="DU119" s="110"/>
    </row>
    <row r="120" spans="2:165" ht="7.5" customHeight="1">
      <c r="B120" s="1799"/>
      <c r="C120" s="1725"/>
      <c r="D120" s="1725"/>
      <c r="E120" s="1725"/>
      <c r="F120" s="1725"/>
      <c r="G120" s="1725"/>
      <c r="H120" s="1800"/>
      <c r="I120" s="1710"/>
      <c r="J120" s="1571"/>
      <c r="K120" s="1571"/>
      <c r="L120" s="1571"/>
      <c r="M120" s="1571"/>
      <c r="N120" s="1571"/>
      <c r="O120" s="1571"/>
      <c r="P120" s="1571"/>
      <c r="Q120" s="1571"/>
      <c r="R120" s="1571"/>
      <c r="S120" s="1571"/>
      <c r="T120" s="1571"/>
      <c r="U120" s="1571"/>
      <c r="V120" s="1571"/>
      <c r="W120" s="1571"/>
      <c r="X120" s="1571"/>
      <c r="Y120" s="1907"/>
      <c r="Z120" s="1906"/>
      <c r="AA120" s="1906"/>
      <c r="AB120" s="1906"/>
      <c r="AC120" s="1906"/>
      <c r="AD120" s="1906"/>
      <c r="AE120" s="1906"/>
      <c r="AF120" s="1906"/>
      <c r="AG120" s="1906"/>
      <c r="AH120" s="1906"/>
      <c r="AI120" s="1906"/>
      <c r="AJ120" s="1906"/>
      <c r="AK120" s="1807"/>
      <c r="AL120" s="1912"/>
      <c r="AM120" s="1851"/>
      <c r="AN120" s="1725"/>
      <c r="AO120" s="1725"/>
      <c r="AP120" s="1725"/>
      <c r="AQ120" s="1725"/>
      <c r="AR120" s="1725"/>
      <c r="AS120" s="1852"/>
      <c r="AT120" s="1844"/>
      <c r="AU120" s="1844"/>
      <c r="AV120" s="1844"/>
      <c r="AW120" s="1844"/>
      <c r="AX120" s="1844"/>
      <c r="AY120" s="1844"/>
      <c r="AZ120" s="1844"/>
      <c r="BA120" s="1844"/>
      <c r="BB120" s="1844"/>
      <c r="BC120" s="1844"/>
      <c r="BD120" s="1844"/>
      <c r="BE120" s="1844"/>
      <c r="BF120" s="1844"/>
      <c r="BG120" s="1844"/>
      <c r="BH120" s="1844"/>
      <c r="BI120" s="1844"/>
      <c r="BJ120" s="1844"/>
      <c r="BK120" s="1844"/>
      <c r="BL120" s="1844"/>
      <c r="BM120" s="1844"/>
      <c r="BN120" s="1844"/>
      <c r="BO120" s="1844"/>
      <c r="BP120" s="1844"/>
      <c r="BQ120" s="1845"/>
      <c r="BR120" s="1724"/>
      <c r="BS120" s="1725"/>
      <c r="BT120" s="1725"/>
      <c r="BU120" s="1725"/>
      <c r="BV120" s="1725"/>
      <c r="BW120" s="1725"/>
      <c r="BX120" s="1725"/>
      <c r="BY120" s="1725"/>
      <c r="BZ120" s="1725"/>
      <c r="CA120" s="1725"/>
      <c r="CB120" s="1731"/>
      <c r="CC120" s="1732"/>
      <c r="CD120" s="1732"/>
      <c r="CE120" s="1732"/>
      <c r="CF120" s="1732"/>
      <c r="CG120" s="1732"/>
      <c r="CH120" s="1732"/>
      <c r="CI120" s="1732"/>
      <c r="CJ120" s="1732"/>
      <c r="CK120" s="1732"/>
      <c r="CL120" s="1732"/>
      <c r="CM120" s="1732"/>
      <c r="CN120" s="1732"/>
      <c r="CO120" s="1733"/>
      <c r="CP120" s="1432"/>
      <c r="CQ120" s="774"/>
      <c r="CR120" s="774"/>
      <c r="CS120" s="774"/>
      <c r="CT120" s="774"/>
      <c r="CU120" s="774"/>
      <c r="CV120" s="774"/>
      <c r="CW120" s="774"/>
      <c r="CX120" s="774"/>
      <c r="CY120" s="1423"/>
      <c r="CZ120" s="1891"/>
      <c r="DA120" s="1890"/>
      <c r="DB120" s="1890"/>
      <c r="DC120" s="1928"/>
      <c r="DD120" s="1929"/>
      <c r="DE120" s="1929"/>
      <c r="DF120" s="1929"/>
      <c r="DG120" s="1929"/>
      <c r="DH120" s="1929"/>
      <c r="DI120" s="1930"/>
      <c r="DJ120" s="1934"/>
      <c r="DK120" s="1934"/>
      <c r="DL120" s="1935"/>
      <c r="DN120" s="110"/>
      <c r="DO120" s="110"/>
      <c r="DP120" s="110"/>
      <c r="DQ120" s="110"/>
      <c r="DR120" s="110"/>
      <c r="DS120" s="110"/>
      <c r="DT120" s="110"/>
      <c r="DU120" s="110"/>
    </row>
    <row r="121" spans="2:165" ht="7.5" customHeight="1">
      <c r="B121" s="1801"/>
      <c r="C121" s="1727"/>
      <c r="D121" s="1727"/>
      <c r="E121" s="1727"/>
      <c r="F121" s="1727"/>
      <c r="G121" s="1727"/>
      <c r="H121" s="1802"/>
      <c r="I121" s="1710"/>
      <c r="J121" s="1571"/>
      <c r="K121" s="1571"/>
      <c r="L121" s="1571"/>
      <c r="M121" s="1711"/>
      <c r="N121" s="1711"/>
      <c r="O121" s="1711"/>
      <c r="P121" s="1711"/>
      <c r="Q121" s="1711"/>
      <c r="R121" s="1711"/>
      <c r="S121" s="1711"/>
      <c r="T121" s="1711"/>
      <c r="U121" s="1711"/>
      <c r="V121" s="1711"/>
      <c r="W121" s="1711"/>
      <c r="X121" s="1711"/>
      <c r="Y121" s="1908"/>
      <c r="Z121" s="1909"/>
      <c r="AA121" s="1909"/>
      <c r="AB121" s="1909"/>
      <c r="AC121" s="1909"/>
      <c r="AD121" s="1909"/>
      <c r="AE121" s="1909"/>
      <c r="AF121" s="1909"/>
      <c r="AG121" s="1909"/>
      <c r="AH121" s="1909"/>
      <c r="AI121" s="1909"/>
      <c r="AJ121" s="1909"/>
      <c r="AK121" s="1809"/>
      <c r="AL121" s="1913"/>
      <c r="AM121" s="1853"/>
      <c r="AN121" s="1727"/>
      <c r="AO121" s="1727"/>
      <c r="AP121" s="1727"/>
      <c r="AQ121" s="1727"/>
      <c r="AR121" s="1727"/>
      <c r="AS121" s="1854"/>
      <c r="AT121" s="1846"/>
      <c r="AU121" s="1846"/>
      <c r="AV121" s="1846"/>
      <c r="AW121" s="1846"/>
      <c r="AX121" s="1846"/>
      <c r="AY121" s="1846"/>
      <c r="AZ121" s="1846"/>
      <c r="BA121" s="1846"/>
      <c r="BB121" s="1846"/>
      <c r="BC121" s="1846"/>
      <c r="BD121" s="1846"/>
      <c r="BE121" s="1846"/>
      <c r="BF121" s="1846"/>
      <c r="BG121" s="1846"/>
      <c r="BH121" s="1846"/>
      <c r="BI121" s="1846"/>
      <c r="BJ121" s="1846"/>
      <c r="BK121" s="1846"/>
      <c r="BL121" s="1846"/>
      <c r="BM121" s="1846"/>
      <c r="BN121" s="1846"/>
      <c r="BO121" s="1846"/>
      <c r="BP121" s="1846"/>
      <c r="BQ121" s="1847"/>
      <c r="BR121" s="1726"/>
      <c r="BS121" s="1727"/>
      <c r="BT121" s="1727"/>
      <c r="BU121" s="1727"/>
      <c r="BV121" s="1727"/>
      <c r="BW121" s="1727"/>
      <c r="BX121" s="1725"/>
      <c r="BY121" s="1725"/>
      <c r="BZ121" s="1725"/>
      <c r="CA121" s="1725"/>
      <c r="CB121" s="1734"/>
      <c r="CC121" s="1735"/>
      <c r="CD121" s="1735"/>
      <c r="CE121" s="1735"/>
      <c r="CF121" s="1735"/>
      <c r="CG121" s="1735"/>
      <c r="CH121" s="1735"/>
      <c r="CI121" s="1735"/>
      <c r="CJ121" s="1735"/>
      <c r="CK121" s="1735"/>
      <c r="CL121" s="1735"/>
      <c r="CM121" s="1735"/>
      <c r="CN121" s="1735"/>
      <c r="CO121" s="1736"/>
      <c r="CP121" s="1601"/>
      <c r="CQ121" s="1478"/>
      <c r="CR121" s="1478"/>
      <c r="CS121" s="1478"/>
      <c r="CT121" s="1478"/>
      <c r="CU121" s="1478"/>
      <c r="CV121" s="1478"/>
      <c r="CW121" s="1478"/>
      <c r="CX121" s="1478"/>
      <c r="CY121" s="1634"/>
      <c r="CZ121" s="1891"/>
      <c r="DA121" s="1890"/>
      <c r="DB121" s="1890"/>
      <c r="DC121" s="1931"/>
      <c r="DD121" s="1932"/>
      <c r="DE121" s="1932"/>
      <c r="DF121" s="1932"/>
      <c r="DG121" s="1932"/>
      <c r="DH121" s="1932"/>
      <c r="DI121" s="1933"/>
      <c r="DJ121" s="1936"/>
      <c r="DK121" s="1936"/>
      <c r="DL121" s="1937"/>
      <c r="DN121" s="110"/>
      <c r="DO121" s="110"/>
      <c r="DP121" s="110"/>
      <c r="DQ121" s="110"/>
      <c r="DR121" s="110"/>
      <c r="DS121" s="110"/>
      <c r="DT121" s="110"/>
      <c r="DU121" s="110"/>
    </row>
    <row r="122" spans="2:165" ht="7.5" customHeight="1">
      <c r="B122" s="1475" t="s">
        <v>1488</v>
      </c>
      <c r="C122" s="1430"/>
      <c r="D122" s="1430"/>
      <c r="E122" s="1430"/>
      <c r="F122" s="1430"/>
      <c r="G122" s="1430"/>
      <c r="H122" s="1430"/>
      <c r="I122" s="1430"/>
      <c r="J122" s="1430"/>
      <c r="K122" s="1430"/>
      <c r="L122" s="1430"/>
      <c r="M122" s="1918"/>
      <c r="N122" s="1919"/>
      <c r="O122" s="1919"/>
      <c r="P122" s="1919"/>
      <c r="Q122" s="1919"/>
      <c r="R122" s="1919"/>
      <c r="S122" s="1919"/>
      <c r="T122" s="1919"/>
      <c r="U122" s="1919"/>
      <c r="V122" s="1919"/>
      <c r="W122" s="1919"/>
      <c r="X122" s="1919"/>
      <c r="Y122" s="1919"/>
      <c r="Z122" s="1430" t="s">
        <v>1244</v>
      </c>
      <c r="AA122" s="1430"/>
      <c r="AB122" s="1430"/>
      <c r="AC122" s="1430"/>
      <c r="AD122" s="1430"/>
      <c r="AE122" s="1430"/>
      <c r="AF122" s="1430"/>
      <c r="AG122" s="1430"/>
      <c r="AH122" s="1430"/>
      <c r="AI122" s="1430"/>
      <c r="AJ122" s="1430"/>
      <c r="AK122" s="1430"/>
      <c r="AL122" s="1430"/>
      <c r="AM122" s="1430"/>
      <c r="AN122" s="1430"/>
      <c r="AO122" s="1430"/>
      <c r="AP122" s="1430"/>
      <c r="AQ122" s="1430"/>
      <c r="AR122" s="1430"/>
      <c r="AS122" s="1430"/>
      <c r="AT122" s="1872"/>
      <c r="AU122" s="1873"/>
      <c r="AV122" s="1873"/>
      <c r="AW122" s="1873"/>
      <c r="AX122" s="1873"/>
      <c r="AY122" s="1873"/>
      <c r="AZ122" s="1874"/>
      <c r="BA122" s="2299"/>
      <c r="BB122" s="2300"/>
      <c r="BC122" s="2300"/>
      <c r="BD122" s="2300"/>
      <c r="BE122" s="2300"/>
      <c r="BF122" s="2300"/>
      <c r="BG122" s="2300"/>
      <c r="BH122" s="2300"/>
      <c r="BI122" s="2300"/>
      <c r="BJ122" s="2300"/>
      <c r="BK122" s="1914" t="s">
        <v>1190</v>
      </c>
      <c r="BL122" s="1914"/>
      <c r="BM122" s="1914"/>
      <c r="BN122" s="1914"/>
      <c r="BO122" s="1914"/>
      <c r="BP122" s="1914"/>
      <c r="BQ122" s="1914"/>
      <c r="BR122" s="1914"/>
      <c r="BS122" s="1915"/>
      <c r="BT122" s="1993"/>
      <c r="BU122" s="1993"/>
      <c r="BV122" s="1993"/>
      <c r="BW122" s="1994"/>
      <c r="BX122" s="1997"/>
      <c r="BY122" s="1881"/>
      <c r="BZ122" s="1881"/>
      <c r="CA122" s="1881"/>
      <c r="CB122" s="1881"/>
      <c r="CC122" s="1881"/>
      <c r="CD122" s="1881"/>
      <c r="CE122" s="1881"/>
      <c r="CF122" s="1881"/>
      <c r="CG122" s="1881"/>
      <c r="CH122" s="1881"/>
      <c r="CI122" s="1881"/>
      <c r="CJ122" s="1881"/>
      <c r="CK122" s="1881"/>
      <c r="CL122" s="1881"/>
      <c r="CM122" s="1881"/>
      <c r="CN122" s="1881"/>
      <c r="CO122" s="1881"/>
      <c r="CP122" s="1881"/>
      <c r="CQ122" s="1881"/>
      <c r="CR122" s="1881"/>
      <c r="CS122" s="1881"/>
      <c r="CT122" s="1881"/>
      <c r="CU122" s="1881"/>
      <c r="CV122" s="1881"/>
      <c r="CW122" s="1881"/>
      <c r="CX122" s="1881"/>
      <c r="CY122" s="1881"/>
      <c r="CZ122" s="1881"/>
      <c r="DA122" s="1881"/>
      <c r="DB122" s="1881"/>
      <c r="DC122" s="1881"/>
      <c r="DD122" s="1881"/>
      <c r="DE122" s="1881"/>
      <c r="DF122" s="1881"/>
      <c r="DG122" s="1881"/>
      <c r="DH122" s="1881"/>
      <c r="DI122" s="1881"/>
      <c r="DJ122" s="1881"/>
      <c r="DK122" s="1881"/>
      <c r="DL122" s="1882"/>
      <c r="DN122" s="110"/>
      <c r="DO122" s="110"/>
      <c r="DP122" s="110"/>
      <c r="DQ122" s="110"/>
      <c r="DR122" s="110"/>
      <c r="DS122" s="110"/>
      <c r="DT122" s="110"/>
      <c r="DU122" s="110"/>
    </row>
    <row r="123" spans="2:165" ht="7.5" customHeight="1">
      <c r="B123" s="1476"/>
      <c r="C123" s="774"/>
      <c r="D123" s="774"/>
      <c r="E123" s="774"/>
      <c r="F123" s="774"/>
      <c r="G123" s="774"/>
      <c r="H123" s="774"/>
      <c r="I123" s="774"/>
      <c r="J123" s="774"/>
      <c r="K123" s="774"/>
      <c r="L123" s="774"/>
      <c r="M123" s="1918"/>
      <c r="N123" s="1919"/>
      <c r="O123" s="1919"/>
      <c r="P123" s="1919"/>
      <c r="Q123" s="1919"/>
      <c r="R123" s="1919"/>
      <c r="S123" s="1919"/>
      <c r="T123" s="1919"/>
      <c r="U123" s="1919"/>
      <c r="V123" s="1919"/>
      <c r="W123" s="1919"/>
      <c r="X123" s="1919"/>
      <c r="Y123" s="1919"/>
      <c r="Z123" s="774"/>
      <c r="AA123" s="774"/>
      <c r="AB123" s="774"/>
      <c r="AC123" s="774"/>
      <c r="AD123" s="774"/>
      <c r="AE123" s="774"/>
      <c r="AF123" s="774"/>
      <c r="AG123" s="774"/>
      <c r="AH123" s="774"/>
      <c r="AI123" s="774"/>
      <c r="AJ123" s="774"/>
      <c r="AK123" s="774"/>
      <c r="AL123" s="774"/>
      <c r="AM123" s="774"/>
      <c r="AN123" s="774"/>
      <c r="AO123" s="774"/>
      <c r="AP123" s="774"/>
      <c r="AQ123" s="774"/>
      <c r="AR123" s="774"/>
      <c r="AS123" s="774"/>
      <c r="AT123" s="1875"/>
      <c r="AU123" s="1876"/>
      <c r="AV123" s="1876"/>
      <c r="AW123" s="1876"/>
      <c r="AX123" s="1876"/>
      <c r="AY123" s="1876"/>
      <c r="AZ123" s="1877"/>
      <c r="BA123" s="2301"/>
      <c r="BB123" s="2302"/>
      <c r="BC123" s="2302"/>
      <c r="BD123" s="2302"/>
      <c r="BE123" s="2302"/>
      <c r="BF123" s="2302"/>
      <c r="BG123" s="2302"/>
      <c r="BH123" s="2302"/>
      <c r="BI123" s="2302"/>
      <c r="BJ123" s="2302"/>
      <c r="BK123" s="1916"/>
      <c r="BL123" s="1916"/>
      <c r="BM123" s="1916"/>
      <c r="BN123" s="1916"/>
      <c r="BO123" s="1916"/>
      <c r="BP123" s="1916"/>
      <c r="BQ123" s="1916"/>
      <c r="BR123" s="1916"/>
      <c r="BS123" s="1917"/>
      <c r="BT123" s="1995"/>
      <c r="BU123" s="1995"/>
      <c r="BV123" s="1995"/>
      <c r="BW123" s="1996"/>
      <c r="BX123" s="1998"/>
      <c r="BY123" s="1883"/>
      <c r="BZ123" s="1883"/>
      <c r="CA123" s="1883"/>
      <c r="CB123" s="1883"/>
      <c r="CC123" s="1883"/>
      <c r="CD123" s="1883"/>
      <c r="CE123" s="1883"/>
      <c r="CF123" s="1883"/>
      <c r="CG123" s="1883"/>
      <c r="CH123" s="1883"/>
      <c r="CI123" s="1883"/>
      <c r="CJ123" s="1883"/>
      <c r="CK123" s="1883"/>
      <c r="CL123" s="1883"/>
      <c r="CM123" s="1883"/>
      <c r="CN123" s="1883"/>
      <c r="CO123" s="1883"/>
      <c r="CP123" s="1883"/>
      <c r="CQ123" s="1883"/>
      <c r="CR123" s="1883"/>
      <c r="CS123" s="1883"/>
      <c r="CT123" s="1883"/>
      <c r="CU123" s="1883"/>
      <c r="CV123" s="1883"/>
      <c r="CW123" s="1883"/>
      <c r="CX123" s="1883"/>
      <c r="CY123" s="1883"/>
      <c r="CZ123" s="1883"/>
      <c r="DA123" s="1883"/>
      <c r="DB123" s="1883"/>
      <c r="DC123" s="1883"/>
      <c r="DD123" s="1883"/>
      <c r="DE123" s="1883"/>
      <c r="DF123" s="1883"/>
      <c r="DG123" s="1883"/>
      <c r="DH123" s="1883"/>
      <c r="DI123" s="1883"/>
      <c r="DJ123" s="1883"/>
      <c r="DK123" s="1883"/>
      <c r="DL123" s="1884"/>
      <c r="DN123" s="110"/>
      <c r="DO123" s="110"/>
      <c r="DP123" s="110"/>
      <c r="DQ123" s="110"/>
      <c r="DR123" s="110"/>
      <c r="DS123" s="110"/>
      <c r="DT123" s="110"/>
      <c r="DU123" s="110"/>
    </row>
    <row r="124" spans="2:165" ht="7.5" customHeight="1">
      <c r="B124" s="1476"/>
      <c r="C124" s="774"/>
      <c r="D124" s="774"/>
      <c r="E124" s="774"/>
      <c r="F124" s="774"/>
      <c r="G124" s="774"/>
      <c r="H124" s="774"/>
      <c r="I124" s="774"/>
      <c r="J124" s="774"/>
      <c r="K124" s="774"/>
      <c r="L124" s="774"/>
      <c r="M124" s="1920"/>
      <c r="N124" s="1921"/>
      <c r="O124" s="1921"/>
      <c r="P124" s="1921"/>
      <c r="Q124" s="1921"/>
      <c r="R124" s="1921"/>
      <c r="S124" s="1921"/>
      <c r="T124" s="1921"/>
      <c r="U124" s="1921"/>
      <c r="V124" s="1921"/>
      <c r="W124" s="1921"/>
      <c r="X124" s="1921"/>
      <c r="Y124" s="1921"/>
      <c r="Z124" s="1478"/>
      <c r="AA124" s="1478"/>
      <c r="AB124" s="1478"/>
      <c r="AC124" s="1478"/>
      <c r="AD124" s="1478"/>
      <c r="AE124" s="1478"/>
      <c r="AF124" s="1478"/>
      <c r="AG124" s="1478"/>
      <c r="AH124" s="1478"/>
      <c r="AI124" s="1478"/>
      <c r="AJ124" s="774"/>
      <c r="AK124" s="774"/>
      <c r="AL124" s="774"/>
      <c r="AM124" s="774"/>
      <c r="AN124" s="774"/>
      <c r="AO124" s="774"/>
      <c r="AP124" s="774"/>
      <c r="AQ124" s="774"/>
      <c r="AR124" s="774"/>
      <c r="AS124" s="774"/>
      <c r="AT124" s="1922"/>
      <c r="AU124" s="1923"/>
      <c r="AV124" s="1923"/>
      <c r="AW124" s="1923"/>
      <c r="AX124" s="1923"/>
      <c r="AY124" s="1923"/>
      <c r="AZ124" s="1924"/>
      <c r="BA124" s="2303"/>
      <c r="BB124" s="2304"/>
      <c r="BC124" s="2304"/>
      <c r="BD124" s="2304"/>
      <c r="BE124" s="2304"/>
      <c r="BF124" s="2304"/>
      <c r="BG124" s="2304"/>
      <c r="BH124" s="2304"/>
      <c r="BI124" s="2304"/>
      <c r="BJ124" s="2304"/>
      <c r="BK124" s="1916"/>
      <c r="BL124" s="1916"/>
      <c r="BM124" s="1916"/>
      <c r="BN124" s="1916"/>
      <c r="BO124" s="1916"/>
      <c r="BP124" s="1916"/>
      <c r="BQ124" s="1916"/>
      <c r="BR124" s="1916"/>
      <c r="BS124" s="1917"/>
      <c r="BT124" s="1995"/>
      <c r="BU124" s="1995"/>
      <c r="BV124" s="1995"/>
      <c r="BW124" s="1996"/>
      <c r="BX124" s="1998"/>
      <c r="BY124" s="1883"/>
      <c r="BZ124" s="1883"/>
      <c r="CA124" s="1883"/>
      <c r="CB124" s="1883"/>
      <c r="CC124" s="1883"/>
      <c r="CD124" s="1883"/>
      <c r="CE124" s="1883"/>
      <c r="CF124" s="1883"/>
      <c r="CG124" s="1883"/>
      <c r="CH124" s="1883"/>
      <c r="CI124" s="1883"/>
      <c r="CJ124" s="1883"/>
      <c r="CK124" s="1883"/>
      <c r="CL124" s="1883"/>
      <c r="CM124" s="1883"/>
      <c r="CN124" s="1883"/>
      <c r="CO124" s="1883"/>
      <c r="CP124" s="1883"/>
      <c r="CQ124" s="1883"/>
      <c r="CR124" s="1883"/>
      <c r="CS124" s="1883"/>
      <c r="CT124" s="1883"/>
      <c r="CU124" s="1883"/>
      <c r="CV124" s="1883"/>
      <c r="CW124" s="1883"/>
      <c r="CX124" s="1883"/>
      <c r="CY124" s="1883"/>
      <c r="CZ124" s="1883"/>
      <c r="DA124" s="1883"/>
      <c r="DB124" s="1883"/>
      <c r="DC124" s="1883"/>
      <c r="DD124" s="1883"/>
      <c r="DE124" s="1883"/>
      <c r="DF124" s="1883"/>
      <c r="DG124" s="1883"/>
      <c r="DH124" s="1883"/>
      <c r="DI124" s="1883"/>
      <c r="DJ124" s="1883"/>
      <c r="DK124" s="1883"/>
      <c r="DL124" s="1884"/>
      <c r="DN124" s="110"/>
      <c r="DO124" s="110"/>
      <c r="DP124" s="110"/>
      <c r="DQ124" s="110"/>
      <c r="DR124" s="110"/>
      <c r="DS124" s="110"/>
      <c r="DT124" s="110"/>
      <c r="DU124" s="110"/>
    </row>
    <row r="125" spans="2:165" ht="7.5" customHeight="1">
      <c r="B125" s="1475" t="s">
        <v>1390</v>
      </c>
      <c r="C125" s="1430"/>
      <c r="D125" s="1430"/>
      <c r="E125" s="1430"/>
      <c r="F125" s="1430"/>
      <c r="G125" s="1430"/>
      <c r="H125" s="1430"/>
      <c r="I125" s="1430"/>
      <c r="J125" s="1430"/>
      <c r="K125" s="1430"/>
      <c r="L125" s="1431"/>
      <c r="M125" s="1855"/>
      <c r="N125" s="1856"/>
      <c r="O125" s="1856"/>
      <c r="P125" s="1856"/>
      <c r="Q125" s="1856"/>
      <c r="R125" s="1856"/>
      <c r="S125" s="1856"/>
      <c r="T125" s="1856"/>
      <c r="U125" s="1856"/>
      <c r="V125" s="1856"/>
      <c r="W125" s="1856"/>
      <c r="X125" s="1856"/>
      <c r="Y125" s="1857"/>
      <c r="Z125" s="1429" t="s">
        <v>1391</v>
      </c>
      <c r="AA125" s="1430"/>
      <c r="AB125" s="1430"/>
      <c r="AC125" s="1430"/>
      <c r="AD125" s="1430"/>
      <c r="AE125" s="1430"/>
      <c r="AF125" s="1430"/>
      <c r="AG125" s="1430"/>
      <c r="AH125" s="1430"/>
      <c r="AI125" s="1431"/>
      <c r="AJ125" s="1872"/>
      <c r="AK125" s="1873"/>
      <c r="AL125" s="1873"/>
      <c r="AM125" s="1873"/>
      <c r="AN125" s="1873"/>
      <c r="AO125" s="1873"/>
      <c r="AP125" s="1873"/>
      <c r="AQ125" s="1873"/>
      <c r="AR125" s="1873"/>
      <c r="AS125" s="1873"/>
      <c r="AT125" s="1873"/>
      <c r="AU125" s="1873"/>
      <c r="AV125" s="1873"/>
      <c r="AW125" s="1873"/>
      <c r="AX125" s="1873"/>
      <c r="AY125" s="1873"/>
      <c r="AZ125" s="1873"/>
      <c r="BA125" s="1873"/>
      <c r="BB125" s="1873"/>
      <c r="BC125" s="1873"/>
      <c r="BD125" s="1873"/>
      <c r="BE125" s="1873"/>
      <c r="BF125" s="1873"/>
      <c r="BG125" s="1873"/>
      <c r="BH125" s="1873"/>
      <c r="BI125" s="1873"/>
      <c r="BJ125" s="1874"/>
      <c r="BK125" s="1901"/>
      <c r="BL125" s="1901"/>
      <c r="BM125" s="1901"/>
      <c r="BN125" s="1901"/>
      <c r="BO125" s="1901"/>
      <c r="BP125" s="1901"/>
      <c r="BQ125" s="1901"/>
      <c r="BR125" s="1901"/>
      <c r="BS125" s="1901"/>
      <c r="BT125" s="1901"/>
      <c r="BU125" s="1901"/>
      <c r="BV125" s="1901"/>
      <c r="BW125" s="1901"/>
      <c r="BX125" s="1901"/>
      <c r="BY125" s="1901"/>
      <c r="BZ125" s="1901"/>
      <c r="CA125" s="1901"/>
      <c r="CB125" s="1901"/>
      <c r="CC125" s="1901"/>
      <c r="CD125" s="1901"/>
      <c r="CE125" s="1901"/>
      <c r="CF125" s="1901"/>
      <c r="CG125" s="1901"/>
      <c r="CH125" s="1901"/>
      <c r="CI125" s="1901"/>
      <c r="CJ125" s="1901"/>
      <c r="CK125" s="1901"/>
      <c r="CL125" s="1901"/>
      <c r="CM125" s="1901"/>
      <c r="CN125" s="1901"/>
      <c r="CO125" s="1901"/>
      <c r="CP125" s="1901"/>
      <c r="CQ125" s="1901"/>
      <c r="CR125" s="1901"/>
      <c r="CS125" s="1901"/>
      <c r="CT125" s="1901"/>
      <c r="CU125" s="1901"/>
      <c r="CV125" s="1901"/>
      <c r="CW125" s="1901"/>
      <c r="CX125" s="1901"/>
      <c r="CY125" s="1881"/>
      <c r="CZ125" s="1881"/>
      <c r="DA125" s="1881"/>
      <c r="DB125" s="1881"/>
      <c r="DC125" s="1881"/>
      <c r="DD125" s="1881"/>
      <c r="DE125" s="1881"/>
      <c r="DF125" s="1881"/>
      <c r="DG125" s="1881"/>
      <c r="DH125" s="1881"/>
      <c r="DI125" s="1881"/>
      <c r="DJ125" s="1881"/>
      <c r="DK125" s="1881"/>
      <c r="DL125" s="1882"/>
      <c r="DN125" s="110"/>
      <c r="DO125" s="110"/>
      <c r="DP125" s="110"/>
      <c r="DQ125" s="110"/>
      <c r="DR125" s="110"/>
      <c r="DS125" s="110"/>
      <c r="DT125" s="110"/>
      <c r="DU125" s="110"/>
    </row>
    <row r="126" spans="2:165" ht="7.5" customHeight="1">
      <c r="B126" s="1476"/>
      <c r="C126" s="774"/>
      <c r="D126" s="774"/>
      <c r="E126" s="774"/>
      <c r="F126" s="774"/>
      <c r="G126" s="774"/>
      <c r="H126" s="774"/>
      <c r="I126" s="774"/>
      <c r="J126" s="774"/>
      <c r="K126" s="774"/>
      <c r="L126" s="1433"/>
      <c r="M126" s="1434"/>
      <c r="N126" s="1435"/>
      <c r="O126" s="1435"/>
      <c r="P126" s="1435"/>
      <c r="Q126" s="1435"/>
      <c r="R126" s="1435"/>
      <c r="S126" s="1435"/>
      <c r="T126" s="1435"/>
      <c r="U126" s="1435"/>
      <c r="V126" s="1435"/>
      <c r="W126" s="1435"/>
      <c r="X126" s="1435"/>
      <c r="Y126" s="1436"/>
      <c r="Z126" s="1432"/>
      <c r="AA126" s="774"/>
      <c r="AB126" s="774"/>
      <c r="AC126" s="774"/>
      <c r="AD126" s="774"/>
      <c r="AE126" s="774"/>
      <c r="AF126" s="774"/>
      <c r="AG126" s="774"/>
      <c r="AH126" s="774"/>
      <c r="AI126" s="1433"/>
      <c r="AJ126" s="1875"/>
      <c r="AK126" s="1876"/>
      <c r="AL126" s="1876"/>
      <c r="AM126" s="1876"/>
      <c r="AN126" s="1876"/>
      <c r="AO126" s="1876"/>
      <c r="AP126" s="1876"/>
      <c r="AQ126" s="1876"/>
      <c r="AR126" s="1876"/>
      <c r="AS126" s="1876"/>
      <c r="AT126" s="1876"/>
      <c r="AU126" s="1876"/>
      <c r="AV126" s="1876"/>
      <c r="AW126" s="1876"/>
      <c r="AX126" s="1876"/>
      <c r="AY126" s="1876"/>
      <c r="AZ126" s="1876"/>
      <c r="BA126" s="1876"/>
      <c r="BB126" s="1876"/>
      <c r="BC126" s="1876"/>
      <c r="BD126" s="1876"/>
      <c r="BE126" s="1876"/>
      <c r="BF126" s="1876"/>
      <c r="BG126" s="1876"/>
      <c r="BH126" s="1876"/>
      <c r="BI126" s="1876"/>
      <c r="BJ126" s="1877"/>
      <c r="BK126" s="1902"/>
      <c r="BL126" s="1902"/>
      <c r="BM126" s="1902"/>
      <c r="BN126" s="1902"/>
      <c r="BO126" s="1902"/>
      <c r="BP126" s="1902"/>
      <c r="BQ126" s="1902"/>
      <c r="BR126" s="1902"/>
      <c r="BS126" s="1902"/>
      <c r="BT126" s="1902"/>
      <c r="BU126" s="1902"/>
      <c r="BV126" s="1902"/>
      <c r="BW126" s="1902"/>
      <c r="BX126" s="1902"/>
      <c r="BY126" s="1902"/>
      <c r="BZ126" s="1902"/>
      <c r="CA126" s="1902"/>
      <c r="CB126" s="1902"/>
      <c r="CC126" s="1902"/>
      <c r="CD126" s="1902"/>
      <c r="CE126" s="1902"/>
      <c r="CF126" s="1902"/>
      <c r="CG126" s="1902"/>
      <c r="CH126" s="1902"/>
      <c r="CI126" s="1902"/>
      <c r="CJ126" s="1902"/>
      <c r="CK126" s="1902"/>
      <c r="CL126" s="1902"/>
      <c r="CM126" s="1902"/>
      <c r="CN126" s="1902"/>
      <c r="CO126" s="1902"/>
      <c r="CP126" s="1902"/>
      <c r="CQ126" s="1902"/>
      <c r="CR126" s="1902"/>
      <c r="CS126" s="1902"/>
      <c r="CT126" s="1902"/>
      <c r="CU126" s="1902"/>
      <c r="CV126" s="1902"/>
      <c r="CW126" s="1902"/>
      <c r="CX126" s="1902"/>
      <c r="CY126" s="1883"/>
      <c r="CZ126" s="1883"/>
      <c r="DA126" s="1883"/>
      <c r="DB126" s="1883"/>
      <c r="DC126" s="1883"/>
      <c r="DD126" s="1883"/>
      <c r="DE126" s="1883"/>
      <c r="DF126" s="1883"/>
      <c r="DG126" s="1883"/>
      <c r="DH126" s="1883"/>
      <c r="DI126" s="1883"/>
      <c r="DJ126" s="1883"/>
      <c r="DK126" s="1883"/>
      <c r="DL126" s="1884"/>
      <c r="DN126" s="110"/>
      <c r="DO126" s="110"/>
      <c r="DP126" s="110"/>
      <c r="DQ126" s="110"/>
      <c r="DR126" s="110"/>
      <c r="DS126" s="110"/>
      <c r="DT126" s="110"/>
      <c r="DU126" s="110"/>
    </row>
    <row r="127" spans="2:165" ht="7.5" customHeight="1" thickBot="1">
      <c r="B127" s="1654"/>
      <c r="C127" s="1647"/>
      <c r="D127" s="1647"/>
      <c r="E127" s="1647"/>
      <c r="F127" s="1647"/>
      <c r="G127" s="1647"/>
      <c r="H127" s="1647"/>
      <c r="I127" s="1647"/>
      <c r="J127" s="1647"/>
      <c r="K127" s="1647"/>
      <c r="L127" s="1648"/>
      <c r="M127" s="1434"/>
      <c r="N127" s="1435"/>
      <c r="O127" s="1435"/>
      <c r="P127" s="1435"/>
      <c r="Q127" s="1435"/>
      <c r="R127" s="1435"/>
      <c r="S127" s="1435"/>
      <c r="T127" s="1435"/>
      <c r="U127" s="1435"/>
      <c r="V127" s="1435"/>
      <c r="W127" s="1435"/>
      <c r="X127" s="1435"/>
      <c r="Y127" s="1436"/>
      <c r="Z127" s="1646"/>
      <c r="AA127" s="1647"/>
      <c r="AB127" s="1647"/>
      <c r="AC127" s="1647"/>
      <c r="AD127" s="1647"/>
      <c r="AE127" s="1647"/>
      <c r="AF127" s="1647"/>
      <c r="AG127" s="1647"/>
      <c r="AH127" s="1647"/>
      <c r="AI127" s="1648"/>
      <c r="AJ127" s="1878"/>
      <c r="AK127" s="1879"/>
      <c r="AL127" s="1879"/>
      <c r="AM127" s="1879"/>
      <c r="AN127" s="1879"/>
      <c r="AO127" s="1879"/>
      <c r="AP127" s="1879"/>
      <c r="AQ127" s="1879"/>
      <c r="AR127" s="1879"/>
      <c r="AS127" s="1879"/>
      <c r="AT127" s="1879"/>
      <c r="AU127" s="1879"/>
      <c r="AV127" s="1879"/>
      <c r="AW127" s="1879"/>
      <c r="AX127" s="1879"/>
      <c r="AY127" s="1879"/>
      <c r="AZ127" s="1879"/>
      <c r="BA127" s="1879"/>
      <c r="BB127" s="1879"/>
      <c r="BC127" s="1879"/>
      <c r="BD127" s="1879"/>
      <c r="BE127" s="1879"/>
      <c r="BF127" s="1879"/>
      <c r="BG127" s="1879"/>
      <c r="BH127" s="1879"/>
      <c r="BI127" s="1879"/>
      <c r="BJ127" s="1880"/>
      <c r="BK127" s="1903"/>
      <c r="BL127" s="1903"/>
      <c r="BM127" s="1903"/>
      <c r="BN127" s="1903"/>
      <c r="BO127" s="1903"/>
      <c r="BP127" s="1903"/>
      <c r="BQ127" s="1903"/>
      <c r="BR127" s="1903"/>
      <c r="BS127" s="1903"/>
      <c r="BT127" s="1903"/>
      <c r="BU127" s="1903"/>
      <c r="BV127" s="1903"/>
      <c r="BW127" s="1903"/>
      <c r="BX127" s="1903"/>
      <c r="BY127" s="1903"/>
      <c r="BZ127" s="1903"/>
      <c r="CA127" s="1903"/>
      <c r="CB127" s="1903"/>
      <c r="CC127" s="1903"/>
      <c r="CD127" s="1903"/>
      <c r="CE127" s="1903"/>
      <c r="CF127" s="1903"/>
      <c r="CG127" s="1903"/>
      <c r="CH127" s="1903"/>
      <c r="CI127" s="1903"/>
      <c r="CJ127" s="1903"/>
      <c r="CK127" s="1903"/>
      <c r="CL127" s="1903"/>
      <c r="CM127" s="1903"/>
      <c r="CN127" s="1903"/>
      <c r="CO127" s="1903"/>
      <c r="CP127" s="1903"/>
      <c r="CQ127" s="1903"/>
      <c r="CR127" s="1903"/>
      <c r="CS127" s="1903"/>
      <c r="CT127" s="1903"/>
      <c r="CU127" s="1903"/>
      <c r="CV127" s="1903"/>
      <c r="CW127" s="1903"/>
      <c r="CX127" s="1903"/>
      <c r="CY127" s="1885"/>
      <c r="CZ127" s="1885"/>
      <c r="DA127" s="1885"/>
      <c r="DB127" s="1885"/>
      <c r="DC127" s="1885"/>
      <c r="DD127" s="1885"/>
      <c r="DE127" s="1885"/>
      <c r="DF127" s="1885"/>
      <c r="DG127" s="1885"/>
      <c r="DH127" s="1885"/>
      <c r="DI127" s="1885"/>
      <c r="DJ127" s="1885"/>
      <c r="DK127" s="1885"/>
      <c r="DL127" s="1886"/>
      <c r="DN127" s="110"/>
      <c r="DO127" s="110"/>
      <c r="DP127" s="110"/>
      <c r="DQ127" s="110"/>
      <c r="DR127" s="110"/>
      <c r="DS127" s="110"/>
      <c r="DT127" s="110"/>
      <c r="DU127" s="110"/>
    </row>
    <row r="128" spans="2:165" ht="6" customHeight="1" thickTop="1" thickBot="1">
      <c r="B128" s="562"/>
      <c r="C128" s="562"/>
      <c r="D128" s="562"/>
      <c r="E128" s="562"/>
      <c r="F128" s="562"/>
      <c r="G128" s="562"/>
      <c r="H128" s="562"/>
      <c r="I128" s="562"/>
      <c r="J128" s="562"/>
      <c r="K128" s="562"/>
      <c r="L128" s="562"/>
      <c r="M128" s="561"/>
      <c r="N128" s="561"/>
      <c r="O128" s="561"/>
      <c r="P128" s="561"/>
      <c r="Q128" s="561"/>
      <c r="R128" s="561"/>
      <c r="S128" s="561"/>
      <c r="T128" s="561"/>
      <c r="U128" s="561"/>
      <c r="V128" s="561"/>
      <c r="W128" s="561"/>
      <c r="X128" s="561"/>
      <c r="Y128" s="561"/>
      <c r="BK128" s="561"/>
      <c r="BL128" s="561"/>
      <c r="BM128" s="561"/>
      <c r="BN128" s="561"/>
      <c r="BO128" s="561"/>
      <c r="BP128" s="561"/>
      <c r="BQ128" s="561"/>
      <c r="BR128" s="561"/>
      <c r="BS128" s="561"/>
      <c r="BT128" s="561"/>
      <c r="BU128" s="561"/>
      <c r="BV128" s="561"/>
      <c r="BW128" s="561"/>
      <c r="BX128" s="561"/>
      <c r="BY128" s="561"/>
      <c r="BZ128" s="561"/>
      <c r="CA128" s="561"/>
      <c r="CB128" s="561"/>
      <c r="CC128" s="561"/>
      <c r="CD128" s="561"/>
      <c r="CE128" s="561"/>
      <c r="CF128" s="561"/>
      <c r="CG128" s="561"/>
      <c r="CH128" s="561"/>
      <c r="CI128" s="561"/>
      <c r="CJ128" s="561"/>
      <c r="CK128" s="561"/>
      <c r="CL128" s="561"/>
      <c r="CM128" s="561"/>
      <c r="CN128" s="561"/>
      <c r="CO128" s="561"/>
      <c r="CP128" s="561"/>
      <c r="CQ128" s="561"/>
      <c r="CR128" s="561"/>
      <c r="CS128" s="561"/>
      <c r="CT128" s="561"/>
      <c r="CU128" s="561"/>
      <c r="CV128" s="561"/>
      <c r="CW128" s="561"/>
      <c r="CX128" s="561"/>
      <c r="CY128" s="561"/>
      <c r="CZ128" s="561"/>
      <c r="DA128" s="561"/>
      <c r="DB128" s="561"/>
      <c r="DC128" s="561"/>
      <c r="DD128" s="561"/>
      <c r="DE128" s="561"/>
      <c r="DF128" s="561"/>
      <c r="DG128" s="561"/>
      <c r="DH128" s="561"/>
      <c r="DI128" s="561"/>
      <c r="DJ128" s="561"/>
      <c r="DK128" s="561"/>
      <c r="DL128" s="561"/>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row>
    <row r="129" spans="1:165" s="200" customFormat="1" ht="7.5" customHeight="1">
      <c r="A129" s="199"/>
      <c r="B129" s="1754" t="s">
        <v>402</v>
      </c>
      <c r="C129" s="1755"/>
      <c r="D129" s="1755"/>
      <c r="E129" s="1755"/>
      <c r="F129" s="1755"/>
      <c r="G129" s="1755"/>
      <c r="H129" s="1755"/>
      <c r="I129" s="1755"/>
      <c r="J129" s="1755"/>
      <c r="K129" s="1755"/>
      <c r="L129" s="1755"/>
      <c r="M129" s="1755"/>
      <c r="N129" s="1755"/>
      <c r="O129" s="1755"/>
      <c r="P129" s="1755"/>
      <c r="Q129" s="1755"/>
      <c r="R129" s="1755"/>
      <c r="S129" s="1755"/>
      <c r="T129" s="1755"/>
      <c r="U129" s="1755"/>
      <c r="V129" s="1755"/>
      <c r="W129" s="1755"/>
      <c r="X129" s="1755"/>
      <c r="Y129" s="1755"/>
      <c r="Z129" s="1755"/>
      <c r="AA129" s="1755"/>
      <c r="AB129" s="1755"/>
      <c r="AC129" s="1755"/>
      <c r="AD129" s="1755"/>
      <c r="AE129" s="1755"/>
      <c r="AF129" s="1755"/>
      <c r="AG129" s="1755"/>
      <c r="AH129" s="1755"/>
      <c r="AI129" s="1755"/>
      <c r="AJ129" s="1755"/>
      <c r="AK129" s="1755"/>
      <c r="AL129" s="1755"/>
      <c r="AM129" s="1755"/>
      <c r="AN129" s="1755"/>
      <c r="AO129" s="1755"/>
      <c r="AP129" s="1755"/>
      <c r="AQ129" s="1755"/>
      <c r="AR129" s="1755"/>
      <c r="AS129" s="1755"/>
      <c r="AT129" s="1755"/>
      <c r="AU129" s="1755"/>
      <c r="AV129" s="1755"/>
      <c r="AW129" s="1755"/>
      <c r="AX129" s="1755"/>
      <c r="AY129" s="1755"/>
      <c r="AZ129" s="1755"/>
      <c r="BA129" s="1755"/>
      <c r="BB129" s="1755"/>
      <c r="BC129" s="1755"/>
      <c r="BD129" s="1755"/>
      <c r="BE129" s="1755"/>
      <c r="BF129" s="1755"/>
      <c r="BG129" s="1755"/>
      <c r="BH129" s="1755"/>
      <c r="BI129" s="1755"/>
      <c r="BJ129" s="1755"/>
      <c r="BK129" s="1755"/>
      <c r="BL129" s="1755"/>
      <c r="BM129" s="1755"/>
      <c r="BN129" s="1755"/>
      <c r="BO129" s="1755"/>
      <c r="BP129" s="1755"/>
      <c r="BQ129" s="1755"/>
      <c r="BR129" s="1755"/>
      <c r="BS129" s="1755"/>
      <c r="BT129" s="1755"/>
      <c r="BU129" s="1755"/>
      <c r="BV129" s="1755"/>
      <c r="BW129" s="1755"/>
      <c r="BX129" s="1755"/>
      <c r="BY129" s="1755"/>
      <c r="BZ129" s="1755"/>
      <c r="CA129" s="1755"/>
      <c r="CB129" s="1755"/>
      <c r="CC129" s="1755"/>
      <c r="CD129" s="1755"/>
      <c r="CE129" s="1755"/>
      <c r="CF129" s="1755"/>
      <c r="CG129" s="1755"/>
      <c r="CH129" s="1755"/>
      <c r="CI129" s="1755"/>
      <c r="CJ129" s="1755"/>
      <c r="CK129" s="1755"/>
      <c r="CL129" s="1755"/>
      <c r="CM129" s="1755"/>
      <c r="CN129" s="1755"/>
      <c r="CO129" s="1755"/>
      <c r="CP129" s="1755"/>
      <c r="CQ129" s="1755"/>
      <c r="CR129" s="1755"/>
      <c r="CS129" s="1755"/>
      <c r="CT129" s="1755"/>
      <c r="CU129" s="1755"/>
      <c r="CV129" s="1755"/>
      <c r="CW129" s="1755"/>
      <c r="CX129" s="1755"/>
      <c r="CY129" s="1755"/>
      <c r="CZ129" s="1755"/>
      <c r="DA129" s="1755"/>
      <c r="DB129" s="1755"/>
      <c r="DC129" s="1755"/>
      <c r="DD129" s="1755"/>
      <c r="DE129" s="1755"/>
      <c r="DF129" s="1755"/>
      <c r="DG129" s="1755"/>
      <c r="DH129" s="1755"/>
      <c r="DI129" s="1755"/>
      <c r="DJ129" s="1755"/>
      <c r="DK129" s="1755"/>
      <c r="DL129" s="1756"/>
      <c r="DM129" s="202"/>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c r="EX129" s="129"/>
      <c r="EY129" s="129"/>
      <c r="EZ129" s="129"/>
      <c r="FA129" s="129"/>
      <c r="FB129" s="129"/>
      <c r="FC129" s="129"/>
      <c r="FD129" s="129"/>
      <c r="FE129" s="129"/>
      <c r="FF129" s="129"/>
      <c r="FG129" s="129"/>
      <c r="FH129" s="129"/>
      <c r="FI129" s="129"/>
    </row>
    <row r="130" spans="1:165" s="200" customFormat="1" ht="7.5" customHeight="1" thickBot="1">
      <c r="A130" s="199"/>
      <c r="B130" s="1757"/>
      <c r="C130" s="1758"/>
      <c r="D130" s="1758"/>
      <c r="E130" s="1758"/>
      <c r="F130" s="1758"/>
      <c r="G130" s="1758"/>
      <c r="H130" s="1758"/>
      <c r="I130" s="1758"/>
      <c r="J130" s="1758"/>
      <c r="K130" s="1758"/>
      <c r="L130" s="1758"/>
      <c r="M130" s="1758"/>
      <c r="N130" s="1758"/>
      <c r="O130" s="1758"/>
      <c r="P130" s="1758"/>
      <c r="Q130" s="1758"/>
      <c r="R130" s="1758"/>
      <c r="S130" s="1758"/>
      <c r="T130" s="1758"/>
      <c r="U130" s="1758"/>
      <c r="V130" s="1758"/>
      <c r="W130" s="1758"/>
      <c r="X130" s="1758"/>
      <c r="Y130" s="1758"/>
      <c r="Z130" s="1758"/>
      <c r="AA130" s="1758"/>
      <c r="AB130" s="1758"/>
      <c r="AC130" s="1758"/>
      <c r="AD130" s="1758"/>
      <c r="AE130" s="1758"/>
      <c r="AF130" s="1758"/>
      <c r="AG130" s="1758"/>
      <c r="AH130" s="1758"/>
      <c r="AI130" s="1758"/>
      <c r="AJ130" s="1758"/>
      <c r="AK130" s="1758"/>
      <c r="AL130" s="1758"/>
      <c r="AM130" s="1758"/>
      <c r="AN130" s="1758"/>
      <c r="AO130" s="1758"/>
      <c r="AP130" s="1758"/>
      <c r="AQ130" s="1758"/>
      <c r="AR130" s="1758"/>
      <c r="AS130" s="1758"/>
      <c r="AT130" s="1758"/>
      <c r="AU130" s="1758"/>
      <c r="AV130" s="1758"/>
      <c r="AW130" s="1758"/>
      <c r="AX130" s="1758"/>
      <c r="AY130" s="1758"/>
      <c r="AZ130" s="1758"/>
      <c r="BA130" s="1758"/>
      <c r="BB130" s="1758"/>
      <c r="BC130" s="1758"/>
      <c r="BD130" s="1758"/>
      <c r="BE130" s="1758"/>
      <c r="BF130" s="1758"/>
      <c r="BG130" s="1758"/>
      <c r="BH130" s="1758"/>
      <c r="BI130" s="1758"/>
      <c r="BJ130" s="1758"/>
      <c r="BK130" s="1758"/>
      <c r="BL130" s="1758"/>
      <c r="BM130" s="1758"/>
      <c r="BN130" s="1758"/>
      <c r="BO130" s="1758"/>
      <c r="BP130" s="1758"/>
      <c r="BQ130" s="1758"/>
      <c r="BR130" s="1758"/>
      <c r="BS130" s="1758"/>
      <c r="BT130" s="1758"/>
      <c r="BU130" s="1758"/>
      <c r="BV130" s="1758"/>
      <c r="BW130" s="1758"/>
      <c r="BX130" s="1758"/>
      <c r="BY130" s="1758"/>
      <c r="BZ130" s="1758"/>
      <c r="CA130" s="1758"/>
      <c r="CB130" s="1758"/>
      <c r="CC130" s="1758"/>
      <c r="CD130" s="1758"/>
      <c r="CE130" s="1758"/>
      <c r="CF130" s="1758"/>
      <c r="CG130" s="1758"/>
      <c r="CH130" s="1758"/>
      <c r="CI130" s="1758"/>
      <c r="CJ130" s="1758"/>
      <c r="CK130" s="1758"/>
      <c r="CL130" s="1758"/>
      <c r="CM130" s="1758"/>
      <c r="CN130" s="1758"/>
      <c r="CO130" s="1758"/>
      <c r="CP130" s="1758"/>
      <c r="CQ130" s="1758"/>
      <c r="CR130" s="1758"/>
      <c r="CS130" s="1758"/>
      <c r="CT130" s="1758"/>
      <c r="CU130" s="1758"/>
      <c r="CV130" s="1758"/>
      <c r="CW130" s="1758"/>
      <c r="CX130" s="1758"/>
      <c r="CY130" s="1758"/>
      <c r="CZ130" s="1758"/>
      <c r="DA130" s="1758"/>
      <c r="DB130" s="1758"/>
      <c r="DC130" s="1758"/>
      <c r="DD130" s="1758"/>
      <c r="DE130" s="1758"/>
      <c r="DF130" s="1758"/>
      <c r="DG130" s="1758"/>
      <c r="DH130" s="1758"/>
      <c r="DI130" s="1758"/>
      <c r="DJ130" s="1758"/>
      <c r="DK130" s="1758"/>
      <c r="DL130" s="1759"/>
      <c r="DM130" s="202"/>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c r="EX130" s="129"/>
      <c r="EY130" s="129"/>
      <c r="EZ130" s="129"/>
      <c r="FA130" s="129"/>
      <c r="FB130" s="129"/>
      <c r="FC130" s="129"/>
      <c r="FD130" s="129"/>
      <c r="FE130" s="129"/>
      <c r="FF130" s="129"/>
      <c r="FG130" s="129"/>
      <c r="FH130" s="129"/>
      <c r="FI130" s="129"/>
    </row>
    <row r="131" spans="1:165" ht="7.5" customHeight="1" thickTop="1">
      <c r="B131" s="1237" t="s">
        <v>241</v>
      </c>
      <c r="C131" s="1238"/>
      <c r="D131" s="1238"/>
      <c r="E131" s="1238"/>
      <c r="F131" s="1238"/>
      <c r="G131" s="1238"/>
      <c r="H131" s="1238"/>
      <c r="I131" s="1238"/>
      <c r="J131" s="1760"/>
      <c r="K131" s="1761"/>
      <c r="L131" s="1761"/>
      <c r="M131" s="1761"/>
      <c r="N131" s="1761"/>
      <c r="O131" s="1761"/>
      <c r="P131" s="1761"/>
      <c r="Q131" s="1761"/>
      <c r="R131" s="1761"/>
      <c r="S131" s="1761"/>
      <c r="T131" s="1761"/>
      <c r="U131" s="1761"/>
      <c r="V131" s="1305" t="s">
        <v>242</v>
      </c>
      <c r="W131" s="1238"/>
      <c r="X131" s="1238"/>
      <c r="Y131" s="1238"/>
      <c r="Z131" s="1238"/>
      <c r="AA131" s="1238"/>
      <c r="AB131" s="1238"/>
      <c r="AC131" s="1239"/>
      <c r="AD131" s="1760"/>
      <c r="AE131" s="1761"/>
      <c r="AF131" s="1761"/>
      <c r="AG131" s="1761"/>
      <c r="AH131" s="1761"/>
      <c r="AI131" s="1761"/>
      <c r="AJ131" s="1761"/>
      <c r="AK131" s="1761"/>
      <c r="AL131" s="1761"/>
      <c r="AM131" s="1761"/>
      <c r="AN131" s="1761"/>
      <c r="AO131" s="1761"/>
      <c r="AP131" s="1761"/>
      <c r="AQ131" s="1761"/>
      <c r="AR131" s="1761"/>
      <c r="AS131" s="1761"/>
      <c r="AT131" s="1761"/>
      <c r="AU131" s="1761"/>
      <c r="AV131" s="1761"/>
      <c r="AW131" s="1761"/>
      <c r="AX131" s="1761"/>
      <c r="AY131" s="1761"/>
      <c r="AZ131" s="1761"/>
      <c r="BA131" s="1761"/>
      <c r="BB131" s="1761"/>
      <c r="BC131" s="1761"/>
      <c r="BD131" s="1761"/>
      <c r="BE131" s="1761"/>
      <c r="BF131" s="1762"/>
      <c r="BG131" s="1305" t="s">
        <v>391</v>
      </c>
      <c r="BH131" s="1238"/>
      <c r="BI131" s="1238"/>
      <c r="BJ131" s="1238"/>
      <c r="BK131" s="1238"/>
      <c r="BL131" s="1238"/>
      <c r="BM131" s="1238"/>
      <c r="BN131" s="1239"/>
      <c r="BO131" s="1697"/>
      <c r="BP131" s="1697"/>
      <c r="BQ131" s="1697"/>
      <c r="BR131" s="1697"/>
      <c r="BS131" s="1697"/>
      <c r="BT131" s="1697"/>
      <c r="BU131" s="1305" t="s">
        <v>246</v>
      </c>
      <c r="BV131" s="1238"/>
      <c r="BW131" s="1238"/>
      <c r="BX131" s="1238"/>
      <c r="BY131" s="1238"/>
      <c r="BZ131" s="1238"/>
      <c r="CA131" s="1238"/>
      <c r="CB131" s="1239"/>
      <c r="CC131" s="1363"/>
      <c r="CD131" s="1364"/>
      <c r="CE131" s="1364"/>
      <c r="CF131" s="1305" t="s">
        <v>392</v>
      </c>
      <c r="CG131" s="1238"/>
      <c r="CH131" s="1238"/>
      <c r="CI131" s="1238"/>
      <c r="CJ131" s="1238"/>
      <c r="CK131" s="1238"/>
      <c r="CL131" s="1238"/>
      <c r="CM131" s="1239"/>
      <c r="CN131" s="1395"/>
      <c r="CO131" s="1396"/>
      <c r="CP131" s="1396"/>
      <c r="CQ131" s="1396"/>
      <c r="CR131" s="1396"/>
      <c r="CS131" s="1396"/>
      <c r="CT131" s="1396"/>
      <c r="CU131" s="1396"/>
      <c r="CV131" s="1396"/>
      <c r="CW131" s="1396"/>
      <c r="CX131" s="1396"/>
      <c r="CY131" s="1396"/>
      <c r="CZ131" s="1396"/>
      <c r="DA131" s="1396"/>
      <c r="DB131" s="1396"/>
      <c r="DC131" s="1396"/>
      <c r="DD131" s="1396"/>
      <c r="DE131" s="1396"/>
      <c r="DF131" s="1396"/>
      <c r="DG131" s="1396"/>
      <c r="DH131" s="1396"/>
      <c r="DI131" s="1396"/>
      <c r="DJ131" s="1396"/>
      <c r="DK131" s="1396"/>
      <c r="DL131" s="1703"/>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c r="EX131" s="129"/>
      <c r="EY131" s="129"/>
      <c r="EZ131" s="129"/>
      <c r="FA131" s="129"/>
      <c r="FB131" s="129"/>
      <c r="FC131" s="129"/>
      <c r="FD131" s="129"/>
      <c r="FE131" s="129"/>
      <c r="FF131" s="129"/>
      <c r="FG131" s="129"/>
      <c r="FH131" s="129"/>
      <c r="FI131" s="129"/>
    </row>
    <row r="132" spans="1:165" ht="7.5" customHeight="1">
      <c r="B132" s="1240"/>
      <c r="C132" s="1241"/>
      <c r="D132" s="1241"/>
      <c r="E132" s="1241"/>
      <c r="F132" s="1241"/>
      <c r="G132" s="1241"/>
      <c r="H132" s="1241"/>
      <c r="I132" s="1241"/>
      <c r="J132" s="1763"/>
      <c r="K132" s="1641"/>
      <c r="L132" s="1641"/>
      <c r="M132" s="1641"/>
      <c r="N132" s="1641"/>
      <c r="O132" s="1641"/>
      <c r="P132" s="1641"/>
      <c r="Q132" s="1641"/>
      <c r="R132" s="1641"/>
      <c r="S132" s="1641"/>
      <c r="T132" s="1641"/>
      <c r="U132" s="1641"/>
      <c r="V132" s="1306"/>
      <c r="W132" s="1241"/>
      <c r="X132" s="1241"/>
      <c r="Y132" s="1241"/>
      <c r="Z132" s="1241"/>
      <c r="AA132" s="1241"/>
      <c r="AB132" s="1241"/>
      <c r="AC132" s="1242"/>
      <c r="AD132" s="1763"/>
      <c r="AE132" s="1641"/>
      <c r="AF132" s="1641"/>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764"/>
      <c r="BG132" s="1306"/>
      <c r="BH132" s="1241"/>
      <c r="BI132" s="1241"/>
      <c r="BJ132" s="1241"/>
      <c r="BK132" s="1241"/>
      <c r="BL132" s="1241"/>
      <c r="BM132" s="1241"/>
      <c r="BN132" s="1242"/>
      <c r="BO132" s="1577"/>
      <c r="BP132" s="1577"/>
      <c r="BQ132" s="1577"/>
      <c r="BR132" s="1577"/>
      <c r="BS132" s="1577"/>
      <c r="BT132" s="1577"/>
      <c r="BU132" s="1306"/>
      <c r="BV132" s="1241"/>
      <c r="BW132" s="1241"/>
      <c r="BX132" s="1241"/>
      <c r="BY132" s="1241"/>
      <c r="BZ132" s="1241"/>
      <c r="CA132" s="1241"/>
      <c r="CB132" s="1242"/>
      <c r="CC132" s="1366"/>
      <c r="CD132" s="1367"/>
      <c r="CE132" s="1367"/>
      <c r="CF132" s="1306"/>
      <c r="CG132" s="1241"/>
      <c r="CH132" s="1241"/>
      <c r="CI132" s="1241"/>
      <c r="CJ132" s="1241"/>
      <c r="CK132" s="1241"/>
      <c r="CL132" s="1241"/>
      <c r="CM132" s="1242"/>
      <c r="CN132" s="1398"/>
      <c r="CO132" s="1399"/>
      <c r="CP132" s="1399"/>
      <c r="CQ132" s="1399"/>
      <c r="CR132" s="1399"/>
      <c r="CS132" s="1399"/>
      <c r="CT132" s="1399"/>
      <c r="CU132" s="1399"/>
      <c r="CV132" s="1399"/>
      <c r="CW132" s="1399"/>
      <c r="CX132" s="1399"/>
      <c r="CY132" s="1399"/>
      <c r="CZ132" s="1399"/>
      <c r="DA132" s="1399"/>
      <c r="DB132" s="1399"/>
      <c r="DC132" s="1399"/>
      <c r="DD132" s="1399"/>
      <c r="DE132" s="1399"/>
      <c r="DF132" s="1399"/>
      <c r="DG132" s="1399"/>
      <c r="DH132" s="1399"/>
      <c r="DI132" s="1399"/>
      <c r="DJ132" s="1399"/>
      <c r="DK132" s="1399"/>
      <c r="DL132" s="1704"/>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c r="EX132" s="129"/>
      <c r="EY132" s="129"/>
      <c r="EZ132" s="129"/>
      <c r="FA132" s="129"/>
      <c r="FB132" s="129"/>
      <c r="FC132" s="129"/>
      <c r="FD132" s="129"/>
      <c r="FE132" s="129"/>
      <c r="FF132" s="129"/>
      <c r="FG132" s="129"/>
      <c r="FH132" s="129"/>
      <c r="FI132" s="129"/>
    </row>
    <row r="133" spans="1:165" ht="7.5" customHeight="1">
      <c r="B133" s="1274"/>
      <c r="C133" s="1275"/>
      <c r="D133" s="1275"/>
      <c r="E133" s="1275"/>
      <c r="F133" s="1275"/>
      <c r="G133" s="1275"/>
      <c r="H133" s="1275"/>
      <c r="I133" s="1275"/>
      <c r="J133" s="1763"/>
      <c r="K133" s="1641"/>
      <c r="L133" s="1641"/>
      <c r="M133" s="1641"/>
      <c r="N133" s="1641"/>
      <c r="O133" s="1641"/>
      <c r="P133" s="1766"/>
      <c r="Q133" s="1766"/>
      <c r="R133" s="1766"/>
      <c r="S133" s="1766"/>
      <c r="T133" s="1766"/>
      <c r="U133" s="1766"/>
      <c r="V133" s="1306"/>
      <c r="W133" s="1241"/>
      <c r="X133" s="1241"/>
      <c r="Y133" s="1241"/>
      <c r="Z133" s="1241"/>
      <c r="AA133" s="1241"/>
      <c r="AB133" s="1241"/>
      <c r="AC133" s="1242"/>
      <c r="AD133" s="1765"/>
      <c r="AE133" s="1766"/>
      <c r="AF133" s="1766"/>
      <c r="AG133" s="1766"/>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66"/>
      <c r="BF133" s="1767"/>
      <c r="BG133" s="1306"/>
      <c r="BH133" s="1241"/>
      <c r="BI133" s="1241"/>
      <c r="BJ133" s="1241"/>
      <c r="BK133" s="1241"/>
      <c r="BL133" s="1241"/>
      <c r="BM133" s="1241"/>
      <c r="BN133" s="1242"/>
      <c r="BO133" s="1698"/>
      <c r="BP133" s="1698"/>
      <c r="BQ133" s="1698"/>
      <c r="BR133" s="1698"/>
      <c r="BS133" s="1698"/>
      <c r="BT133" s="1698"/>
      <c r="BU133" s="1306"/>
      <c r="BV133" s="1241"/>
      <c r="BW133" s="1241"/>
      <c r="BX133" s="1241"/>
      <c r="BY133" s="1241"/>
      <c r="BZ133" s="1241"/>
      <c r="CA133" s="1241"/>
      <c r="CB133" s="1242"/>
      <c r="CC133" s="1778"/>
      <c r="CD133" s="1779"/>
      <c r="CE133" s="1779"/>
      <c r="CF133" s="1306"/>
      <c r="CG133" s="1241"/>
      <c r="CH133" s="1241"/>
      <c r="CI133" s="1241"/>
      <c r="CJ133" s="1241"/>
      <c r="CK133" s="1241"/>
      <c r="CL133" s="1241"/>
      <c r="CM133" s="1242"/>
      <c r="CN133" s="1705"/>
      <c r="CO133" s="1706"/>
      <c r="CP133" s="1706"/>
      <c r="CQ133" s="1706"/>
      <c r="CR133" s="1706"/>
      <c r="CS133" s="1706"/>
      <c r="CT133" s="1706"/>
      <c r="CU133" s="1706"/>
      <c r="CV133" s="1706"/>
      <c r="CW133" s="1706"/>
      <c r="CX133" s="1706"/>
      <c r="CY133" s="1706"/>
      <c r="CZ133" s="1706"/>
      <c r="DA133" s="1706"/>
      <c r="DB133" s="1706"/>
      <c r="DC133" s="1706"/>
      <c r="DD133" s="1706"/>
      <c r="DE133" s="1706"/>
      <c r="DF133" s="1706"/>
      <c r="DG133" s="1706"/>
      <c r="DH133" s="1706"/>
      <c r="DI133" s="1706"/>
      <c r="DJ133" s="1706"/>
      <c r="DK133" s="1706"/>
      <c r="DL133" s="1707"/>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c r="EX133" s="129"/>
      <c r="EY133" s="129"/>
      <c r="EZ133" s="129"/>
      <c r="FA133" s="129"/>
      <c r="FB133" s="129"/>
      <c r="FC133" s="129"/>
      <c r="FD133" s="129"/>
      <c r="FE133" s="129"/>
      <c r="FF133" s="129"/>
      <c r="FG133" s="129"/>
      <c r="FH133" s="129"/>
      <c r="FI133" s="129"/>
    </row>
    <row r="134" spans="1:165" ht="7.5" customHeight="1">
      <c r="B134" s="1240" t="s">
        <v>38</v>
      </c>
      <c r="C134" s="1241"/>
      <c r="D134" s="1241"/>
      <c r="E134" s="1241"/>
      <c r="F134" s="1241"/>
      <c r="G134" s="1241"/>
      <c r="H134" s="1241"/>
      <c r="I134" s="1242"/>
      <c r="J134" s="1302"/>
      <c r="K134" s="1303"/>
      <c r="L134" s="1303"/>
      <c r="M134" s="1303"/>
      <c r="N134" s="1303"/>
      <c r="O134" s="1954"/>
      <c r="P134" s="1275" t="s">
        <v>393</v>
      </c>
      <c r="Q134" s="1275"/>
      <c r="R134" s="1275"/>
      <c r="S134" s="1275"/>
      <c r="T134" s="1275"/>
      <c r="U134" s="1275"/>
      <c r="V134" s="1275"/>
      <c r="W134" s="1276"/>
      <c r="X134" s="1338">
        <v>20</v>
      </c>
      <c r="Y134" s="1338"/>
      <c r="Z134" s="1338"/>
      <c r="AA134" s="1338"/>
      <c r="AB134" s="1340"/>
      <c r="AC134" s="1340"/>
      <c r="AD134" s="1969"/>
      <c r="AE134" s="1969"/>
      <c r="AF134" s="1869" t="s">
        <v>0</v>
      </c>
      <c r="AG134" s="1869"/>
      <c r="AH134" s="1869"/>
      <c r="AI134" s="1968"/>
      <c r="AJ134" s="1968"/>
      <c r="AK134" s="1968"/>
      <c r="AL134" s="1968"/>
      <c r="AM134" s="1869" t="s">
        <v>1</v>
      </c>
      <c r="AN134" s="1869"/>
      <c r="AO134" s="1869"/>
      <c r="AP134" s="1970">
        <v>1</v>
      </c>
      <c r="AQ134" s="1970"/>
      <c r="AR134" s="1970"/>
      <c r="AS134" s="2001" t="s">
        <v>394</v>
      </c>
      <c r="AT134" s="2001"/>
      <c r="AU134" s="2001"/>
      <c r="AV134" s="2002"/>
      <c r="AW134" s="1971" t="s">
        <v>400</v>
      </c>
      <c r="AX134" s="1832"/>
      <c r="AY134" s="1832"/>
      <c r="AZ134" s="1832"/>
      <c r="BA134" s="1832"/>
      <c r="BB134" s="1832"/>
      <c r="BC134" s="1832"/>
      <c r="BD134" s="1832"/>
      <c r="BE134" s="1832"/>
      <c r="BF134" s="1832"/>
      <c r="BG134" s="1832"/>
      <c r="BH134" s="1832"/>
      <c r="BI134" s="1832"/>
      <c r="BJ134" s="1832"/>
      <c r="BK134" s="1832"/>
      <c r="BL134" s="1832"/>
      <c r="BM134" s="1832"/>
      <c r="BN134" s="1832"/>
      <c r="BO134" s="1832"/>
      <c r="BP134" s="1832"/>
      <c r="BQ134" s="1832"/>
      <c r="BR134" s="1972"/>
      <c r="BS134" s="2011"/>
      <c r="BT134" s="2012"/>
      <c r="BU134" s="2012"/>
      <c r="BV134" s="2012"/>
      <c r="BW134" s="2012"/>
      <c r="BX134" s="2012"/>
      <c r="BY134" s="2012"/>
      <c r="BZ134" s="2012"/>
      <c r="CA134" s="2012"/>
      <c r="CB134" s="2012"/>
      <c r="CC134" s="2012"/>
      <c r="CD134" s="2012"/>
      <c r="CE134" s="2012"/>
      <c r="CF134" s="2012"/>
      <c r="CG134" s="2012"/>
      <c r="CH134" s="2012"/>
      <c r="CI134" s="2012"/>
      <c r="CJ134" s="2012"/>
      <c r="CK134" s="2012"/>
      <c r="CL134" s="2012"/>
      <c r="CM134" s="2012"/>
      <c r="CN134" s="2012"/>
      <c r="CO134" s="2012"/>
      <c r="CP134" s="2012"/>
      <c r="CQ134" s="2012"/>
      <c r="CR134" s="2012"/>
      <c r="CS134" s="2012"/>
      <c r="CT134" s="2012"/>
      <c r="CU134" s="2012"/>
      <c r="CV134" s="2012"/>
      <c r="CW134" s="2012"/>
      <c r="CX134" s="2012"/>
      <c r="CY134" s="2012"/>
      <c r="CZ134" s="2012"/>
      <c r="DA134" s="2012"/>
      <c r="DB134" s="2012"/>
      <c r="DC134" s="2012"/>
      <c r="DD134" s="2012"/>
      <c r="DE134" s="2012"/>
      <c r="DF134" s="2012"/>
      <c r="DG134" s="2012"/>
      <c r="DH134" s="2012"/>
      <c r="DI134" s="2012"/>
      <c r="DJ134" s="2012"/>
      <c r="DK134" s="2012"/>
      <c r="DL134" s="2013"/>
      <c r="DM134" s="693"/>
      <c r="DN134" s="125"/>
      <c r="DS134" s="109"/>
    </row>
    <row r="135" spans="1:165" ht="7.5" customHeight="1">
      <c r="B135" s="1240"/>
      <c r="C135" s="1241"/>
      <c r="D135" s="1241"/>
      <c r="E135" s="1241"/>
      <c r="F135" s="1241"/>
      <c r="G135" s="1241"/>
      <c r="H135" s="1241"/>
      <c r="I135" s="1242"/>
      <c r="J135" s="1302"/>
      <c r="K135" s="1303"/>
      <c r="L135" s="1303"/>
      <c r="M135" s="1303"/>
      <c r="N135" s="1303"/>
      <c r="O135" s="1954"/>
      <c r="P135" s="774"/>
      <c r="Q135" s="774"/>
      <c r="R135" s="774"/>
      <c r="S135" s="774"/>
      <c r="T135" s="774"/>
      <c r="U135" s="774"/>
      <c r="V135" s="774"/>
      <c r="W135" s="1750"/>
      <c r="X135" s="1338"/>
      <c r="Y135" s="1338"/>
      <c r="Z135" s="1338"/>
      <c r="AA135" s="1338"/>
      <c r="AB135" s="1340"/>
      <c r="AC135" s="1340"/>
      <c r="AD135" s="1340"/>
      <c r="AE135" s="1340"/>
      <c r="AF135" s="1342"/>
      <c r="AG135" s="1342"/>
      <c r="AH135" s="1342"/>
      <c r="AI135" s="1344"/>
      <c r="AJ135" s="1344"/>
      <c r="AK135" s="1344"/>
      <c r="AL135" s="1344"/>
      <c r="AM135" s="1342"/>
      <c r="AN135" s="1342"/>
      <c r="AO135" s="1342"/>
      <c r="AP135" s="1346"/>
      <c r="AQ135" s="1346"/>
      <c r="AR135" s="1346"/>
      <c r="AS135" s="1348"/>
      <c r="AT135" s="1348"/>
      <c r="AU135" s="1348"/>
      <c r="AV135" s="1349"/>
      <c r="AW135" s="1830"/>
      <c r="AX135" s="1831"/>
      <c r="AY135" s="1831"/>
      <c r="AZ135" s="1831"/>
      <c r="BA135" s="1831"/>
      <c r="BB135" s="1831"/>
      <c r="BC135" s="1831"/>
      <c r="BD135" s="1831"/>
      <c r="BE135" s="1831"/>
      <c r="BF135" s="1831"/>
      <c r="BG135" s="1831"/>
      <c r="BH135" s="1831"/>
      <c r="BI135" s="1831"/>
      <c r="BJ135" s="1831"/>
      <c r="BK135" s="1831"/>
      <c r="BL135" s="1831"/>
      <c r="BM135" s="1831"/>
      <c r="BN135" s="1831"/>
      <c r="BO135" s="1831"/>
      <c r="BP135" s="1831"/>
      <c r="BQ135" s="1831"/>
      <c r="BR135" s="1833"/>
      <c r="BS135" s="2014"/>
      <c r="BT135" s="1883"/>
      <c r="BU135" s="1883"/>
      <c r="BV135" s="1883"/>
      <c r="BW135" s="1883"/>
      <c r="BX135" s="1883"/>
      <c r="BY135" s="1883"/>
      <c r="BZ135" s="1883"/>
      <c r="CA135" s="1883"/>
      <c r="CB135" s="1883"/>
      <c r="CC135" s="1883"/>
      <c r="CD135" s="1883"/>
      <c r="CE135" s="1883"/>
      <c r="CF135" s="1883"/>
      <c r="CG135" s="1883"/>
      <c r="CH135" s="1883"/>
      <c r="CI135" s="1883"/>
      <c r="CJ135" s="1883"/>
      <c r="CK135" s="1883"/>
      <c r="CL135" s="1883"/>
      <c r="CM135" s="1883"/>
      <c r="CN135" s="1883"/>
      <c r="CO135" s="1883"/>
      <c r="CP135" s="1883"/>
      <c r="CQ135" s="1883"/>
      <c r="CR135" s="1883"/>
      <c r="CS135" s="1883"/>
      <c r="CT135" s="1883"/>
      <c r="CU135" s="1883"/>
      <c r="CV135" s="1883"/>
      <c r="CW135" s="1883"/>
      <c r="CX135" s="1883"/>
      <c r="CY135" s="1883"/>
      <c r="CZ135" s="1883"/>
      <c r="DA135" s="1883"/>
      <c r="DB135" s="1883"/>
      <c r="DC135" s="1883"/>
      <c r="DD135" s="1883"/>
      <c r="DE135" s="1883"/>
      <c r="DF135" s="1883"/>
      <c r="DG135" s="1883"/>
      <c r="DH135" s="1883"/>
      <c r="DI135" s="1883"/>
      <c r="DJ135" s="1883"/>
      <c r="DK135" s="1883"/>
      <c r="DL135" s="1884"/>
      <c r="DM135" s="693"/>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c r="EX135" s="129"/>
      <c r="EY135" s="129"/>
      <c r="EZ135" s="129"/>
      <c r="FA135" s="129"/>
      <c r="FB135" s="129"/>
      <c r="FC135" s="129"/>
      <c r="FD135" s="129"/>
      <c r="FE135" s="129"/>
      <c r="FF135" s="129"/>
      <c r="FG135" s="129"/>
      <c r="FH135" s="129"/>
      <c r="FI135" s="129"/>
    </row>
    <row r="136" spans="1:165" ht="7.5" customHeight="1">
      <c r="B136" s="1240"/>
      <c r="C136" s="1241"/>
      <c r="D136" s="1241"/>
      <c r="E136" s="1241"/>
      <c r="F136" s="1241"/>
      <c r="G136" s="1241"/>
      <c r="H136" s="1241"/>
      <c r="I136" s="1242"/>
      <c r="J136" s="1302"/>
      <c r="K136" s="1303"/>
      <c r="L136" s="1303"/>
      <c r="M136" s="1303"/>
      <c r="N136" s="1303"/>
      <c r="O136" s="1954"/>
      <c r="P136" s="774"/>
      <c r="Q136" s="774"/>
      <c r="R136" s="774"/>
      <c r="S136" s="774"/>
      <c r="T136" s="774"/>
      <c r="U136" s="774"/>
      <c r="V136" s="774"/>
      <c r="W136" s="1750"/>
      <c r="X136" s="1811"/>
      <c r="Y136" s="1811"/>
      <c r="Z136" s="1811"/>
      <c r="AA136" s="1811"/>
      <c r="AB136" s="1812"/>
      <c r="AC136" s="1812"/>
      <c r="AD136" s="1812"/>
      <c r="AE136" s="1812"/>
      <c r="AF136" s="1712"/>
      <c r="AG136" s="1712"/>
      <c r="AH136" s="1712"/>
      <c r="AI136" s="1737"/>
      <c r="AJ136" s="1737"/>
      <c r="AK136" s="1737"/>
      <c r="AL136" s="1737"/>
      <c r="AM136" s="1712"/>
      <c r="AN136" s="1712"/>
      <c r="AO136" s="1712"/>
      <c r="AP136" s="1848"/>
      <c r="AQ136" s="1848"/>
      <c r="AR136" s="1848"/>
      <c r="AS136" s="1777"/>
      <c r="AT136" s="1777"/>
      <c r="AU136" s="1777"/>
      <c r="AV136" s="2003"/>
      <c r="AW136" s="1973"/>
      <c r="AX136" s="1974"/>
      <c r="AY136" s="1974"/>
      <c r="AZ136" s="1974"/>
      <c r="BA136" s="1974"/>
      <c r="BB136" s="1974"/>
      <c r="BC136" s="1974"/>
      <c r="BD136" s="1974"/>
      <c r="BE136" s="1974"/>
      <c r="BF136" s="1974"/>
      <c r="BG136" s="1974"/>
      <c r="BH136" s="1974"/>
      <c r="BI136" s="1974"/>
      <c r="BJ136" s="1974"/>
      <c r="BK136" s="1974"/>
      <c r="BL136" s="1974"/>
      <c r="BM136" s="1974"/>
      <c r="BN136" s="1974"/>
      <c r="BO136" s="1974"/>
      <c r="BP136" s="1974"/>
      <c r="BQ136" s="1974"/>
      <c r="BR136" s="1975"/>
      <c r="BS136" s="2015"/>
      <c r="BT136" s="2016"/>
      <c r="BU136" s="2016"/>
      <c r="BV136" s="2016"/>
      <c r="BW136" s="2016"/>
      <c r="BX136" s="2016"/>
      <c r="BY136" s="2016"/>
      <c r="BZ136" s="2016"/>
      <c r="CA136" s="2016"/>
      <c r="CB136" s="2016"/>
      <c r="CC136" s="2016"/>
      <c r="CD136" s="2016"/>
      <c r="CE136" s="2016"/>
      <c r="CF136" s="2016"/>
      <c r="CG136" s="2016"/>
      <c r="CH136" s="2016"/>
      <c r="CI136" s="2016"/>
      <c r="CJ136" s="2016"/>
      <c r="CK136" s="2016"/>
      <c r="CL136" s="2016"/>
      <c r="CM136" s="2016"/>
      <c r="CN136" s="2016"/>
      <c r="CO136" s="2016"/>
      <c r="CP136" s="2016"/>
      <c r="CQ136" s="2016"/>
      <c r="CR136" s="2016"/>
      <c r="CS136" s="2016"/>
      <c r="CT136" s="2016"/>
      <c r="CU136" s="2016"/>
      <c r="CV136" s="2016"/>
      <c r="CW136" s="2016"/>
      <c r="CX136" s="2016"/>
      <c r="CY136" s="2016"/>
      <c r="CZ136" s="2016"/>
      <c r="DA136" s="2016"/>
      <c r="DB136" s="2016"/>
      <c r="DC136" s="2016"/>
      <c r="DD136" s="2016"/>
      <c r="DE136" s="2016"/>
      <c r="DF136" s="2016"/>
      <c r="DG136" s="2016"/>
      <c r="DH136" s="2016"/>
      <c r="DI136" s="2016"/>
      <c r="DJ136" s="2016"/>
      <c r="DK136" s="2016"/>
      <c r="DL136" s="2017"/>
      <c r="DM136" s="693"/>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row>
    <row r="137" spans="1:165" ht="7.5" customHeight="1">
      <c r="B137" s="1938" t="s">
        <v>396</v>
      </c>
      <c r="C137" s="1714"/>
      <c r="D137" s="1714"/>
      <c r="E137" s="1714"/>
      <c r="F137" s="1714"/>
      <c r="G137" s="1715"/>
      <c r="H137" s="1275" t="s">
        <v>403</v>
      </c>
      <c r="I137" s="1275"/>
      <c r="J137" s="1275"/>
      <c r="K137" s="1275"/>
      <c r="L137" s="1275"/>
      <c r="M137" s="1275"/>
      <c r="N137" s="1275"/>
      <c r="O137" s="1275"/>
      <c r="P137" s="1950"/>
      <c r="Q137" s="1950"/>
      <c r="R137" s="1950"/>
      <c r="S137" s="1943" t="s">
        <v>404</v>
      </c>
      <c r="T137" s="1943"/>
      <c r="U137" s="1943"/>
      <c r="V137" s="1943"/>
      <c r="W137" s="1943"/>
      <c r="X137" s="1950"/>
      <c r="Y137" s="1950"/>
      <c r="Z137" s="1950"/>
      <c r="AA137" s="1950"/>
      <c r="AB137" s="2064"/>
      <c r="AC137" s="1362" t="s">
        <v>405</v>
      </c>
      <c r="AD137" s="1275"/>
      <c r="AE137" s="1275"/>
      <c r="AF137" s="1275"/>
      <c r="AG137" s="1275"/>
      <c r="AH137" s="1275"/>
      <c r="AI137" s="1275"/>
      <c r="AJ137" s="1276"/>
      <c r="AK137" s="1425"/>
      <c r="AL137" s="1425"/>
      <c r="AM137" s="1425"/>
      <c r="AN137" s="1959" t="s">
        <v>404</v>
      </c>
      <c r="AO137" s="1960"/>
      <c r="AP137" s="1960"/>
      <c r="AQ137" s="1960"/>
      <c r="AR137" s="1961"/>
      <c r="AS137" s="1425"/>
      <c r="AT137" s="1425"/>
      <c r="AU137" s="1425"/>
      <c r="AV137" s="1425"/>
      <c r="AW137" s="1425"/>
      <c r="AX137" s="1362" t="s">
        <v>406</v>
      </c>
      <c r="AY137" s="1275"/>
      <c r="AZ137" s="1275"/>
      <c r="BA137" s="1275"/>
      <c r="BB137" s="1275"/>
      <c r="BC137" s="1275"/>
      <c r="BD137" s="1276"/>
      <c r="BE137" s="1858"/>
      <c r="BF137" s="1425"/>
      <c r="BG137" s="1999"/>
      <c r="BH137" s="1362" t="s">
        <v>407</v>
      </c>
      <c r="BI137" s="1275"/>
      <c r="BJ137" s="1275"/>
      <c r="BK137" s="1275"/>
      <c r="BL137" s="1275"/>
      <c r="BM137" s="1275"/>
      <c r="BN137" s="1275"/>
      <c r="BO137" s="1275"/>
      <c r="BP137" s="1858"/>
      <c r="BQ137" s="1425"/>
      <c r="BR137" s="1425"/>
      <c r="BS137" s="1362" t="s">
        <v>1131</v>
      </c>
      <c r="BT137" s="1275"/>
      <c r="BU137" s="1275"/>
      <c r="BV137" s="1275"/>
      <c r="BW137" s="1275"/>
      <c r="BX137" s="1275"/>
      <c r="BY137" s="1275"/>
      <c r="BZ137" s="1275"/>
      <c r="CA137" s="1275"/>
      <c r="CB137" s="1275"/>
      <c r="CC137" s="1275"/>
      <c r="CD137" s="1275"/>
      <c r="CE137" s="1275"/>
      <c r="CF137" s="1275"/>
      <c r="CG137" s="1276"/>
      <c r="CH137" s="2004"/>
      <c r="CI137" s="1806"/>
      <c r="CJ137" s="2005"/>
      <c r="CK137" s="1740" t="s">
        <v>1406</v>
      </c>
      <c r="CL137" s="1275"/>
      <c r="CM137" s="1275"/>
      <c r="CN137" s="1275"/>
      <c r="CO137" s="1275"/>
      <c r="CP137" s="1275"/>
      <c r="CQ137" s="1275"/>
      <c r="CR137" s="1275"/>
      <c r="CS137" s="1275"/>
      <c r="CT137" s="1275"/>
      <c r="CU137" s="1275"/>
      <c r="CV137" s="1275"/>
      <c r="CW137" s="1275"/>
      <c r="CX137" s="1275"/>
      <c r="CY137" s="1275"/>
      <c r="CZ137" s="1275"/>
      <c r="DA137" s="1275"/>
      <c r="DB137" s="1275"/>
      <c r="DC137" s="1275"/>
      <c r="DD137" s="1275"/>
      <c r="DE137" s="1863"/>
      <c r="DF137" s="1863"/>
      <c r="DG137" s="1863"/>
      <c r="DH137" s="1863"/>
      <c r="DI137" s="1863"/>
      <c r="DJ137" s="1863"/>
      <c r="DK137" s="1863"/>
      <c r="DL137" s="1864"/>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row>
    <row r="138" spans="1:165" ht="7.5" customHeight="1">
      <c r="B138" s="1939"/>
      <c r="C138" s="1717"/>
      <c r="D138" s="1717"/>
      <c r="E138" s="1717"/>
      <c r="F138" s="1717"/>
      <c r="G138" s="1718"/>
      <c r="H138" s="774"/>
      <c r="I138" s="774"/>
      <c r="J138" s="774"/>
      <c r="K138" s="774"/>
      <c r="L138" s="774"/>
      <c r="M138" s="774"/>
      <c r="N138" s="774"/>
      <c r="O138" s="774"/>
      <c r="P138" s="1951"/>
      <c r="Q138" s="1951"/>
      <c r="R138" s="1951"/>
      <c r="S138" s="1944"/>
      <c r="T138" s="1944"/>
      <c r="U138" s="1944"/>
      <c r="V138" s="1944"/>
      <c r="W138" s="1944"/>
      <c r="X138" s="1951"/>
      <c r="Y138" s="1951"/>
      <c r="Z138" s="1951"/>
      <c r="AA138" s="1951"/>
      <c r="AB138" s="2065"/>
      <c r="AC138" s="1422"/>
      <c r="AD138" s="774"/>
      <c r="AE138" s="774"/>
      <c r="AF138" s="774"/>
      <c r="AG138" s="774"/>
      <c r="AH138" s="774"/>
      <c r="AI138" s="774"/>
      <c r="AJ138" s="1750"/>
      <c r="AK138" s="1367"/>
      <c r="AL138" s="1367"/>
      <c r="AM138" s="1367"/>
      <c r="AN138" s="1962"/>
      <c r="AO138" s="1963"/>
      <c r="AP138" s="1963"/>
      <c r="AQ138" s="1963"/>
      <c r="AR138" s="1964"/>
      <c r="AS138" s="1367"/>
      <c r="AT138" s="1367"/>
      <c r="AU138" s="1367"/>
      <c r="AV138" s="1367"/>
      <c r="AW138" s="1367"/>
      <c r="AX138" s="1422"/>
      <c r="AY138" s="774"/>
      <c r="AZ138" s="774"/>
      <c r="BA138" s="774"/>
      <c r="BB138" s="774"/>
      <c r="BC138" s="774"/>
      <c r="BD138" s="1750"/>
      <c r="BE138" s="1366"/>
      <c r="BF138" s="1367"/>
      <c r="BG138" s="1368"/>
      <c r="BH138" s="1422"/>
      <c r="BI138" s="774"/>
      <c r="BJ138" s="774"/>
      <c r="BK138" s="774"/>
      <c r="BL138" s="774"/>
      <c r="BM138" s="774"/>
      <c r="BN138" s="774"/>
      <c r="BO138" s="774"/>
      <c r="BP138" s="1366"/>
      <c r="BQ138" s="1367"/>
      <c r="BR138" s="1367"/>
      <c r="BS138" s="1422"/>
      <c r="BT138" s="774"/>
      <c r="BU138" s="774"/>
      <c r="BV138" s="774"/>
      <c r="BW138" s="774"/>
      <c r="BX138" s="774"/>
      <c r="BY138" s="774"/>
      <c r="BZ138" s="774"/>
      <c r="CA138" s="774"/>
      <c r="CB138" s="774"/>
      <c r="CC138" s="774"/>
      <c r="CD138" s="774"/>
      <c r="CE138" s="774"/>
      <c r="CF138" s="774"/>
      <c r="CG138" s="1750"/>
      <c r="CH138" s="2006"/>
      <c r="CI138" s="1808"/>
      <c r="CJ138" s="2007"/>
      <c r="CK138" s="1743"/>
      <c r="CL138" s="774"/>
      <c r="CM138" s="774"/>
      <c r="CN138" s="774"/>
      <c r="CO138" s="774"/>
      <c r="CP138" s="774"/>
      <c r="CQ138" s="774"/>
      <c r="CR138" s="774"/>
      <c r="CS138" s="774"/>
      <c r="CT138" s="774"/>
      <c r="CU138" s="774"/>
      <c r="CV138" s="774"/>
      <c r="CW138" s="774"/>
      <c r="CX138" s="774"/>
      <c r="CY138" s="774"/>
      <c r="CZ138" s="774"/>
      <c r="DA138" s="774"/>
      <c r="DB138" s="774"/>
      <c r="DC138" s="774"/>
      <c r="DD138" s="774"/>
      <c r="DE138" s="1865"/>
      <c r="DF138" s="1865"/>
      <c r="DG138" s="1865"/>
      <c r="DH138" s="1865"/>
      <c r="DI138" s="1865"/>
      <c r="DJ138" s="1865"/>
      <c r="DK138" s="1865"/>
      <c r="DL138" s="1866"/>
      <c r="DN138" s="131"/>
      <c r="DO138" s="131"/>
      <c r="DP138" s="131"/>
      <c r="DQ138" s="130"/>
      <c r="DR138" s="132"/>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c r="FB138" s="130"/>
      <c r="FC138" s="130"/>
      <c r="FD138" s="130"/>
      <c r="FE138" s="130"/>
      <c r="FF138" s="130"/>
      <c r="FG138" s="130"/>
      <c r="FH138" s="130"/>
      <c r="FI138" s="130"/>
    </row>
    <row r="139" spans="1:165" ht="7.5" customHeight="1" thickBot="1">
      <c r="B139" s="1940"/>
      <c r="C139" s="1941"/>
      <c r="D139" s="1941"/>
      <c r="E139" s="1941"/>
      <c r="F139" s="1941"/>
      <c r="G139" s="1942"/>
      <c r="H139" s="1862"/>
      <c r="I139" s="1862"/>
      <c r="J139" s="1862"/>
      <c r="K139" s="1862"/>
      <c r="L139" s="1862"/>
      <c r="M139" s="1862"/>
      <c r="N139" s="1862"/>
      <c r="O139" s="1862"/>
      <c r="P139" s="1952"/>
      <c r="Q139" s="1952"/>
      <c r="R139" s="1952"/>
      <c r="S139" s="1945"/>
      <c r="T139" s="1945"/>
      <c r="U139" s="1945"/>
      <c r="V139" s="1945"/>
      <c r="W139" s="1945"/>
      <c r="X139" s="1952"/>
      <c r="Y139" s="1952"/>
      <c r="Z139" s="1952"/>
      <c r="AA139" s="1952"/>
      <c r="AB139" s="2066"/>
      <c r="AC139" s="1870"/>
      <c r="AD139" s="1862"/>
      <c r="AE139" s="1862"/>
      <c r="AF139" s="1862"/>
      <c r="AG139" s="1862"/>
      <c r="AH139" s="1862"/>
      <c r="AI139" s="1862"/>
      <c r="AJ139" s="1871"/>
      <c r="AK139" s="1860"/>
      <c r="AL139" s="1860"/>
      <c r="AM139" s="1860"/>
      <c r="AN139" s="1965"/>
      <c r="AO139" s="1966"/>
      <c r="AP139" s="1966"/>
      <c r="AQ139" s="1966"/>
      <c r="AR139" s="1967"/>
      <c r="AS139" s="1860"/>
      <c r="AT139" s="1860"/>
      <c r="AU139" s="1860"/>
      <c r="AV139" s="1860"/>
      <c r="AW139" s="1860"/>
      <c r="AX139" s="1870"/>
      <c r="AY139" s="1862"/>
      <c r="AZ139" s="1862"/>
      <c r="BA139" s="1862"/>
      <c r="BB139" s="1862"/>
      <c r="BC139" s="1862"/>
      <c r="BD139" s="1871"/>
      <c r="BE139" s="1859"/>
      <c r="BF139" s="1860"/>
      <c r="BG139" s="2000"/>
      <c r="BH139" s="1870"/>
      <c r="BI139" s="1862"/>
      <c r="BJ139" s="1862"/>
      <c r="BK139" s="1862"/>
      <c r="BL139" s="1862"/>
      <c r="BM139" s="1862"/>
      <c r="BN139" s="1862"/>
      <c r="BO139" s="1862"/>
      <c r="BP139" s="1859"/>
      <c r="BQ139" s="1860"/>
      <c r="BR139" s="1860"/>
      <c r="BS139" s="1870"/>
      <c r="BT139" s="1862"/>
      <c r="BU139" s="1862"/>
      <c r="BV139" s="1862"/>
      <c r="BW139" s="1862"/>
      <c r="BX139" s="1862"/>
      <c r="BY139" s="1862"/>
      <c r="BZ139" s="1862"/>
      <c r="CA139" s="1862"/>
      <c r="CB139" s="1862"/>
      <c r="CC139" s="1862"/>
      <c r="CD139" s="1862"/>
      <c r="CE139" s="1862"/>
      <c r="CF139" s="1862"/>
      <c r="CG139" s="1871"/>
      <c r="CH139" s="2008"/>
      <c r="CI139" s="2009"/>
      <c r="CJ139" s="2010"/>
      <c r="CK139" s="1861"/>
      <c r="CL139" s="1862"/>
      <c r="CM139" s="1862"/>
      <c r="CN139" s="1862"/>
      <c r="CO139" s="1862"/>
      <c r="CP139" s="1862"/>
      <c r="CQ139" s="1862"/>
      <c r="CR139" s="1862"/>
      <c r="CS139" s="1862"/>
      <c r="CT139" s="1862"/>
      <c r="CU139" s="1862"/>
      <c r="CV139" s="1862"/>
      <c r="CW139" s="1862"/>
      <c r="CX139" s="1862"/>
      <c r="CY139" s="1862"/>
      <c r="CZ139" s="1862"/>
      <c r="DA139" s="1862"/>
      <c r="DB139" s="1862"/>
      <c r="DC139" s="1862"/>
      <c r="DD139" s="1862"/>
      <c r="DE139" s="1867"/>
      <c r="DF139" s="1867"/>
      <c r="DG139" s="1867"/>
      <c r="DH139" s="1867"/>
      <c r="DI139" s="1867"/>
      <c r="DJ139" s="1867"/>
      <c r="DK139" s="1867"/>
      <c r="DL139" s="1868"/>
      <c r="DN139" s="135"/>
      <c r="DO139" s="135"/>
      <c r="DP139" s="135"/>
      <c r="DQ139" s="133"/>
      <c r="DR139" s="134"/>
      <c r="DS139" s="133"/>
      <c r="DT139" s="133"/>
      <c r="DU139" s="133"/>
      <c r="DV139" s="133"/>
      <c r="DW139" s="133"/>
      <c r="DX139" s="133"/>
      <c r="DY139" s="133"/>
      <c r="DZ139" s="133"/>
      <c r="EA139" s="133"/>
      <c r="EB139" s="133"/>
      <c r="EC139" s="133"/>
      <c r="ED139" s="133"/>
      <c r="EE139" s="133"/>
      <c r="EF139" s="133"/>
      <c r="EG139" s="133"/>
      <c r="EH139" s="133"/>
      <c r="EI139" s="133"/>
      <c r="EJ139" s="133"/>
      <c r="EK139" s="133"/>
      <c r="EL139" s="133"/>
      <c r="EM139" s="133"/>
      <c r="EN139" s="133"/>
      <c r="EO139" s="133"/>
      <c r="EP139" s="133"/>
      <c r="EQ139" s="133"/>
      <c r="ER139" s="133"/>
      <c r="ES139" s="133"/>
      <c r="ET139" s="133"/>
      <c r="EU139" s="133"/>
      <c r="EV139" s="133"/>
      <c r="EW139" s="133"/>
      <c r="EX139" s="133"/>
      <c r="EY139" s="133"/>
      <c r="EZ139" s="133"/>
      <c r="FA139" s="133"/>
      <c r="FB139" s="133"/>
      <c r="FC139" s="133"/>
      <c r="FD139" s="133"/>
      <c r="FE139" s="133"/>
      <c r="FF139" s="133"/>
      <c r="FG139" s="133"/>
      <c r="FH139" s="133"/>
      <c r="FI139" s="133"/>
    </row>
    <row r="140" spans="1:165" ht="23.5" customHeight="1" thickBot="1">
      <c r="B140" s="1957" t="s">
        <v>1352</v>
      </c>
      <c r="C140" s="1958"/>
      <c r="D140" s="1958"/>
      <c r="E140" s="1958"/>
      <c r="F140" s="1958"/>
      <c r="G140" s="1958"/>
      <c r="H140" s="1958"/>
      <c r="I140" s="1958"/>
      <c r="J140" s="1958"/>
      <c r="K140" s="1958"/>
      <c r="L140" s="1958"/>
      <c r="M140" s="2048"/>
      <c r="N140" s="2049"/>
      <c r="O140" s="2049"/>
      <c r="P140" s="2049"/>
      <c r="Q140" s="2049"/>
      <c r="R140" s="2049"/>
      <c r="S140" s="2049"/>
      <c r="T140" s="2049"/>
      <c r="U140" s="2049"/>
      <c r="V140" s="2049"/>
      <c r="W140" s="2049"/>
      <c r="X140" s="2049"/>
      <c r="Y140" s="2049"/>
      <c r="Z140" s="2049"/>
      <c r="AA140" s="2049"/>
      <c r="AB140" s="2049"/>
      <c r="AC140" s="2049"/>
      <c r="AD140" s="2049"/>
      <c r="AE140" s="2049"/>
      <c r="AF140" s="2049"/>
      <c r="AG140" s="2049"/>
      <c r="AH140" s="2049"/>
      <c r="AI140" s="2049"/>
      <c r="AJ140" s="2049"/>
      <c r="AK140" s="2049"/>
      <c r="AL140" s="2049"/>
      <c r="AM140" s="2049"/>
      <c r="AN140" s="2049"/>
      <c r="AO140" s="2049"/>
      <c r="AP140" s="2049"/>
      <c r="AQ140" s="2049"/>
      <c r="AR140" s="2049"/>
      <c r="AS140" s="2050" t="s">
        <v>1516</v>
      </c>
      <c r="AT140" s="2051"/>
      <c r="AU140" s="2051"/>
      <c r="AV140" s="2051"/>
      <c r="AW140" s="2051"/>
      <c r="AX140" s="2051"/>
      <c r="AY140" s="2051"/>
      <c r="AZ140" s="2051"/>
      <c r="BA140" s="2051"/>
      <c r="BB140" s="2051"/>
      <c r="BC140" s="2051"/>
      <c r="BD140" s="2051"/>
      <c r="BE140" s="2051"/>
      <c r="BF140" s="2051"/>
      <c r="BG140" s="2051"/>
      <c r="BH140" s="2051"/>
      <c r="BI140" s="2051"/>
      <c r="BJ140" s="2051"/>
      <c r="BK140" s="2051"/>
      <c r="BL140" s="2051"/>
      <c r="BM140" s="2051"/>
      <c r="BN140" s="2051"/>
      <c r="BO140" s="2051"/>
      <c r="BP140" s="2051"/>
      <c r="BQ140" s="2051"/>
      <c r="BR140" s="2051"/>
      <c r="BS140" s="2051"/>
      <c r="BT140" s="2051"/>
      <c r="BU140" s="2051"/>
      <c r="BV140" s="2051"/>
      <c r="BW140" s="2051"/>
      <c r="BX140" s="2051"/>
      <c r="BY140" s="2051"/>
      <c r="BZ140" s="2051"/>
      <c r="CA140" s="2051"/>
      <c r="CB140" s="2051"/>
      <c r="CC140" s="2051"/>
      <c r="CD140" s="2051"/>
      <c r="CE140" s="2051"/>
      <c r="CF140" s="2051"/>
      <c r="CG140" s="2051"/>
      <c r="CH140" s="2051"/>
      <c r="CI140" s="2051"/>
      <c r="CJ140" s="2051"/>
      <c r="CK140" s="2051"/>
      <c r="CL140" s="2051"/>
      <c r="CM140" s="2051"/>
      <c r="CN140" s="2051"/>
      <c r="CO140" s="2051"/>
      <c r="CP140" s="2051"/>
      <c r="CQ140" s="2051"/>
      <c r="CR140" s="2051"/>
      <c r="CS140" s="2051"/>
      <c r="CT140" s="2051"/>
      <c r="CU140" s="2051"/>
      <c r="CV140" s="2051"/>
      <c r="CW140" s="2051"/>
      <c r="CX140" s="2051"/>
      <c r="CY140" s="2051"/>
      <c r="CZ140" s="2051"/>
      <c r="DA140" s="2051"/>
      <c r="DB140" s="2051"/>
      <c r="DC140" s="2051"/>
      <c r="DD140" s="2051"/>
      <c r="DE140" s="2051"/>
      <c r="DF140" s="2051"/>
      <c r="DG140" s="2051"/>
      <c r="DH140" s="2051"/>
      <c r="DI140" s="2051"/>
      <c r="DJ140" s="2051"/>
      <c r="DK140" s="2051"/>
      <c r="DL140" s="2051"/>
      <c r="DN140" s="135"/>
      <c r="DO140" s="135"/>
      <c r="DP140" s="135"/>
      <c r="DQ140" s="133"/>
      <c r="DR140" s="134"/>
      <c r="DS140" s="133"/>
      <c r="DT140" s="133"/>
      <c r="DU140" s="133"/>
      <c r="DV140" s="133"/>
      <c r="DW140" s="133"/>
      <c r="DX140" s="133"/>
      <c r="DY140" s="133"/>
      <c r="DZ140" s="133"/>
      <c r="EA140" s="133"/>
      <c r="EB140" s="133"/>
      <c r="EC140" s="133"/>
      <c r="ED140" s="133"/>
      <c r="EE140" s="133"/>
      <c r="EF140" s="133"/>
      <c r="EG140" s="133"/>
      <c r="EH140" s="133"/>
      <c r="EI140" s="133"/>
      <c r="EJ140" s="133"/>
      <c r="EK140" s="133"/>
      <c r="EL140" s="133"/>
      <c r="EM140" s="133"/>
      <c r="EN140" s="133"/>
      <c r="EO140" s="133"/>
      <c r="EP140" s="133"/>
      <c r="EQ140" s="133"/>
      <c r="ER140" s="133"/>
      <c r="ES140" s="133"/>
      <c r="ET140" s="133"/>
      <c r="EU140" s="133"/>
      <c r="EV140" s="133"/>
      <c r="EW140" s="133"/>
      <c r="EX140" s="133"/>
      <c r="EY140" s="133"/>
      <c r="EZ140" s="133"/>
      <c r="FA140" s="133"/>
      <c r="FB140" s="133"/>
      <c r="FC140" s="133"/>
      <c r="FD140" s="133"/>
      <c r="FE140" s="133"/>
      <c r="FF140" s="133"/>
      <c r="FG140" s="133"/>
      <c r="FH140" s="133"/>
      <c r="FI140" s="133"/>
    </row>
    <row r="141" spans="1:165" ht="22.5" customHeight="1">
      <c r="B141" s="1955" t="s">
        <v>408</v>
      </c>
      <c r="C141" s="1956"/>
      <c r="D141" s="1956"/>
      <c r="E141" s="1956"/>
      <c r="F141" s="1956"/>
      <c r="G141" s="1956"/>
      <c r="H141" s="1956"/>
      <c r="I141" s="1956"/>
      <c r="J141" s="1956"/>
      <c r="K141" s="1956"/>
      <c r="L141" s="1956"/>
      <c r="M141" s="1956"/>
      <c r="N141" s="1956"/>
      <c r="O141" s="1956"/>
      <c r="P141" s="2061" t="s">
        <v>1178</v>
      </c>
      <c r="Q141" s="2062"/>
      <c r="R141" s="2062"/>
      <c r="S141" s="2062"/>
      <c r="T141" s="2062"/>
      <c r="U141" s="2062"/>
      <c r="V141" s="2062"/>
      <c r="W141" s="2062"/>
      <c r="X141" s="2062"/>
      <c r="Y141" s="2062"/>
      <c r="Z141" s="2062"/>
      <c r="AA141" s="2062"/>
      <c r="AB141" s="2062"/>
      <c r="AC141" s="2062"/>
      <c r="AD141" s="2062"/>
      <c r="AE141" s="2062"/>
      <c r="AF141" s="2062"/>
      <c r="AG141" s="2062"/>
      <c r="AH141" s="2062"/>
      <c r="AI141" s="2062"/>
      <c r="AJ141" s="2062"/>
      <c r="AK141" s="2062"/>
      <c r="AL141" s="2062"/>
      <c r="AM141" s="2062"/>
      <c r="AN141" s="2062"/>
      <c r="AO141" s="2062"/>
      <c r="AP141" s="2062"/>
      <c r="AQ141" s="2062"/>
      <c r="AR141" s="2062"/>
      <c r="AS141" s="2062"/>
      <c r="AT141" s="2062"/>
      <c r="AU141" s="2062"/>
      <c r="AV141" s="2062"/>
      <c r="AW141" s="2062"/>
      <c r="AX141" s="2062"/>
      <c r="AY141" s="2062"/>
      <c r="AZ141" s="2062"/>
      <c r="BA141" s="2062"/>
      <c r="BB141" s="2062"/>
      <c r="BC141" s="2062"/>
      <c r="BD141" s="2062"/>
      <c r="BE141" s="2062"/>
      <c r="BF141" s="2062"/>
      <c r="BG141" s="2062"/>
      <c r="BH141" s="2062"/>
      <c r="BI141" s="2062"/>
      <c r="BJ141" s="2062"/>
      <c r="BK141" s="2062"/>
      <c r="BL141" s="2062"/>
      <c r="BM141" s="2062"/>
      <c r="BN141" s="2062"/>
      <c r="BO141" s="2062"/>
      <c r="BP141" s="2062"/>
      <c r="BQ141" s="2062"/>
      <c r="BR141" s="2062"/>
      <c r="BS141" s="2062"/>
      <c r="BT141" s="2062"/>
      <c r="BU141" s="2062"/>
      <c r="BV141" s="2062"/>
      <c r="BW141" s="2062"/>
      <c r="BX141" s="2062"/>
      <c r="BY141" s="2062"/>
      <c r="BZ141" s="2062"/>
      <c r="CA141" s="2062"/>
      <c r="CB141" s="2062"/>
      <c r="CC141" s="2062"/>
      <c r="CD141" s="2062"/>
      <c r="CE141" s="2062"/>
      <c r="CF141" s="2062"/>
      <c r="CG141" s="2062"/>
      <c r="CH141" s="2062"/>
      <c r="CI141" s="2062"/>
      <c r="CJ141" s="2062"/>
      <c r="CK141" s="2062"/>
      <c r="CL141" s="2062"/>
      <c r="CM141" s="2062"/>
      <c r="CN141" s="2062"/>
      <c r="CO141" s="2062"/>
      <c r="CP141" s="2062"/>
      <c r="CQ141" s="2062"/>
      <c r="CR141" s="2062"/>
      <c r="CS141" s="2062"/>
      <c r="CT141" s="2062"/>
      <c r="CU141" s="2062"/>
      <c r="CV141" s="2062"/>
      <c r="CW141" s="2062"/>
      <c r="CX141" s="2062"/>
      <c r="CY141" s="2062"/>
      <c r="CZ141" s="2062"/>
      <c r="DA141" s="2062"/>
      <c r="DB141" s="2062"/>
      <c r="DC141" s="2062"/>
      <c r="DD141" s="2063"/>
      <c r="DE141" s="2045" t="s">
        <v>437</v>
      </c>
      <c r="DF141" s="2046"/>
      <c r="DG141" s="2046"/>
      <c r="DH141" s="2046"/>
      <c r="DI141" s="2046"/>
      <c r="DJ141" s="2046"/>
      <c r="DK141" s="2046"/>
      <c r="DL141" s="2047"/>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c r="EX141" s="129"/>
      <c r="EY141" s="129"/>
      <c r="EZ141" s="129"/>
      <c r="FA141" s="129"/>
      <c r="FB141" s="129"/>
      <c r="FC141" s="129"/>
      <c r="FD141" s="129"/>
      <c r="FE141" s="129"/>
      <c r="FF141" s="129"/>
      <c r="FG141" s="129"/>
      <c r="FH141" s="129"/>
      <c r="FI141" s="129"/>
    </row>
    <row r="142" spans="1:165" ht="22.5" customHeight="1">
      <c r="B142" s="1946" t="s">
        <v>409</v>
      </c>
      <c r="C142" s="1947"/>
      <c r="D142" s="1947"/>
      <c r="E142" s="1947"/>
      <c r="F142" s="1947"/>
      <c r="G142" s="1947"/>
      <c r="H142" s="1947"/>
      <c r="I142" s="1947"/>
      <c r="J142" s="1947"/>
      <c r="K142" s="1947"/>
      <c r="L142" s="1947"/>
      <c r="M142" s="1947"/>
      <c r="N142" s="1947"/>
      <c r="O142" s="1947"/>
      <c r="P142" s="2052" t="s">
        <v>501</v>
      </c>
      <c r="Q142" s="2053"/>
      <c r="R142" s="2053"/>
      <c r="S142" s="2053"/>
      <c r="T142" s="2053"/>
      <c r="U142" s="2053"/>
      <c r="V142" s="2053"/>
      <c r="W142" s="2053"/>
      <c r="X142" s="2053"/>
      <c r="Y142" s="2053"/>
      <c r="Z142" s="2053"/>
      <c r="AA142" s="2053"/>
      <c r="AB142" s="2053"/>
      <c r="AC142" s="2053"/>
      <c r="AD142" s="2053"/>
      <c r="AE142" s="2053"/>
      <c r="AF142" s="2053"/>
      <c r="AG142" s="2053"/>
      <c r="AH142" s="2053"/>
      <c r="AI142" s="2053"/>
      <c r="AJ142" s="2053"/>
      <c r="AK142" s="2053"/>
      <c r="AL142" s="2053"/>
      <c r="AM142" s="2053"/>
      <c r="AN142" s="2053"/>
      <c r="AO142" s="2053"/>
      <c r="AP142" s="2053"/>
      <c r="AQ142" s="2053"/>
      <c r="AR142" s="2053"/>
      <c r="AS142" s="2053"/>
      <c r="AT142" s="2053"/>
      <c r="AU142" s="2053"/>
      <c r="AV142" s="2053"/>
      <c r="AW142" s="2053"/>
      <c r="AX142" s="2053"/>
      <c r="AY142" s="2053"/>
      <c r="AZ142" s="2053"/>
      <c r="BA142" s="2053"/>
      <c r="BB142" s="2053"/>
      <c r="BC142" s="2053"/>
      <c r="BD142" s="2053"/>
      <c r="BE142" s="2053"/>
      <c r="BF142" s="2053"/>
      <c r="BG142" s="2053"/>
      <c r="BH142" s="2053"/>
      <c r="BI142" s="2053"/>
      <c r="BJ142" s="2053"/>
      <c r="BK142" s="2053"/>
      <c r="BL142" s="2053"/>
      <c r="BM142" s="2053"/>
      <c r="BN142" s="2053"/>
      <c r="BO142" s="2053"/>
      <c r="BP142" s="2053"/>
      <c r="BQ142" s="2053"/>
      <c r="BR142" s="2053"/>
      <c r="BS142" s="2053"/>
      <c r="BT142" s="2053"/>
      <c r="BU142" s="2053"/>
      <c r="BV142" s="2053"/>
      <c r="BW142" s="2053"/>
      <c r="BX142" s="2053"/>
      <c r="BY142" s="2053"/>
      <c r="BZ142" s="2053"/>
      <c r="CA142" s="2053"/>
      <c r="CB142" s="2053"/>
      <c r="CC142" s="2053"/>
      <c r="CD142" s="2053"/>
      <c r="CE142" s="2053"/>
      <c r="CF142" s="2053"/>
      <c r="CG142" s="2053"/>
      <c r="CH142" s="2053"/>
      <c r="CI142" s="2053"/>
      <c r="CJ142" s="2053"/>
      <c r="CK142" s="2053"/>
      <c r="CL142" s="2053"/>
      <c r="CM142" s="2053"/>
      <c r="CN142" s="2053"/>
      <c r="CO142" s="2053"/>
      <c r="CP142" s="2053"/>
      <c r="CQ142" s="2053"/>
      <c r="CR142" s="2053"/>
      <c r="CS142" s="2053"/>
      <c r="CT142" s="2053"/>
      <c r="CU142" s="2053"/>
      <c r="CV142" s="2053"/>
      <c r="CW142" s="2053"/>
      <c r="CX142" s="2053"/>
      <c r="CY142" s="2053"/>
      <c r="CZ142" s="2053"/>
      <c r="DA142" s="2053"/>
      <c r="DB142" s="2053"/>
      <c r="DC142" s="2053"/>
      <c r="DD142" s="2054"/>
      <c r="DE142" s="2027"/>
      <c r="DF142" s="2028"/>
      <c r="DG142" s="2028"/>
      <c r="DH142" s="2028"/>
      <c r="DI142" s="2028"/>
      <c r="DJ142" s="2028"/>
      <c r="DK142" s="2028"/>
      <c r="DL142" s="20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row>
    <row r="143" spans="1:165" ht="22.5" customHeight="1">
      <c r="B143" s="1946"/>
      <c r="C143" s="1947"/>
      <c r="D143" s="1947"/>
      <c r="E143" s="1947"/>
      <c r="F143" s="1947"/>
      <c r="G143" s="1947"/>
      <c r="H143" s="1947"/>
      <c r="I143" s="1947"/>
      <c r="J143" s="1947"/>
      <c r="K143" s="1947"/>
      <c r="L143" s="1947"/>
      <c r="M143" s="1947"/>
      <c r="N143" s="1947"/>
      <c r="O143" s="1947"/>
      <c r="P143" s="2055"/>
      <c r="Q143" s="2056"/>
      <c r="R143" s="2056"/>
      <c r="S143" s="2056"/>
      <c r="T143" s="2056"/>
      <c r="U143" s="2056"/>
      <c r="V143" s="2056"/>
      <c r="W143" s="2056"/>
      <c r="X143" s="2056"/>
      <c r="Y143" s="2056"/>
      <c r="Z143" s="2056"/>
      <c r="AA143" s="2056"/>
      <c r="AB143" s="2056"/>
      <c r="AC143" s="2056"/>
      <c r="AD143" s="2056"/>
      <c r="AE143" s="2056"/>
      <c r="AF143" s="2056"/>
      <c r="AG143" s="2056"/>
      <c r="AH143" s="2056"/>
      <c r="AI143" s="2056"/>
      <c r="AJ143" s="2056"/>
      <c r="AK143" s="2056"/>
      <c r="AL143" s="2056"/>
      <c r="AM143" s="2056"/>
      <c r="AN143" s="2056"/>
      <c r="AO143" s="2056"/>
      <c r="AP143" s="2056"/>
      <c r="AQ143" s="2056"/>
      <c r="AR143" s="2056"/>
      <c r="AS143" s="2056"/>
      <c r="AT143" s="2056"/>
      <c r="AU143" s="2056"/>
      <c r="AV143" s="2056"/>
      <c r="AW143" s="2056"/>
      <c r="AX143" s="2056"/>
      <c r="AY143" s="2056"/>
      <c r="AZ143" s="2056"/>
      <c r="BA143" s="2056"/>
      <c r="BB143" s="2056"/>
      <c r="BC143" s="2056"/>
      <c r="BD143" s="2056"/>
      <c r="BE143" s="2056"/>
      <c r="BF143" s="2056"/>
      <c r="BG143" s="2056"/>
      <c r="BH143" s="2056"/>
      <c r="BI143" s="2056"/>
      <c r="BJ143" s="2056"/>
      <c r="BK143" s="2056"/>
      <c r="BL143" s="2056"/>
      <c r="BM143" s="2056"/>
      <c r="BN143" s="2056"/>
      <c r="BO143" s="2056"/>
      <c r="BP143" s="2056"/>
      <c r="BQ143" s="2056"/>
      <c r="BR143" s="2056"/>
      <c r="BS143" s="2056"/>
      <c r="BT143" s="2056"/>
      <c r="BU143" s="2056"/>
      <c r="BV143" s="2056"/>
      <c r="BW143" s="2056"/>
      <c r="BX143" s="2056"/>
      <c r="BY143" s="2056"/>
      <c r="BZ143" s="2056"/>
      <c r="CA143" s="2056"/>
      <c r="CB143" s="2056"/>
      <c r="CC143" s="2056"/>
      <c r="CD143" s="2056"/>
      <c r="CE143" s="2056"/>
      <c r="CF143" s="2056"/>
      <c r="CG143" s="2056"/>
      <c r="CH143" s="2056"/>
      <c r="CI143" s="2056"/>
      <c r="CJ143" s="2056"/>
      <c r="CK143" s="2056"/>
      <c r="CL143" s="2056"/>
      <c r="CM143" s="2056"/>
      <c r="CN143" s="2056"/>
      <c r="CO143" s="2056"/>
      <c r="CP143" s="2056"/>
      <c r="CQ143" s="2056"/>
      <c r="CR143" s="2056"/>
      <c r="CS143" s="2056"/>
      <c r="CT143" s="2056"/>
      <c r="CU143" s="2056"/>
      <c r="CV143" s="2056"/>
      <c r="CW143" s="2056"/>
      <c r="CX143" s="2056"/>
      <c r="CY143" s="2056"/>
      <c r="CZ143" s="2056"/>
      <c r="DA143" s="2056"/>
      <c r="DB143" s="2056"/>
      <c r="DC143" s="2056"/>
      <c r="DD143" s="2057"/>
      <c r="DE143" s="2030"/>
      <c r="DF143" s="2031"/>
      <c r="DG143" s="2031"/>
      <c r="DH143" s="2031"/>
      <c r="DI143" s="2031"/>
      <c r="DJ143" s="2031"/>
      <c r="DK143" s="2031"/>
      <c r="DL143" s="2032"/>
      <c r="DN143"/>
      <c r="DO143"/>
      <c r="DP143"/>
      <c r="DQ143"/>
      <c r="DR143"/>
      <c r="DS143"/>
      <c r="DT143"/>
      <c r="DU143"/>
      <c r="DV143"/>
      <c r="DW143"/>
      <c r="DX143"/>
      <c r="DY143"/>
      <c r="DZ143"/>
      <c r="EA143"/>
      <c r="EB143"/>
      <c r="EC143"/>
      <c r="ED143"/>
      <c r="EE143"/>
      <c r="EF143"/>
      <c r="EG143"/>
      <c r="EH143" s="656"/>
      <c r="EI143"/>
      <c r="EJ143"/>
      <c r="EK143"/>
      <c r="EL143"/>
      <c r="EM143"/>
      <c r="EN143"/>
      <c r="EO143"/>
      <c r="EP143"/>
      <c r="EQ143"/>
      <c r="ER143"/>
      <c r="ES143"/>
      <c r="ET143"/>
      <c r="EU143"/>
      <c r="EV143"/>
      <c r="EW143"/>
      <c r="EX143"/>
      <c r="EY143"/>
      <c r="EZ143"/>
      <c r="FA143"/>
      <c r="FB143"/>
      <c r="FC143"/>
      <c r="FD143"/>
      <c r="FE143"/>
      <c r="FF143"/>
      <c r="FG143"/>
      <c r="FH143"/>
      <c r="FI143"/>
    </row>
    <row r="144" spans="1:165" ht="22.5" customHeight="1">
      <c r="B144" s="1946"/>
      <c r="C144" s="1947"/>
      <c r="D144" s="1947"/>
      <c r="E144" s="1947"/>
      <c r="F144" s="1947"/>
      <c r="G144" s="1947"/>
      <c r="H144" s="1947"/>
      <c r="I144" s="1947"/>
      <c r="J144" s="1947"/>
      <c r="K144" s="1947"/>
      <c r="L144" s="1947"/>
      <c r="M144" s="1947"/>
      <c r="N144" s="1947"/>
      <c r="O144" s="1947"/>
      <c r="P144" s="2055"/>
      <c r="Q144" s="2056"/>
      <c r="R144" s="2056"/>
      <c r="S144" s="2056"/>
      <c r="T144" s="2056"/>
      <c r="U144" s="2056"/>
      <c r="V144" s="2056"/>
      <c r="W144" s="2056"/>
      <c r="X144" s="2056"/>
      <c r="Y144" s="2056"/>
      <c r="Z144" s="2056"/>
      <c r="AA144" s="2056"/>
      <c r="AB144" s="2056"/>
      <c r="AC144" s="2056"/>
      <c r="AD144" s="2056"/>
      <c r="AE144" s="2056"/>
      <c r="AF144" s="2056"/>
      <c r="AG144" s="2056"/>
      <c r="AH144" s="2056"/>
      <c r="AI144" s="2056"/>
      <c r="AJ144" s="2056"/>
      <c r="AK144" s="2056"/>
      <c r="AL144" s="2056"/>
      <c r="AM144" s="2056"/>
      <c r="AN144" s="2056"/>
      <c r="AO144" s="2056"/>
      <c r="AP144" s="2056"/>
      <c r="AQ144" s="2056"/>
      <c r="AR144" s="2056"/>
      <c r="AS144" s="2056"/>
      <c r="AT144" s="2056"/>
      <c r="AU144" s="2056"/>
      <c r="AV144" s="2056"/>
      <c r="AW144" s="2056"/>
      <c r="AX144" s="2056"/>
      <c r="AY144" s="2056"/>
      <c r="AZ144" s="2056"/>
      <c r="BA144" s="2056"/>
      <c r="BB144" s="2056"/>
      <c r="BC144" s="2056"/>
      <c r="BD144" s="2056"/>
      <c r="BE144" s="2056"/>
      <c r="BF144" s="2056"/>
      <c r="BG144" s="2056"/>
      <c r="BH144" s="2056"/>
      <c r="BI144" s="2056"/>
      <c r="BJ144" s="2056"/>
      <c r="BK144" s="2056"/>
      <c r="BL144" s="2056"/>
      <c r="BM144" s="2056"/>
      <c r="BN144" s="2056"/>
      <c r="BO144" s="2056"/>
      <c r="BP144" s="2056"/>
      <c r="BQ144" s="2056"/>
      <c r="BR144" s="2056"/>
      <c r="BS144" s="2056"/>
      <c r="BT144" s="2056"/>
      <c r="BU144" s="2056"/>
      <c r="BV144" s="2056"/>
      <c r="BW144" s="2056"/>
      <c r="BX144" s="2056"/>
      <c r="BY144" s="2056"/>
      <c r="BZ144" s="2056"/>
      <c r="CA144" s="2056"/>
      <c r="CB144" s="2056"/>
      <c r="CC144" s="2056"/>
      <c r="CD144" s="2056"/>
      <c r="CE144" s="2056"/>
      <c r="CF144" s="2056"/>
      <c r="CG144" s="2056"/>
      <c r="CH144" s="2056"/>
      <c r="CI144" s="2056"/>
      <c r="CJ144" s="2056"/>
      <c r="CK144" s="2056"/>
      <c r="CL144" s="2056"/>
      <c r="CM144" s="2056"/>
      <c r="CN144" s="2056"/>
      <c r="CO144" s="2056"/>
      <c r="CP144" s="2056"/>
      <c r="CQ144" s="2056"/>
      <c r="CR144" s="2056"/>
      <c r="CS144" s="2056"/>
      <c r="CT144" s="2056"/>
      <c r="CU144" s="2056"/>
      <c r="CV144" s="2056"/>
      <c r="CW144" s="2056"/>
      <c r="CX144" s="2056"/>
      <c r="CY144" s="2056"/>
      <c r="CZ144" s="2056"/>
      <c r="DA144" s="2056"/>
      <c r="DB144" s="2056"/>
      <c r="DC144" s="2056"/>
      <c r="DD144" s="2057"/>
      <c r="DE144" s="2030"/>
      <c r="DF144" s="2031"/>
      <c r="DG144" s="2031"/>
      <c r="DH144" s="2031"/>
      <c r="DI144" s="2031"/>
      <c r="DJ144" s="2031"/>
      <c r="DK144" s="2031"/>
      <c r="DL144" s="2032"/>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row>
    <row r="145" spans="1:206" ht="22.5" customHeight="1" thickBot="1">
      <c r="B145" s="1948"/>
      <c r="C145" s="1949"/>
      <c r="D145" s="1949"/>
      <c r="E145" s="1949"/>
      <c r="F145" s="1949"/>
      <c r="G145" s="1949"/>
      <c r="H145" s="1949"/>
      <c r="I145" s="1949"/>
      <c r="J145" s="1949"/>
      <c r="K145" s="1949"/>
      <c r="L145" s="1949"/>
      <c r="M145" s="1949"/>
      <c r="N145" s="1949"/>
      <c r="O145" s="1949"/>
      <c r="P145" s="2058"/>
      <c r="Q145" s="2059"/>
      <c r="R145" s="2059"/>
      <c r="S145" s="2059"/>
      <c r="T145" s="2059"/>
      <c r="U145" s="2059"/>
      <c r="V145" s="2059"/>
      <c r="W145" s="2059"/>
      <c r="X145" s="2059"/>
      <c r="Y145" s="2059"/>
      <c r="Z145" s="2059"/>
      <c r="AA145" s="2059"/>
      <c r="AB145" s="2059"/>
      <c r="AC145" s="2059"/>
      <c r="AD145" s="2059"/>
      <c r="AE145" s="2059"/>
      <c r="AF145" s="2059"/>
      <c r="AG145" s="2059"/>
      <c r="AH145" s="2059"/>
      <c r="AI145" s="2059"/>
      <c r="AJ145" s="2059"/>
      <c r="AK145" s="2059"/>
      <c r="AL145" s="2059"/>
      <c r="AM145" s="2059"/>
      <c r="AN145" s="2059"/>
      <c r="AO145" s="2059"/>
      <c r="AP145" s="2059"/>
      <c r="AQ145" s="2059"/>
      <c r="AR145" s="2059"/>
      <c r="AS145" s="2059"/>
      <c r="AT145" s="2059"/>
      <c r="AU145" s="2059"/>
      <c r="AV145" s="2059"/>
      <c r="AW145" s="2059"/>
      <c r="AX145" s="2059"/>
      <c r="AY145" s="2059"/>
      <c r="AZ145" s="2059"/>
      <c r="BA145" s="2059"/>
      <c r="BB145" s="2059"/>
      <c r="BC145" s="2059"/>
      <c r="BD145" s="2059"/>
      <c r="BE145" s="2059"/>
      <c r="BF145" s="2059"/>
      <c r="BG145" s="2059"/>
      <c r="BH145" s="2059"/>
      <c r="BI145" s="2059"/>
      <c r="BJ145" s="2059"/>
      <c r="BK145" s="2059"/>
      <c r="BL145" s="2059"/>
      <c r="BM145" s="2059"/>
      <c r="BN145" s="2059"/>
      <c r="BO145" s="2059"/>
      <c r="BP145" s="2059"/>
      <c r="BQ145" s="2059"/>
      <c r="BR145" s="2059"/>
      <c r="BS145" s="2059"/>
      <c r="BT145" s="2059"/>
      <c r="BU145" s="2059"/>
      <c r="BV145" s="2059"/>
      <c r="BW145" s="2059"/>
      <c r="BX145" s="2059"/>
      <c r="BY145" s="2059"/>
      <c r="BZ145" s="2059"/>
      <c r="CA145" s="2059"/>
      <c r="CB145" s="2059"/>
      <c r="CC145" s="2059"/>
      <c r="CD145" s="2059"/>
      <c r="CE145" s="2059"/>
      <c r="CF145" s="2059"/>
      <c r="CG145" s="2059"/>
      <c r="CH145" s="2059"/>
      <c r="CI145" s="2059"/>
      <c r="CJ145" s="2059"/>
      <c r="CK145" s="2059"/>
      <c r="CL145" s="2059"/>
      <c r="CM145" s="2059"/>
      <c r="CN145" s="2059"/>
      <c r="CO145" s="2059"/>
      <c r="CP145" s="2059"/>
      <c r="CQ145" s="2059"/>
      <c r="CR145" s="2059"/>
      <c r="CS145" s="2059"/>
      <c r="CT145" s="2059"/>
      <c r="CU145" s="2059"/>
      <c r="CV145" s="2059"/>
      <c r="CW145" s="2059"/>
      <c r="CX145" s="2059"/>
      <c r="CY145" s="2059"/>
      <c r="CZ145" s="2059"/>
      <c r="DA145" s="2059"/>
      <c r="DB145" s="2059"/>
      <c r="DC145" s="2059"/>
      <c r="DD145" s="2060"/>
      <c r="DE145" s="2033"/>
      <c r="DF145" s="2034"/>
      <c r="DG145" s="2034"/>
      <c r="DH145" s="2034"/>
      <c r="DI145" s="2034"/>
      <c r="DJ145" s="2034"/>
      <c r="DK145" s="2034"/>
      <c r="DL145" s="203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row>
    <row r="146" spans="1:206" ht="4.5" customHeight="1" thickTop="1">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row>
    <row r="147" spans="1:206" s="200" customFormat="1" ht="7.5" hidden="1" customHeight="1">
      <c r="A147" s="199"/>
      <c r="B147" s="2067" t="s">
        <v>1300</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J147" s="2068"/>
      <c r="AK147" s="2068"/>
      <c r="AL147" s="2068"/>
      <c r="AM147" s="2068"/>
      <c r="AN147" s="2068"/>
      <c r="AO147" s="2068"/>
      <c r="AP147" s="2068"/>
      <c r="AQ147" s="2068"/>
      <c r="AR147" s="2068"/>
      <c r="AS147" s="2068"/>
      <c r="AT147" s="2068"/>
      <c r="AU147" s="2068"/>
      <c r="AV147" s="2068"/>
      <c r="AW147" s="2068"/>
      <c r="AX147" s="2068"/>
      <c r="AY147" s="2068"/>
      <c r="AZ147" s="2068"/>
      <c r="BA147" s="2068"/>
      <c r="BB147" s="2068"/>
      <c r="BC147" s="2068"/>
      <c r="BD147" s="2068"/>
      <c r="BE147" s="2068"/>
      <c r="BF147" s="2068"/>
      <c r="BG147" s="2068"/>
      <c r="BH147" s="2068"/>
      <c r="BI147" s="2068"/>
      <c r="BJ147" s="2068"/>
      <c r="BK147" s="2068"/>
      <c r="BL147" s="2068"/>
      <c r="BM147" s="2068"/>
      <c r="BN147" s="2068"/>
      <c r="BO147" s="2068"/>
      <c r="BP147" s="2068"/>
      <c r="BQ147" s="2068"/>
      <c r="BR147" s="2068"/>
      <c r="BS147" s="2068"/>
      <c r="BT147" s="2068"/>
      <c r="BU147" s="2068"/>
      <c r="BV147" s="2068"/>
      <c r="BW147" s="2068"/>
      <c r="BX147" s="2068"/>
      <c r="BY147" s="2068"/>
      <c r="BZ147" s="2068"/>
      <c r="CA147" s="2068"/>
      <c r="CB147" s="2068"/>
      <c r="CC147" s="2068"/>
      <c r="CD147" s="2068"/>
      <c r="CE147" s="2068"/>
      <c r="CF147" s="2068"/>
      <c r="CG147" s="2068"/>
      <c r="CH147" s="2068"/>
      <c r="CI147" s="2068"/>
      <c r="CJ147" s="2068"/>
      <c r="CK147" s="2068"/>
      <c r="CL147" s="2068"/>
      <c r="CM147" s="2068"/>
      <c r="CN147" s="2068"/>
      <c r="CO147" s="2068"/>
      <c r="CP147" s="2068"/>
      <c r="CQ147" s="2068"/>
      <c r="CR147" s="2068"/>
      <c r="CS147" s="2068"/>
      <c r="CT147" s="2068"/>
      <c r="CU147" s="2068"/>
      <c r="CV147" s="2068"/>
      <c r="CW147" s="2068"/>
      <c r="CX147" s="2068"/>
      <c r="CY147" s="2068"/>
      <c r="CZ147" s="2068"/>
      <c r="DA147" s="2068"/>
      <c r="DB147" s="2068"/>
      <c r="DC147" s="2068"/>
      <c r="DD147" s="2068"/>
      <c r="DE147" s="2068"/>
      <c r="DF147" s="2068"/>
      <c r="DG147" s="2068"/>
      <c r="DH147" s="2068"/>
      <c r="DI147" s="2068"/>
      <c r="DJ147" s="2068"/>
      <c r="DK147" s="2068"/>
      <c r="DL147" s="2069"/>
      <c r="DM147" s="202"/>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row>
    <row r="148" spans="1:206" s="200" customFormat="1" ht="7.5" hidden="1" customHeight="1" thickBot="1">
      <c r="A148" s="199"/>
      <c r="B148" s="2070"/>
      <c r="C148" s="2071"/>
      <c r="D148" s="2071"/>
      <c r="E148" s="2071"/>
      <c r="F148" s="2071"/>
      <c r="G148" s="2071"/>
      <c r="H148" s="2071"/>
      <c r="I148" s="2071"/>
      <c r="J148" s="2071"/>
      <c r="K148" s="2071"/>
      <c r="L148" s="2071"/>
      <c r="M148" s="2071"/>
      <c r="N148" s="2071"/>
      <c r="O148" s="2071"/>
      <c r="P148" s="2071"/>
      <c r="Q148" s="2071"/>
      <c r="R148" s="2071"/>
      <c r="S148" s="2071"/>
      <c r="T148" s="2071"/>
      <c r="U148" s="2071"/>
      <c r="V148" s="2071"/>
      <c r="W148" s="2071"/>
      <c r="X148" s="2071"/>
      <c r="Y148" s="2071"/>
      <c r="Z148" s="2071"/>
      <c r="AA148" s="2071"/>
      <c r="AB148" s="2071"/>
      <c r="AC148" s="2071"/>
      <c r="AD148" s="2071"/>
      <c r="AE148" s="2071"/>
      <c r="AF148" s="2071"/>
      <c r="AG148" s="2071"/>
      <c r="AH148" s="2071"/>
      <c r="AI148" s="2071"/>
      <c r="AJ148" s="2071"/>
      <c r="AK148" s="2071"/>
      <c r="AL148" s="2071"/>
      <c r="AM148" s="2071"/>
      <c r="AN148" s="2071"/>
      <c r="AO148" s="2071"/>
      <c r="AP148" s="2071"/>
      <c r="AQ148" s="2071"/>
      <c r="AR148" s="2071"/>
      <c r="AS148" s="2071"/>
      <c r="AT148" s="2071"/>
      <c r="AU148" s="2071"/>
      <c r="AV148" s="2071"/>
      <c r="AW148" s="2071"/>
      <c r="AX148" s="2071"/>
      <c r="AY148" s="2071"/>
      <c r="AZ148" s="2071"/>
      <c r="BA148" s="2071"/>
      <c r="BB148" s="2071"/>
      <c r="BC148" s="2071"/>
      <c r="BD148" s="2071"/>
      <c r="BE148" s="2071"/>
      <c r="BF148" s="2071"/>
      <c r="BG148" s="2071"/>
      <c r="BH148" s="2071"/>
      <c r="BI148" s="2071"/>
      <c r="BJ148" s="2071"/>
      <c r="BK148" s="2071"/>
      <c r="BL148" s="2071"/>
      <c r="BM148" s="2071"/>
      <c r="BN148" s="2071"/>
      <c r="BO148" s="2071"/>
      <c r="BP148" s="2071"/>
      <c r="BQ148" s="2071"/>
      <c r="BR148" s="2071"/>
      <c r="BS148" s="2071"/>
      <c r="BT148" s="2071"/>
      <c r="BU148" s="2071"/>
      <c r="BV148" s="2071"/>
      <c r="BW148" s="2071"/>
      <c r="BX148" s="2071"/>
      <c r="BY148" s="2071"/>
      <c r="BZ148" s="2071"/>
      <c r="CA148" s="2071"/>
      <c r="CB148" s="2071"/>
      <c r="CC148" s="2071"/>
      <c r="CD148" s="2071"/>
      <c r="CE148" s="2071"/>
      <c r="CF148" s="2071"/>
      <c r="CG148" s="2071"/>
      <c r="CH148" s="2071"/>
      <c r="CI148" s="2071"/>
      <c r="CJ148" s="2071"/>
      <c r="CK148" s="2071"/>
      <c r="CL148" s="2071"/>
      <c r="CM148" s="2071"/>
      <c r="CN148" s="2071"/>
      <c r="CO148" s="2071"/>
      <c r="CP148" s="2071"/>
      <c r="CQ148" s="2071"/>
      <c r="CR148" s="2071"/>
      <c r="CS148" s="2071"/>
      <c r="CT148" s="2071"/>
      <c r="CU148" s="2071"/>
      <c r="CV148" s="2071"/>
      <c r="CW148" s="2071"/>
      <c r="CX148" s="2071"/>
      <c r="CY148" s="2071"/>
      <c r="CZ148" s="2071"/>
      <c r="DA148" s="2071"/>
      <c r="DB148" s="2071"/>
      <c r="DC148" s="2071"/>
      <c r="DD148" s="2071"/>
      <c r="DE148" s="2071"/>
      <c r="DF148" s="2071"/>
      <c r="DG148" s="2071"/>
      <c r="DH148" s="2071"/>
      <c r="DI148" s="2071"/>
      <c r="DJ148" s="2071"/>
      <c r="DK148" s="2071"/>
      <c r="DL148" s="2072"/>
      <c r="DM148" s="202"/>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row>
    <row r="149" spans="1:206" ht="7.5" hidden="1" customHeight="1" thickTop="1">
      <c r="B149" s="1237" t="s">
        <v>241</v>
      </c>
      <c r="C149" s="1238"/>
      <c r="D149" s="1238"/>
      <c r="E149" s="1238"/>
      <c r="F149" s="1238"/>
      <c r="G149" s="1238"/>
      <c r="H149" s="1238"/>
      <c r="I149" s="1239"/>
      <c r="J149" s="1299"/>
      <c r="K149" s="1300"/>
      <c r="L149" s="1300"/>
      <c r="M149" s="1300"/>
      <c r="N149" s="1300"/>
      <c r="O149" s="1300"/>
      <c r="P149" s="1300"/>
      <c r="Q149" s="1300"/>
      <c r="R149" s="1300"/>
      <c r="S149" s="1300"/>
      <c r="T149" s="1300"/>
      <c r="U149" s="1300"/>
      <c r="V149" s="1300"/>
      <c r="W149" s="1300"/>
      <c r="X149" s="1300"/>
      <c r="Y149" s="1300"/>
      <c r="Z149" s="1953"/>
      <c r="AA149" s="1305" t="s">
        <v>1102</v>
      </c>
      <c r="AB149" s="1238"/>
      <c r="AC149" s="1238"/>
      <c r="AD149" s="1238"/>
      <c r="AE149" s="1238"/>
      <c r="AF149" s="1238"/>
      <c r="AG149" s="1238"/>
      <c r="AH149" s="1239"/>
      <c r="AI149" s="2036"/>
      <c r="AJ149" s="2037"/>
      <c r="AK149" s="2037"/>
      <c r="AL149" s="2037"/>
      <c r="AM149" s="2037"/>
      <c r="AN149" s="2037"/>
      <c r="AO149" s="2037"/>
      <c r="AP149" s="2037"/>
      <c r="AQ149" s="2037"/>
      <c r="AR149" s="2037"/>
      <c r="AS149" s="2037"/>
      <c r="AT149" s="2037"/>
      <c r="AU149" s="2037"/>
      <c r="AV149" s="2037"/>
      <c r="AW149" s="2037"/>
      <c r="AX149" s="2037"/>
      <c r="AY149" s="2037"/>
      <c r="AZ149" s="2037"/>
      <c r="BA149" s="2037"/>
      <c r="BB149" s="2037"/>
      <c r="BC149" s="2037"/>
      <c r="BD149" s="2037"/>
      <c r="BE149" s="2037"/>
      <c r="BF149" s="2037"/>
      <c r="BG149" s="2038"/>
      <c r="BH149" s="1305" t="s">
        <v>242</v>
      </c>
      <c r="BI149" s="1238"/>
      <c r="BJ149" s="1238"/>
      <c r="BK149" s="1238"/>
      <c r="BL149" s="1238"/>
      <c r="BM149" s="1238"/>
      <c r="BN149" s="1238"/>
      <c r="BO149" s="1239"/>
      <c r="BP149" s="1299"/>
      <c r="BQ149" s="1300"/>
      <c r="BR149" s="1300"/>
      <c r="BS149" s="1300"/>
      <c r="BT149" s="1300"/>
      <c r="BU149" s="1300"/>
      <c r="BV149" s="1300"/>
      <c r="BW149" s="1300"/>
      <c r="BX149" s="1300"/>
      <c r="BY149" s="1300"/>
      <c r="BZ149" s="1300"/>
      <c r="CA149" s="1300"/>
      <c r="CB149" s="1300"/>
      <c r="CC149" s="1300"/>
      <c r="CD149" s="1300"/>
      <c r="CE149" s="1300"/>
      <c r="CF149" s="1305" t="s">
        <v>391</v>
      </c>
      <c r="CG149" s="1238"/>
      <c r="CH149" s="1238"/>
      <c r="CI149" s="1238"/>
      <c r="CJ149" s="1238"/>
      <c r="CK149" s="1238"/>
      <c r="CL149" s="1238"/>
      <c r="CM149" s="1239"/>
      <c r="CN149" s="2042"/>
      <c r="CO149" s="1697"/>
      <c r="CP149" s="1697"/>
      <c r="CQ149" s="1697"/>
      <c r="CR149" s="1697"/>
      <c r="CS149" s="1697"/>
      <c r="CT149" s="2018"/>
      <c r="CU149" s="2019"/>
      <c r="CV149" s="2019"/>
      <c r="CW149" s="2019"/>
      <c r="CX149" s="2019"/>
      <c r="CY149" s="2019"/>
      <c r="CZ149" s="2019"/>
      <c r="DA149" s="2019"/>
      <c r="DB149" s="2019"/>
      <c r="DC149" s="2019"/>
      <c r="DD149" s="2019"/>
      <c r="DE149" s="2019"/>
      <c r="DF149" s="2019"/>
      <c r="DG149" s="2019"/>
      <c r="DH149" s="2019"/>
      <c r="DI149" s="2019"/>
      <c r="DJ149" s="2019"/>
      <c r="DK149" s="2019"/>
      <c r="DL149" s="2020"/>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row>
    <row r="150" spans="1:206" ht="7.5" hidden="1" customHeight="1">
      <c r="B150" s="1240"/>
      <c r="C150" s="1241"/>
      <c r="D150" s="1241"/>
      <c r="E150" s="1241"/>
      <c r="F150" s="1241"/>
      <c r="G150" s="1241"/>
      <c r="H150" s="1241"/>
      <c r="I150" s="1242"/>
      <c r="J150" s="1302"/>
      <c r="K150" s="1303"/>
      <c r="L150" s="1303"/>
      <c r="M150" s="1303"/>
      <c r="N150" s="1303"/>
      <c r="O150" s="1303"/>
      <c r="P150" s="1303"/>
      <c r="Q150" s="1303"/>
      <c r="R150" s="1303"/>
      <c r="S150" s="1303"/>
      <c r="T150" s="1303"/>
      <c r="U150" s="1303"/>
      <c r="V150" s="1303"/>
      <c r="W150" s="1303"/>
      <c r="X150" s="1303"/>
      <c r="Y150" s="1303"/>
      <c r="Z150" s="1954"/>
      <c r="AA150" s="1306"/>
      <c r="AB150" s="1241"/>
      <c r="AC150" s="1241"/>
      <c r="AD150" s="1241"/>
      <c r="AE150" s="1241"/>
      <c r="AF150" s="1241"/>
      <c r="AG150" s="1241"/>
      <c r="AH150" s="1242"/>
      <c r="AI150" s="2039"/>
      <c r="AJ150" s="2040"/>
      <c r="AK150" s="2040"/>
      <c r="AL150" s="2040"/>
      <c r="AM150" s="2040"/>
      <c r="AN150" s="2040"/>
      <c r="AO150" s="2040"/>
      <c r="AP150" s="2040"/>
      <c r="AQ150" s="2040"/>
      <c r="AR150" s="2040"/>
      <c r="AS150" s="2040"/>
      <c r="AT150" s="2040"/>
      <c r="AU150" s="2040"/>
      <c r="AV150" s="2040"/>
      <c r="AW150" s="2040"/>
      <c r="AX150" s="2040"/>
      <c r="AY150" s="2040"/>
      <c r="AZ150" s="2040"/>
      <c r="BA150" s="2040"/>
      <c r="BB150" s="2040"/>
      <c r="BC150" s="2040"/>
      <c r="BD150" s="2040"/>
      <c r="BE150" s="2040"/>
      <c r="BF150" s="2040"/>
      <c r="BG150" s="2041"/>
      <c r="BH150" s="1306"/>
      <c r="BI150" s="1241"/>
      <c r="BJ150" s="1241"/>
      <c r="BK150" s="1241"/>
      <c r="BL150" s="1241"/>
      <c r="BM150" s="1241"/>
      <c r="BN150" s="1241"/>
      <c r="BO150" s="1242"/>
      <c r="BP150" s="1302"/>
      <c r="BQ150" s="1303"/>
      <c r="BR150" s="1303"/>
      <c r="BS150" s="1303"/>
      <c r="BT150" s="1303"/>
      <c r="BU150" s="1303"/>
      <c r="BV150" s="1303"/>
      <c r="BW150" s="1303"/>
      <c r="BX150" s="1303"/>
      <c r="BY150" s="1303"/>
      <c r="BZ150" s="1303"/>
      <c r="CA150" s="1303"/>
      <c r="CB150" s="1303"/>
      <c r="CC150" s="1303"/>
      <c r="CD150" s="1303"/>
      <c r="CE150" s="1303"/>
      <c r="CF150" s="1306"/>
      <c r="CG150" s="1241"/>
      <c r="CH150" s="1241"/>
      <c r="CI150" s="1241"/>
      <c r="CJ150" s="1241"/>
      <c r="CK150" s="1241"/>
      <c r="CL150" s="1241"/>
      <c r="CM150" s="1242"/>
      <c r="CN150" s="2043"/>
      <c r="CO150" s="1577"/>
      <c r="CP150" s="1577"/>
      <c r="CQ150" s="1577"/>
      <c r="CR150" s="1577"/>
      <c r="CS150" s="1577"/>
      <c r="CT150" s="2021"/>
      <c r="CU150" s="2022"/>
      <c r="CV150" s="2022"/>
      <c r="CW150" s="2022"/>
      <c r="CX150" s="2022"/>
      <c r="CY150" s="2022"/>
      <c r="CZ150" s="2022"/>
      <c r="DA150" s="2022"/>
      <c r="DB150" s="2022"/>
      <c r="DC150" s="2022"/>
      <c r="DD150" s="2022"/>
      <c r="DE150" s="2022"/>
      <c r="DF150" s="2022"/>
      <c r="DG150" s="2022"/>
      <c r="DH150" s="2022"/>
      <c r="DI150" s="2022"/>
      <c r="DJ150" s="2022"/>
      <c r="DK150" s="2022"/>
      <c r="DL150" s="2023"/>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row>
    <row r="151" spans="1:206" ht="7.5" hidden="1" customHeight="1">
      <c r="B151" s="1240"/>
      <c r="C151" s="1241"/>
      <c r="D151" s="1241"/>
      <c r="E151" s="1241"/>
      <c r="F151" s="1241"/>
      <c r="G151" s="1241"/>
      <c r="H151" s="1241"/>
      <c r="I151" s="1242"/>
      <c r="J151" s="1302"/>
      <c r="K151" s="1303"/>
      <c r="L151" s="1303"/>
      <c r="M151" s="1303"/>
      <c r="N151" s="1303"/>
      <c r="O151" s="1303"/>
      <c r="P151" s="1303"/>
      <c r="Q151" s="1303"/>
      <c r="R151" s="1410"/>
      <c r="S151" s="1410"/>
      <c r="T151" s="1410"/>
      <c r="U151" s="1410"/>
      <c r="V151" s="1410"/>
      <c r="W151" s="1410"/>
      <c r="X151" s="1410"/>
      <c r="Y151" s="1410"/>
      <c r="Z151" s="1954"/>
      <c r="AA151" s="1306"/>
      <c r="AB151" s="1241"/>
      <c r="AC151" s="1241"/>
      <c r="AD151" s="1241"/>
      <c r="AE151" s="1241"/>
      <c r="AF151" s="1241"/>
      <c r="AG151" s="1241"/>
      <c r="AH151" s="1242"/>
      <c r="AI151" s="2039"/>
      <c r="AJ151" s="2040"/>
      <c r="AK151" s="2040"/>
      <c r="AL151" s="2040"/>
      <c r="AM151" s="2040"/>
      <c r="AN151" s="2040"/>
      <c r="AO151" s="2040"/>
      <c r="AP151" s="2040"/>
      <c r="AQ151" s="2040"/>
      <c r="AR151" s="2040"/>
      <c r="AS151" s="2040"/>
      <c r="AT151" s="2040"/>
      <c r="AU151" s="2040"/>
      <c r="AV151" s="2040"/>
      <c r="AW151" s="2040"/>
      <c r="AX151" s="2040"/>
      <c r="AY151" s="2040"/>
      <c r="AZ151" s="2040"/>
      <c r="BA151" s="2040"/>
      <c r="BB151" s="2040"/>
      <c r="BC151" s="2040"/>
      <c r="BD151" s="2040"/>
      <c r="BE151" s="2040"/>
      <c r="BF151" s="2040"/>
      <c r="BG151" s="2041"/>
      <c r="BH151" s="1306"/>
      <c r="BI151" s="1241"/>
      <c r="BJ151" s="1241"/>
      <c r="BK151" s="1241"/>
      <c r="BL151" s="1241"/>
      <c r="BM151" s="1241"/>
      <c r="BN151" s="1241"/>
      <c r="BO151" s="1242"/>
      <c r="BP151" s="1302"/>
      <c r="BQ151" s="1303"/>
      <c r="BR151" s="1303"/>
      <c r="BS151" s="1303"/>
      <c r="BT151" s="1303"/>
      <c r="BU151" s="1303"/>
      <c r="BV151" s="1303"/>
      <c r="BW151" s="1303"/>
      <c r="BX151" s="1303"/>
      <c r="BY151" s="1303"/>
      <c r="BZ151" s="1303"/>
      <c r="CA151" s="1303"/>
      <c r="CB151" s="1303"/>
      <c r="CC151" s="1303"/>
      <c r="CD151" s="1303"/>
      <c r="CE151" s="1303"/>
      <c r="CF151" s="1306"/>
      <c r="CG151" s="1241"/>
      <c r="CH151" s="1241"/>
      <c r="CI151" s="1241"/>
      <c r="CJ151" s="1241"/>
      <c r="CK151" s="1241"/>
      <c r="CL151" s="1241"/>
      <c r="CM151" s="1242"/>
      <c r="CN151" s="2044"/>
      <c r="CO151" s="1698"/>
      <c r="CP151" s="1698"/>
      <c r="CQ151" s="1698"/>
      <c r="CR151" s="1698"/>
      <c r="CS151" s="1698"/>
      <c r="CT151" s="2024"/>
      <c r="CU151" s="2025"/>
      <c r="CV151" s="2025"/>
      <c r="CW151" s="2025"/>
      <c r="CX151" s="2025"/>
      <c r="CY151" s="2025"/>
      <c r="CZ151" s="2025"/>
      <c r="DA151" s="2025"/>
      <c r="DB151" s="2025"/>
      <c r="DC151" s="2025"/>
      <c r="DD151" s="2025"/>
      <c r="DE151" s="2025"/>
      <c r="DF151" s="2025"/>
      <c r="DG151" s="2025"/>
      <c r="DH151" s="2025"/>
      <c r="DI151" s="2025"/>
      <c r="DJ151" s="2025"/>
      <c r="DK151" s="2025"/>
      <c r="DL151" s="2026"/>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row>
    <row r="152" spans="1:206" ht="7.5" hidden="1" customHeight="1">
      <c r="B152" s="1274" t="s">
        <v>246</v>
      </c>
      <c r="C152" s="1275"/>
      <c r="D152" s="1275"/>
      <c r="E152" s="1275"/>
      <c r="F152" s="1275"/>
      <c r="G152" s="1275"/>
      <c r="H152" s="1275"/>
      <c r="I152" s="1276"/>
      <c r="J152" s="2082"/>
      <c r="K152" s="2082"/>
      <c r="L152" s="2082"/>
      <c r="M152" s="2082"/>
      <c r="N152" s="2082"/>
      <c r="O152" s="2082"/>
      <c r="P152" s="2082"/>
      <c r="Q152" s="2082"/>
      <c r="R152" s="1306" t="s">
        <v>392</v>
      </c>
      <c r="S152" s="1241"/>
      <c r="T152" s="1241"/>
      <c r="U152" s="1241"/>
      <c r="V152" s="1241"/>
      <c r="W152" s="1241"/>
      <c r="X152" s="1241"/>
      <c r="Y152" s="1242"/>
      <c r="Z152" s="2083"/>
      <c r="AA152" s="2083"/>
      <c r="AB152" s="2083"/>
      <c r="AC152" s="2083"/>
      <c r="AD152" s="2083"/>
      <c r="AE152" s="2083"/>
      <c r="AF152" s="2083"/>
      <c r="AG152" s="2083"/>
      <c r="AH152" s="2083"/>
      <c r="AI152" s="2083"/>
      <c r="AJ152" s="2083"/>
      <c r="AK152" s="2083"/>
      <c r="AL152" s="2083"/>
      <c r="AM152" s="2083"/>
      <c r="AN152" s="2083"/>
      <c r="AO152" s="2083"/>
      <c r="AP152" s="2083"/>
      <c r="AQ152" s="2083"/>
      <c r="AR152" s="2083"/>
      <c r="AS152" s="2083"/>
      <c r="AT152" s="2083"/>
      <c r="AU152" s="2083"/>
      <c r="AV152" s="2083"/>
      <c r="AW152" s="2083"/>
      <c r="AX152" s="2083"/>
      <c r="AY152" s="1976" t="s">
        <v>1103</v>
      </c>
      <c r="AZ152" s="1977"/>
      <c r="BA152" s="1977"/>
      <c r="BB152" s="1977"/>
      <c r="BC152" s="1977"/>
      <c r="BD152" s="1977"/>
      <c r="BE152" s="1977"/>
      <c r="BF152" s="1978"/>
      <c r="BG152" s="1984"/>
      <c r="BH152" s="1985"/>
      <c r="BI152" s="1985"/>
      <c r="BJ152" s="1986"/>
      <c r="BK152" s="1306" t="s">
        <v>393</v>
      </c>
      <c r="BL152" s="1241"/>
      <c r="BM152" s="1241"/>
      <c r="BN152" s="1241"/>
      <c r="BO152" s="1241"/>
      <c r="BP152" s="1241"/>
      <c r="BQ152" s="1242"/>
      <c r="BR152" s="1338">
        <v>20</v>
      </c>
      <c r="BS152" s="1338"/>
      <c r="BT152" s="1338"/>
      <c r="BU152" s="1338"/>
      <c r="BV152" s="2074"/>
      <c r="BW152" s="2074"/>
      <c r="BX152" s="2074"/>
      <c r="BY152" s="2074"/>
      <c r="BZ152" s="1342" t="s">
        <v>0</v>
      </c>
      <c r="CA152" s="1342"/>
      <c r="CB152" s="1342"/>
      <c r="CC152" s="2074"/>
      <c r="CD152" s="2074"/>
      <c r="CE152" s="2074"/>
      <c r="CF152" s="2074"/>
      <c r="CG152" s="1342" t="s">
        <v>1</v>
      </c>
      <c r="CH152" s="1342"/>
      <c r="CI152" s="1342"/>
      <c r="CJ152" s="1338">
        <v>1</v>
      </c>
      <c r="CK152" s="1338"/>
      <c r="CL152" s="1338"/>
      <c r="CM152" s="1348" t="s">
        <v>394</v>
      </c>
      <c r="CN152" s="1348"/>
      <c r="CO152" s="1348"/>
      <c r="CP152" s="1348"/>
      <c r="CQ152" s="2100" t="s">
        <v>400</v>
      </c>
      <c r="CR152" s="2101"/>
      <c r="CS152" s="2101"/>
      <c r="CT152" s="2101"/>
      <c r="CU152" s="2101"/>
      <c r="CV152" s="2101"/>
      <c r="CW152" s="2101"/>
      <c r="CX152" s="2101"/>
      <c r="CY152" s="2101"/>
      <c r="CZ152" s="2101"/>
      <c r="DA152" s="2101"/>
      <c r="DB152" s="2101"/>
      <c r="DC152" s="2101"/>
      <c r="DD152" s="2101"/>
      <c r="DE152" s="2101"/>
      <c r="DF152" s="2101"/>
      <c r="DG152" s="2101"/>
      <c r="DH152" s="2101"/>
      <c r="DI152" s="2101"/>
      <c r="DJ152" s="2101"/>
      <c r="DK152" s="2101"/>
      <c r="DL152" s="2102"/>
      <c r="DM152" s="694"/>
      <c r="DN152" s="110"/>
      <c r="DO152" s="110"/>
      <c r="DP152" s="110"/>
      <c r="DQ152" s="110"/>
      <c r="DR152" s="110"/>
      <c r="DS152" s="110"/>
      <c r="DT152" s="110"/>
      <c r="DU152" s="110"/>
      <c r="DV152" s="110"/>
      <c r="DW152" s="110"/>
      <c r="GA152" s="210"/>
      <c r="GB152" s="210"/>
      <c r="GC152" s="210"/>
      <c r="GD152" s="210"/>
      <c r="GE152" s="210"/>
      <c r="GF152" s="210"/>
      <c r="GG152" s="210"/>
      <c r="GH152" s="210"/>
      <c r="GI152" s="211"/>
      <c r="GJ152" s="211"/>
      <c r="GK152" s="211"/>
      <c r="GL152" s="211"/>
      <c r="GM152" s="211"/>
      <c r="GN152" s="211"/>
      <c r="GO152" s="211"/>
      <c r="GP152" s="211"/>
      <c r="GQ152" s="210"/>
      <c r="GR152" s="210"/>
      <c r="GS152" s="210"/>
      <c r="GT152" s="210"/>
      <c r="GU152" s="210"/>
      <c r="GV152" s="210"/>
      <c r="GW152" s="210"/>
      <c r="GX152" s="210"/>
    </row>
    <row r="153" spans="1:206" ht="7.5" hidden="1" customHeight="1">
      <c r="B153" s="1476"/>
      <c r="C153" s="774"/>
      <c r="D153" s="774"/>
      <c r="E153" s="774"/>
      <c r="F153" s="774"/>
      <c r="G153" s="774"/>
      <c r="H153" s="774"/>
      <c r="I153" s="1750"/>
      <c r="J153" s="2082"/>
      <c r="K153" s="2082"/>
      <c r="L153" s="2082"/>
      <c r="M153" s="2082"/>
      <c r="N153" s="2082"/>
      <c r="O153" s="2082"/>
      <c r="P153" s="2082"/>
      <c r="Q153" s="2082"/>
      <c r="R153" s="1306"/>
      <c r="S153" s="1241"/>
      <c r="T153" s="1241"/>
      <c r="U153" s="1241"/>
      <c r="V153" s="1241"/>
      <c r="W153" s="1241"/>
      <c r="X153" s="1241"/>
      <c r="Y153" s="1242"/>
      <c r="Z153" s="2083"/>
      <c r="AA153" s="2083"/>
      <c r="AB153" s="2083"/>
      <c r="AC153" s="2083"/>
      <c r="AD153" s="2083"/>
      <c r="AE153" s="2083"/>
      <c r="AF153" s="2083"/>
      <c r="AG153" s="2083"/>
      <c r="AH153" s="2083"/>
      <c r="AI153" s="2083"/>
      <c r="AJ153" s="2083"/>
      <c r="AK153" s="2083"/>
      <c r="AL153" s="2083"/>
      <c r="AM153" s="2083"/>
      <c r="AN153" s="2083"/>
      <c r="AO153" s="2083"/>
      <c r="AP153" s="2083"/>
      <c r="AQ153" s="2083"/>
      <c r="AR153" s="2083"/>
      <c r="AS153" s="2083"/>
      <c r="AT153" s="2083"/>
      <c r="AU153" s="2083"/>
      <c r="AV153" s="2083"/>
      <c r="AW153" s="2083"/>
      <c r="AX153" s="2083"/>
      <c r="AY153" s="1979"/>
      <c r="AZ153" s="1906"/>
      <c r="BA153" s="1906"/>
      <c r="BB153" s="1906"/>
      <c r="BC153" s="1906"/>
      <c r="BD153" s="1906"/>
      <c r="BE153" s="1906"/>
      <c r="BF153" s="1980"/>
      <c r="BG153" s="1987"/>
      <c r="BH153" s="1988"/>
      <c r="BI153" s="1988"/>
      <c r="BJ153" s="1989"/>
      <c r="BK153" s="1306"/>
      <c r="BL153" s="1241"/>
      <c r="BM153" s="1241"/>
      <c r="BN153" s="1241"/>
      <c r="BO153" s="1241"/>
      <c r="BP153" s="1241"/>
      <c r="BQ153" s="1242"/>
      <c r="BR153" s="1338"/>
      <c r="BS153" s="1338"/>
      <c r="BT153" s="1338"/>
      <c r="BU153" s="1338"/>
      <c r="BV153" s="2074"/>
      <c r="BW153" s="2074"/>
      <c r="BX153" s="2074"/>
      <c r="BY153" s="2074"/>
      <c r="BZ153" s="1342"/>
      <c r="CA153" s="1342"/>
      <c r="CB153" s="1342"/>
      <c r="CC153" s="2074"/>
      <c r="CD153" s="2074"/>
      <c r="CE153" s="2074"/>
      <c r="CF153" s="2074"/>
      <c r="CG153" s="1342"/>
      <c r="CH153" s="1342"/>
      <c r="CI153" s="1342"/>
      <c r="CJ153" s="1338"/>
      <c r="CK153" s="1338"/>
      <c r="CL153" s="1338"/>
      <c r="CM153" s="1348"/>
      <c r="CN153" s="1348"/>
      <c r="CO153" s="1348"/>
      <c r="CP153" s="1348"/>
      <c r="CQ153" s="2103"/>
      <c r="CR153" s="2104"/>
      <c r="CS153" s="2104"/>
      <c r="CT153" s="2104"/>
      <c r="CU153" s="2104"/>
      <c r="CV153" s="2104"/>
      <c r="CW153" s="2104"/>
      <c r="CX153" s="2104"/>
      <c r="CY153" s="2104"/>
      <c r="CZ153" s="2104"/>
      <c r="DA153" s="2104"/>
      <c r="DB153" s="2104"/>
      <c r="DC153" s="2104"/>
      <c r="DD153" s="2104"/>
      <c r="DE153" s="2104"/>
      <c r="DF153" s="2104"/>
      <c r="DG153" s="2104"/>
      <c r="DH153" s="2104"/>
      <c r="DI153" s="2104"/>
      <c r="DJ153" s="2104"/>
      <c r="DK153" s="2104"/>
      <c r="DL153" s="2105"/>
      <c r="DM153" s="694"/>
      <c r="GA153" s="210"/>
      <c r="GB153" s="210"/>
      <c r="GC153" s="210"/>
      <c r="GD153" s="210"/>
      <c r="GE153" s="210"/>
      <c r="GF153" s="210"/>
      <c r="GG153" s="210"/>
      <c r="GH153" s="210"/>
      <c r="GI153" s="211"/>
      <c r="GJ153" s="211"/>
      <c r="GK153" s="211"/>
      <c r="GL153" s="211"/>
      <c r="GM153" s="211"/>
      <c r="GN153" s="211"/>
      <c r="GO153" s="211"/>
      <c r="GP153" s="211"/>
      <c r="GQ153" s="210"/>
      <c r="GR153" s="210"/>
      <c r="GS153" s="210"/>
      <c r="GT153" s="210"/>
      <c r="GU153" s="210"/>
      <c r="GV153" s="210"/>
      <c r="GW153" s="210"/>
      <c r="GX153" s="210"/>
    </row>
    <row r="154" spans="1:206" ht="7.5" hidden="1" customHeight="1">
      <c r="B154" s="1476"/>
      <c r="C154" s="774"/>
      <c r="D154" s="774"/>
      <c r="E154" s="774"/>
      <c r="F154" s="774"/>
      <c r="G154" s="774"/>
      <c r="H154" s="774"/>
      <c r="I154" s="1750"/>
      <c r="J154" s="1425"/>
      <c r="K154" s="1425"/>
      <c r="L154" s="1425"/>
      <c r="M154" s="1425"/>
      <c r="N154" s="1425"/>
      <c r="O154" s="1425"/>
      <c r="P154" s="1425"/>
      <c r="Q154" s="1425"/>
      <c r="R154" s="1306"/>
      <c r="S154" s="1241"/>
      <c r="T154" s="1241"/>
      <c r="U154" s="1241"/>
      <c r="V154" s="1241"/>
      <c r="W154" s="1241"/>
      <c r="X154" s="1241"/>
      <c r="Y154" s="1242"/>
      <c r="Z154" s="2084"/>
      <c r="AA154" s="2084"/>
      <c r="AB154" s="2084"/>
      <c r="AC154" s="2084"/>
      <c r="AD154" s="2084"/>
      <c r="AE154" s="2084"/>
      <c r="AF154" s="2084"/>
      <c r="AG154" s="2084"/>
      <c r="AH154" s="2084"/>
      <c r="AI154" s="2084"/>
      <c r="AJ154" s="2084"/>
      <c r="AK154" s="2084"/>
      <c r="AL154" s="2084"/>
      <c r="AM154" s="2084"/>
      <c r="AN154" s="2084"/>
      <c r="AO154" s="2084"/>
      <c r="AP154" s="2084"/>
      <c r="AQ154" s="2084"/>
      <c r="AR154" s="2084"/>
      <c r="AS154" s="2084"/>
      <c r="AT154" s="2084"/>
      <c r="AU154" s="2084"/>
      <c r="AV154" s="2084"/>
      <c r="AW154" s="2084"/>
      <c r="AX154" s="2084"/>
      <c r="AY154" s="1981"/>
      <c r="AZ154" s="1982"/>
      <c r="BA154" s="1982"/>
      <c r="BB154" s="1982"/>
      <c r="BC154" s="1982"/>
      <c r="BD154" s="1982"/>
      <c r="BE154" s="1982"/>
      <c r="BF154" s="1983"/>
      <c r="BG154" s="1990"/>
      <c r="BH154" s="1991"/>
      <c r="BI154" s="1991"/>
      <c r="BJ154" s="1992"/>
      <c r="BK154" s="1362"/>
      <c r="BL154" s="1275"/>
      <c r="BM154" s="1275"/>
      <c r="BN154" s="1275"/>
      <c r="BO154" s="1275"/>
      <c r="BP154" s="1275"/>
      <c r="BQ154" s="1276"/>
      <c r="BR154" s="1811"/>
      <c r="BS154" s="1811"/>
      <c r="BT154" s="1811"/>
      <c r="BU154" s="1811"/>
      <c r="BV154" s="2075"/>
      <c r="BW154" s="2075"/>
      <c r="BX154" s="2075"/>
      <c r="BY154" s="2075"/>
      <c r="BZ154" s="1712"/>
      <c r="CA154" s="1712"/>
      <c r="CB154" s="1712"/>
      <c r="CC154" s="2075"/>
      <c r="CD154" s="2075"/>
      <c r="CE154" s="2075"/>
      <c r="CF154" s="2075"/>
      <c r="CG154" s="1712"/>
      <c r="CH154" s="1712"/>
      <c r="CI154" s="1712"/>
      <c r="CJ154" s="1811"/>
      <c r="CK154" s="1811"/>
      <c r="CL154" s="1811"/>
      <c r="CM154" s="1777"/>
      <c r="CN154" s="1777"/>
      <c r="CO154" s="1777"/>
      <c r="CP154" s="1777"/>
      <c r="CQ154" s="2106"/>
      <c r="CR154" s="2107"/>
      <c r="CS154" s="2107"/>
      <c r="CT154" s="2107"/>
      <c r="CU154" s="2107"/>
      <c r="CV154" s="2107"/>
      <c r="CW154" s="2107"/>
      <c r="CX154" s="2107"/>
      <c r="CY154" s="2107"/>
      <c r="CZ154" s="2107"/>
      <c r="DA154" s="2107"/>
      <c r="DB154" s="2107"/>
      <c r="DC154" s="2107"/>
      <c r="DD154" s="2107"/>
      <c r="DE154" s="2107"/>
      <c r="DF154" s="2107"/>
      <c r="DG154" s="2107"/>
      <c r="DH154" s="2107"/>
      <c r="DI154" s="2107"/>
      <c r="DJ154" s="2107"/>
      <c r="DK154" s="2107"/>
      <c r="DL154" s="2108"/>
      <c r="DM154" s="694"/>
    </row>
    <row r="155" spans="1:206" ht="7.5" hidden="1" customHeight="1">
      <c r="B155" s="1938" t="s">
        <v>401</v>
      </c>
      <c r="C155" s="1714"/>
      <c r="D155" s="1714"/>
      <c r="E155" s="1714"/>
      <c r="F155" s="1714"/>
      <c r="G155" s="1715"/>
      <c r="H155" s="1275" t="s">
        <v>410</v>
      </c>
      <c r="I155" s="1275"/>
      <c r="J155" s="1275"/>
      <c r="K155" s="1275"/>
      <c r="L155" s="1275"/>
      <c r="M155" s="1275"/>
      <c r="N155" s="1275"/>
      <c r="O155" s="1275"/>
      <c r="P155" s="1275"/>
      <c r="Q155" s="1275"/>
      <c r="R155" s="1275"/>
      <c r="S155" s="1275"/>
      <c r="T155" s="1858"/>
      <c r="U155" s="1425"/>
      <c r="V155" s="1425"/>
      <c r="W155" s="1425"/>
      <c r="X155" s="1425"/>
      <c r="Y155" s="1425"/>
      <c r="Z155" s="1425"/>
      <c r="AA155" s="1999"/>
      <c r="AB155" s="1362" t="s">
        <v>411</v>
      </c>
      <c r="AC155" s="1275"/>
      <c r="AD155" s="1275"/>
      <c r="AE155" s="1275"/>
      <c r="AF155" s="1275"/>
      <c r="AG155" s="1275"/>
      <c r="AH155" s="1275"/>
      <c r="AI155" s="1275"/>
      <c r="AJ155" s="1275"/>
      <c r="AK155" s="1275"/>
      <c r="AL155" s="1275"/>
      <c r="AM155" s="1275"/>
      <c r="AN155" s="1858"/>
      <c r="AO155" s="1425"/>
      <c r="AP155" s="1425"/>
      <c r="AQ155" s="1425"/>
      <c r="AR155" s="1425"/>
      <c r="AS155" s="1425"/>
      <c r="AT155" s="1425"/>
      <c r="AU155" s="1425"/>
      <c r="AV155" s="2094" t="s">
        <v>412</v>
      </c>
      <c r="AW155" s="2095"/>
      <c r="AX155" s="2095"/>
      <c r="AY155" s="2095"/>
      <c r="AZ155" s="2095"/>
      <c r="BA155" s="2095"/>
      <c r="BB155" s="2095"/>
      <c r="BC155" s="2095"/>
      <c r="BD155" s="2087"/>
      <c r="BE155" s="2087"/>
      <c r="BF155" s="2087"/>
      <c r="BG155" s="2087"/>
      <c r="BH155" s="2087"/>
      <c r="BI155" s="2087"/>
      <c r="BJ155" s="2087"/>
      <c r="BK155" s="2087"/>
      <c r="BL155" s="2091" t="s">
        <v>413</v>
      </c>
      <c r="BM155" s="2091"/>
      <c r="BN155" s="2091"/>
      <c r="BO155" s="511"/>
      <c r="BP155" s="512"/>
      <c r="BQ155" s="512"/>
      <c r="BR155" s="512"/>
      <c r="BS155" s="512"/>
      <c r="BT155" s="512"/>
      <c r="BU155" s="512"/>
      <c r="BV155" s="512"/>
      <c r="BW155" s="513"/>
      <c r="BX155" s="513"/>
      <c r="BY155" s="513"/>
      <c r="BZ155" s="513"/>
      <c r="CA155" s="513"/>
      <c r="CB155" s="513"/>
      <c r="CC155" s="513"/>
      <c r="CD155" s="513"/>
      <c r="CE155" s="513"/>
      <c r="CF155" s="513"/>
      <c r="CG155" s="513"/>
      <c r="CH155" s="513"/>
      <c r="CI155" s="513"/>
      <c r="CJ155" s="513"/>
      <c r="CK155" s="513"/>
      <c r="CL155" s="513"/>
      <c r="CM155" s="513"/>
      <c r="CN155" s="513"/>
      <c r="CO155" s="513"/>
      <c r="CP155" s="513"/>
      <c r="CQ155" s="513"/>
      <c r="CR155" s="513"/>
      <c r="CS155" s="513"/>
      <c r="CT155" s="513"/>
      <c r="CU155" s="513"/>
      <c r="CV155" s="513"/>
      <c r="CW155" s="513"/>
      <c r="CX155" s="513"/>
      <c r="CY155" s="513"/>
      <c r="CZ155" s="513"/>
      <c r="DA155" s="513"/>
      <c r="DB155" s="513"/>
      <c r="DC155" s="513"/>
      <c r="DD155" s="513"/>
      <c r="DE155" s="513"/>
      <c r="DF155" s="513"/>
      <c r="DG155" s="513"/>
      <c r="DH155" s="513"/>
      <c r="DI155" s="513"/>
      <c r="DJ155" s="513"/>
      <c r="DK155" s="513"/>
      <c r="DL155" s="514"/>
    </row>
    <row r="156" spans="1:206" ht="7.5" hidden="1" customHeight="1">
      <c r="B156" s="1939"/>
      <c r="C156" s="1717"/>
      <c r="D156" s="1717"/>
      <c r="E156" s="1717"/>
      <c r="F156" s="1717"/>
      <c r="G156" s="1718"/>
      <c r="H156" s="774"/>
      <c r="I156" s="774"/>
      <c r="J156" s="774"/>
      <c r="K156" s="774"/>
      <c r="L156" s="774"/>
      <c r="M156" s="774"/>
      <c r="N156" s="774"/>
      <c r="O156" s="774"/>
      <c r="P156" s="774"/>
      <c r="Q156" s="774"/>
      <c r="R156" s="774"/>
      <c r="S156" s="774"/>
      <c r="T156" s="1366"/>
      <c r="U156" s="1367"/>
      <c r="V156" s="1367"/>
      <c r="W156" s="1367"/>
      <c r="X156" s="1367"/>
      <c r="Y156" s="1367"/>
      <c r="Z156" s="1367"/>
      <c r="AA156" s="1368"/>
      <c r="AB156" s="1422"/>
      <c r="AC156" s="774"/>
      <c r="AD156" s="774"/>
      <c r="AE156" s="774"/>
      <c r="AF156" s="774"/>
      <c r="AG156" s="774"/>
      <c r="AH156" s="774"/>
      <c r="AI156" s="774"/>
      <c r="AJ156" s="774"/>
      <c r="AK156" s="774"/>
      <c r="AL156" s="774"/>
      <c r="AM156" s="774"/>
      <c r="AN156" s="1366"/>
      <c r="AO156" s="1367"/>
      <c r="AP156" s="1367"/>
      <c r="AQ156" s="1367"/>
      <c r="AR156" s="1367"/>
      <c r="AS156" s="1367"/>
      <c r="AT156" s="1367"/>
      <c r="AU156" s="1367"/>
      <c r="AV156" s="2096"/>
      <c r="AW156" s="2097"/>
      <c r="AX156" s="2097"/>
      <c r="AY156" s="2097"/>
      <c r="AZ156" s="2097"/>
      <c r="BA156" s="2097"/>
      <c r="BB156" s="2097"/>
      <c r="BC156" s="2097"/>
      <c r="BD156" s="2088"/>
      <c r="BE156" s="2088"/>
      <c r="BF156" s="2088"/>
      <c r="BG156" s="2088"/>
      <c r="BH156" s="2088"/>
      <c r="BI156" s="2088"/>
      <c r="BJ156" s="2088"/>
      <c r="BK156" s="2088"/>
      <c r="BL156" s="2092"/>
      <c r="BM156" s="2092"/>
      <c r="BN156" s="2092"/>
      <c r="BO156" s="515"/>
      <c r="BP156" s="516"/>
      <c r="BQ156" s="516"/>
      <c r="BR156" s="516"/>
      <c r="BS156" s="516"/>
      <c r="BT156" s="516"/>
      <c r="BU156" s="516"/>
      <c r="BV156" s="516"/>
      <c r="BW156" s="509"/>
      <c r="BX156" s="509"/>
      <c r="BY156" s="509"/>
      <c r="BZ156" s="509"/>
      <c r="CA156" s="509"/>
      <c r="CB156" s="509"/>
      <c r="CC156" s="509"/>
      <c r="CD156" s="509"/>
      <c r="CE156" s="509"/>
      <c r="CF156" s="509"/>
      <c r="CG156" s="509"/>
      <c r="CH156" s="509"/>
      <c r="CI156" s="509"/>
      <c r="CJ156" s="509"/>
      <c r="CK156" s="509"/>
      <c r="CL156" s="509"/>
      <c r="CM156" s="509"/>
      <c r="CN156" s="509"/>
      <c r="CO156" s="509"/>
      <c r="CP156" s="509"/>
      <c r="CQ156" s="509"/>
      <c r="CR156" s="509"/>
      <c r="CS156" s="509"/>
      <c r="CT156" s="509"/>
      <c r="CU156" s="509"/>
      <c r="CV156" s="509"/>
      <c r="CW156" s="509"/>
      <c r="CX156" s="509"/>
      <c r="CY156" s="509"/>
      <c r="CZ156" s="509"/>
      <c r="DA156" s="509"/>
      <c r="DB156" s="509"/>
      <c r="DC156" s="509"/>
      <c r="DD156" s="509"/>
      <c r="DE156" s="509"/>
      <c r="DF156" s="509"/>
      <c r="DG156" s="509"/>
      <c r="DH156" s="509"/>
      <c r="DI156" s="509"/>
      <c r="DJ156" s="509"/>
      <c r="DK156" s="509"/>
      <c r="DL156" s="510"/>
    </row>
    <row r="157" spans="1:206" ht="7.5" hidden="1" customHeight="1" thickBot="1">
      <c r="B157" s="2076"/>
      <c r="C157" s="2077"/>
      <c r="D157" s="2077"/>
      <c r="E157" s="2077"/>
      <c r="F157" s="2077"/>
      <c r="G157" s="2078"/>
      <c r="H157" s="1647"/>
      <c r="I157" s="1647"/>
      <c r="J157" s="1647"/>
      <c r="K157" s="1647"/>
      <c r="L157" s="1647"/>
      <c r="M157" s="1647"/>
      <c r="N157" s="1647"/>
      <c r="O157" s="1647"/>
      <c r="P157" s="1647"/>
      <c r="Q157" s="1647"/>
      <c r="R157" s="1647"/>
      <c r="S157" s="1647"/>
      <c r="T157" s="2080"/>
      <c r="U157" s="2081"/>
      <c r="V157" s="2081"/>
      <c r="W157" s="2081"/>
      <c r="X157" s="2081"/>
      <c r="Y157" s="2081"/>
      <c r="Z157" s="2081"/>
      <c r="AA157" s="2090"/>
      <c r="AB157" s="2079"/>
      <c r="AC157" s="1647"/>
      <c r="AD157" s="1647"/>
      <c r="AE157" s="1647"/>
      <c r="AF157" s="1647"/>
      <c r="AG157" s="1647"/>
      <c r="AH157" s="1647"/>
      <c r="AI157" s="1647"/>
      <c r="AJ157" s="1647"/>
      <c r="AK157" s="1647"/>
      <c r="AL157" s="1647"/>
      <c r="AM157" s="1647"/>
      <c r="AN157" s="2080"/>
      <c r="AO157" s="2081"/>
      <c r="AP157" s="2081"/>
      <c r="AQ157" s="2081"/>
      <c r="AR157" s="2081"/>
      <c r="AS157" s="2081"/>
      <c r="AT157" s="2081"/>
      <c r="AU157" s="2081"/>
      <c r="AV157" s="2098"/>
      <c r="AW157" s="2099"/>
      <c r="AX157" s="2099"/>
      <c r="AY157" s="2099"/>
      <c r="AZ157" s="2099"/>
      <c r="BA157" s="2099"/>
      <c r="BB157" s="2099"/>
      <c r="BC157" s="2099"/>
      <c r="BD157" s="2089"/>
      <c r="BE157" s="2089"/>
      <c r="BF157" s="2089"/>
      <c r="BG157" s="2089"/>
      <c r="BH157" s="2089"/>
      <c r="BI157" s="2089"/>
      <c r="BJ157" s="2089"/>
      <c r="BK157" s="2089"/>
      <c r="BL157" s="2093"/>
      <c r="BM157" s="2093"/>
      <c r="BN157" s="2093"/>
      <c r="BO157" s="517"/>
      <c r="BP157" s="518"/>
      <c r="BQ157" s="518"/>
      <c r="BR157" s="518"/>
      <c r="BS157" s="518"/>
      <c r="BT157" s="518"/>
      <c r="BU157" s="518"/>
      <c r="BV157" s="518"/>
      <c r="BW157" s="519"/>
      <c r="BX157" s="519"/>
      <c r="BY157" s="519"/>
      <c r="BZ157" s="519"/>
      <c r="CA157" s="519"/>
      <c r="CB157" s="519"/>
      <c r="CC157" s="519"/>
      <c r="CD157" s="519"/>
      <c r="CE157" s="519"/>
      <c r="CF157" s="519"/>
      <c r="CG157" s="519"/>
      <c r="CH157" s="519"/>
      <c r="CI157" s="519"/>
      <c r="CJ157" s="519"/>
      <c r="CK157" s="519"/>
      <c r="CL157" s="519"/>
      <c r="CM157" s="519"/>
      <c r="CN157" s="519"/>
      <c r="CO157" s="519"/>
      <c r="CP157" s="519"/>
      <c r="CQ157" s="519"/>
      <c r="CR157" s="519"/>
      <c r="CS157" s="519"/>
      <c r="CT157" s="519"/>
      <c r="CU157" s="519"/>
      <c r="CV157" s="519"/>
      <c r="CW157" s="519"/>
      <c r="CX157" s="519"/>
      <c r="CY157" s="519"/>
      <c r="CZ157" s="519"/>
      <c r="DA157" s="519"/>
      <c r="DB157" s="519"/>
      <c r="DC157" s="519"/>
      <c r="DD157" s="519"/>
      <c r="DE157" s="519"/>
      <c r="DF157" s="519"/>
      <c r="DG157" s="519"/>
      <c r="DH157" s="519"/>
      <c r="DI157" s="519"/>
      <c r="DJ157" s="519"/>
      <c r="DK157" s="519"/>
      <c r="DL157" s="520"/>
    </row>
    <row r="158" spans="1:206" ht="4.5" customHeight="1" thickBot="1"/>
    <row r="159" spans="1:206" s="200" customFormat="1" ht="11.25" customHeight="1" thickBot="1">
      <c r="A159" s="1592" t="s">
        <v>414</v>
      </c>
      <c r="B159" s="2085"/>
      <c r="C159" s="2085"/>
      <c r="D159" s="2085"/>
      <c r="E159" s="2085"/>
      <c r="F159" s="2085"/>
      <c r="G159" s="2085"/>
      <c r="H159" s="2085"/>
      <c r="I159" s="2085"/>
      <c r="J159" s="2085"/>
      <c r="K159" s="2085"/>
      <c r="L159" s="2085"/>
      <c r="M159" s="2085"/>
      <c r="N159" s="2085"/>
      <c r="O159" s="2085"/>
      <c r="P159" s="2085"/>
      <c r="Q159" s="2085"/>
      <c r="R159" s="2085"/>
      <c r="S159" s="2085"/>
      <c r="T159" s="2085"/>
      <c r="U159" s="2086"/>
      <c r="V159" s="1562" t="s">
        <v>415</v>
      </c>
      <c r="W159" s="1562"/>
      <c r="X159" s="1562"/>
      <c r="Y159" s="1562"/>
      <c r="Z159" s="1562"/>
      <c r="AA159" s="1562"/>
      <c r="AB159" s="1562"/>
      <c r="AC159" s="1562"/>
      <c r="AD159" s="1562"/>
      <c r="AE159" s="1562"/>
      <c r="AF159" s="1562"/>
      <c r="AG159" s="1562"/>
      <c r="AH159" s="1562"/>
      <c r="AI159" s="1562"/>
      <c r="AJ159" s="1562"/>
      <c r="AK159" s="1562"/>
      <c r="AL159" s="1562"/>
      <c r="AM159" s="1562"/>
      <c r="AN159" s="1562"/>
      <c r="AO159" s="1562"/>
      <c r="AP159" s="1562"/>
      <c r="AQ159" s="1562"/>
      <c r="AR159" s="1562"/>
      <c r="AS159" s="1562"/>
      <c r="AT159" s="1562"/>
      <c r="AU159" s="1562"/>
      <c r="AV159" s="1562"/>
      <c r="AW159" s="1562"/>
      <c r="AX159" s="1562"/>
      <c r="AY159" s="1562"/>
      <c r="AZ159" s="1562"/>
      <c r="BA159" s="1562"/>
      <c r="BB159" s="1562"/>
      <c r="BC159" s="1562"/>
      <c r="BD159" s="1562"/>
      <c r="BE159" s="1562"/>
      <c r="BF159" s="1562"/>
      <c r="BG159" s="1562"/>
      <c r="BH159" s="1562"/>
      <c r="BI159" s="1562"/>
      <c r="BJ159" s="1562"/>
      <c r="BK159" s="1562"/>
      <c r="BL159" s="1562"/>
      <c r="BM159" s="1562"/>
      <c r="BN159" s="1562"/>
      <c r="BO159" s="1562"/>
      <c r="BP159" s="1562"/>
      <c r="BQ159" s="1562"/>
      <c r="BR159" s="1562"/>
      <c r="BS159" s="1562"/>
      <c r="BT159" s="1562"/>
      <c r="BU159" s="1562"/>
      <c r="BV159" s="1562"/>
      <c r="BW159" s="1562"/>
      <c r="BX159" s="1562"/>
      <c r="BY159" s="1562"/>
      <c r="BZ159" s="1562"/>
      <c r="CA159" s="1562"/>
      <c r="CB159" s="1562"/>
      <c r="CC159" s="1562"/>
      <c r="CD159" s="1562"/>
      <c r="CE159" s="1562"/>
      <c r="CF159" s="1562"/>
      <c r="CG159" s="1562"/>
      <c r="CH159" s="1562"/>
      <c r="CI159" s="1562"/>
      <c r="CJ159" s="1562"/>
      <c r="CK159" s="1562"/>
      <c r="CL159" s="1562"/>
      <c r="CM159" s="1562"/>
      <c r="CN159" s="1562"/>
      <c r="CO159" s="1562"/>
      <c r="CP159" s="1562"/>
      <c r="CQ159" s="1562"/>
      <c r="CR159" s="1562"/>
      <c r="CS159" s="1562"/>
      <c r="CT159" s="1562"/>
      <c r="CU159" s="1562"/>
      <c r="CV159" s="1562"/>
      <c r="CW159" s="1562"/>
      <c r="CX159" s="1562"/>
      <c r="CY159" s="1562"/>
      <c r="CZ159" s="1562"/>
      <c r="DA159" s="1562"/>
      <c r="DB159" s="1562"/>
      <c r="DC159" s="1562"/>
      <c r="DD159" s="1562"/>
      <c r="DE159" s="1562"/>
      <c r="DF159" s="1562"/>
      <c r="DG159" s="1562"/>
      <c r="DH159" s="1562"/>
      <c r="DI159" s="1562"/>
      <c r="DJ159" s="1562"/>
      <c r="DK159" s="1562"/>
      <c r="DL159" s="1563"/>
      <c r="DM159" s="202"/>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row>
    <row r="160" spans="1:206" s="200" customFormat="1" ht="8.25" customHeight="1">
      <c r="A160" s="2073" t="s">
        <v>1514</v>
      </c>
      <c r="B160" s="2073"/>
      <c r="C160" s="2073"/>
      <c r="D160" s="2073"/>
      <c r="E160" s="2073"/>
      <c r="F160" s="2073"/>
      <c r="G160" s="2073"/>
      <c r="H160" s="2073"/>
      <c r="I160" s="2073"/>
      <c r="J160" s="2073"/>
      <c r="K160" s="2073"/>
      <c r="L160" s="2073"/>
      <c r="M160" s="2073"/>
      <c r="N160" s="2073"/>
      <c r="O160" s="2073"/>
      <c r="P160" s="2073"/>
      <c r="Q160" s="2073"/>
      <c r="R160" s="2073"/>
      <c r="S160" s="2073"/>
      <c r="T160" s="2073"/>
      <c r="U160" s="2073"/>
      <c r="V160" s="2073"/>
      <c r="W160" s="2073"/>
      <c r="X160" s="2073"/>
      <c r="Y160" s="2073"/>
      <c r="Z160" s="2073"/>
      <c r="AA160" s="2073"/>
      <c r="AB160" s="2073"/>
      <c r="AC160" s="2073"/>
      <c r="AD160" s="2073"/>
      <c r="AE160" s="2073"/>
      <c r="AF160" s="2073"/>
      <c r="AG160" s="2073"/>
      <c r="AH160" s="2073"/>
      <c r="AI160" s="2073"/>
      <c r="AJ160" s="2073"/>
      <c r="AK160" s="2073"/>
      <c r="AL160" s="2073"/>
      <c r="AM160" s="2073"/>
      <c r="AN160" s="2073"/>
      <c r="AO160" s="2073"/>
      <c r="AP160" s="2073"/>
      <c r="AQ160" s="2073"/>
      <c r="AR160" s="2073"/>
      <c r="AS160" s="2073"/>
      <c r="AT160" s="2073"/>
      <c r="AU160" s="2073"/>
      <c r="AV160" s="2073"/>
      <c r="AW160" s="2073"/>
      <c r="AX160" s="2073"/>
      <c r="AY160" s="2073"/>
      <c r="AZ160" s="2073"/>
      <c r="BA160" s="2073"/>
      <c r="BB160" s="2073"/>
      <c r="BC160" s="2073"/>
      <c r="BD160" s="2073"/>
      <c r="BE160" s="2073"/>
      <c r="BF160" s="2073"/>
      <c r="BG160" s="2073"/>
      <c r="BH160" s="2073"/>
      <c r="BI160" s="2073"/>
      <c r="BJ160" s="2073"/>
      <c r="BK160" s="2073"/>
      <c r="BL160" s="2073"/>
      <c r="BM160" s="2073"/>
      <c r="BN160" s="2073"/>
      <c r="BO160" s="2073"/>
      <c r="BP160" s="2073"/>
      <c r="BQ160" s="2073"/>
      <c r="BR160" s="2073"/>
      <c r="BS160" s="2073"/>
      <c r="BT160" s="2073"/>
      <c r="BU160" s="2073"/>
      <c r="BV160" s="2073"/>
      <c r="BW160" s="2073"/>
      <c r="BX160" s="2073"/>
      <c r="BY160" s="2073"/>
      <c r="BZ160" s="2073"/>
      <c r="CA160" s="2073"/>
      <c r="CB160" s="2073"/>
      <c r="CC160" s="2073"/>
      <c r="CD160" s="2073"/>
      <c r="CE160" s="2073"/>
      <c r="CF160" s="2073"/>
      <c r="CG160" s="2073"/>
      <c r="CH160" s="2073"/>
      <c r="CI160" s="2073"/>
      <c r="CJ160" s="2073"/>
      <c r="CK160" s="2073"/>
      <c r="CL160" s="2073"/>
      <c r="CM160" s="2073"/>
      <c r="CN160" s="2073"/>
      <c r="CO160" s="2073"/>
      <c r="CP160" s="2073"/>
      <c r="CQ160" s="2073"/>
      <c r="CR160" s="2073"/>
      <c r="CS160" s="2073"/>
      <c r="CT160" s="2073"/>
      <c r="CU160" s="2073"/>
      <c r="CV160" s="2073"/>
      <c r="CW160" s="2073"/>
      <c r="CX160" s="2073"/>
      <c r="CY160" s="2073"/>
      <c r="CZ160" s="2073"/>
      <c r="DA160" s="2073"/>
      <c r="DB160" s="2073"/>
      <c r="DC160" s="2073"/>
      <c r="DD160" s="2073"/>
      <c r="DE160" s="2073"/>
      <c r="DF160" s="2073"/>
      <c r="DG160" s="2073"/>
      <c r="DH160" s="2073"/>
      <c r="DI160" s="2073"/>
      <c r="DJ160" s="2073"/>
      <c r="DK160" s="2073"/>
      <c r="DL160" s="2073"/>
      <c r="DM160" s="199"/>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row>
    <row r="161" spans="1:165" ht="7.5" customHeight="1">
      <c r="A161" s="1505" t="s">
        <v>1515</v>
      </c>
      <c r="B161" s="2073"/>
      <c r="C161" s="2073"/>
      <c r="D161" s="2073"/>
      <c r="E161" s="2073"/>
      <c r="F161" s="2073"/>
      <c r="G161" s="2073"/>
      <c r="H161" s="2073"/>
      <c r="I161" s="2073"/>
      <c r="J161" s="2073"/>
      <c r="K161" s="2073"/>
      <c r="L161" s="2073"/>
      <c r="M161" s="2073"/>
      <c r="N161" s="2073"/>
      <c r="O161" s="2073"/>
      <c r="P161" s="2073"/>
      <c r="Q161" s="2073"/>
      <c r="R161" s="2073"/>
      <c r="S161" s="2073"/>
      <c r="T161" s="2073"/>
      <c r="U161" s="2073"/>
      <c r="V161" s="2073"/>
      <c r="W161" s="2073"/>
      <c r="X161" s="2073"/>
      <c r="Y161" s="2073"/>
      <c r="Z161" s="2073"/>
      <c r="AA161" s="2073"/>
      <c r="AB161" s="2073"/>
      <c r="AC161" s="2073"/>
      <c r="AD161" s="2073"/>
      <c r="AE161" s="2073"/>
      <c r="AF161" s="2073"/>
      <c r="AG161" s="2073"/>
      <c r="AH161" s="2073"/>
      <c r="AI161" s="2073"/>
      <c r="AJ161" s="2073"/>
      <c r="AK161" s="2073"/>
      <c r="AL161" s="2073"/>
      <c r="AM161" s="2073"/>
      <c r="AN161" s="2073"/>
      <c r="AO161" s="2073"/>
      <c r="AP161" s="2073"/>
      <c r="AQ161" s="2073"/>
      <c r="AR161" s="2073"/>
      <c r="AS161" s="2073"/>
      <c r="AT161" s="2073"/>
      <c r="AU161" s="2073"/>
      <c r="AV161" s="2073"/>
      <c r="AW161" s="2073"/>
      <c r="AX161" s="2073"/>
      <c r="AY161" s="2073"/>
      <c r="AZ161" s="2073"/>
      <c r="BA161" s="2073"/>
      <c r="BB161" s="2073"/>
      <c r="BC161" s="2073"/>
      <c r="BD161" s="2073"/>
      <c r="BE161" s="2073"/>
      <c r="BF161" s="2073"/>
      <c r="BG161" s="2073"/>
      <c r="BH161" s="2073"/>
      <c r="BI161" s="2073"/>
      <c r="BJ161" s="2073"/>
      <c r="BK161" s="2073"/>
      <c r="BL161" s="2073"/>
      <c r="BM161" s="2073"/>
      <c r="BN161" s="2073"/>
      <c r="BO161" s="2073"/>
      <c r="BP161" s="2073"/>
      <c r="BQ161" s="2073"/>
      <c r="BR161" s="2073"/>
      <c r="BS161" s="2073"/>
      <c r="BT161" s="2073"/>
      <c r="BU161" s="2073"/>
      <c r="BV161" s="2073"/>
      <c r="BW161" s="2073"/>
      <c r="BX161" s="2073"/>
      <c r="BY161" s="2073"/>
      <c r="BZ161" s="2073"/>
      <c r="CA161" s="2073"/>
      <c r="CB161" s="2073"/>
      <c r="CC161" s="2073"/>
      <c r="CD161" s="2073"/>
      <c r="CE161" s="2073"/>
      <c r="CF161" s="2073"/>
      <c r="CG161" s="2073"/>
      <c r="CH161" s="2073"/>
      <c r="CI161" s="2073"/>
      <c r="CJ161" s="2073"/>
      <c r="CK161" s="2073"/>
      <c r="CL161" s="2073"/>
      <c r="CM161" s="2073"/>
      <c r="CN161" s="2073"/>
      <c r="CO161" s="2073"/>
      <c r="CP161" s="2073"/>
      <c r="CQ161" s="2073"/>
      <c r="CR161" s="2073"/>
      <c r="CS161" s="2073"/>
      <c r="CT161" s="2073"/>
      <c r="CU161" s="2073"/>
      <c r="CV161" s="2073"/>
      <c r="CW161" s="2073"/>
      <c r="CX161" s="2073"/>
      <c r="CY161" s="2073"/>
      <c r="CZ161" s="2073"/>
      <c r="DA161" s="2073"/>
      <c r="DB161" s="2073"/>
      <c r="DC161" s="2073"/>
      <c r="DD161" s="2073"/>
      <c r="DE161" s="2073"/>
      <c r="DF161" s="2073"/>
      <c r="DG161" s="2073"/>
      <c r="DH161" s="2073"/>
      <c r="DI161" s="2073"/>
      <c r="DJ161" s="2073"/>
      <c r="DK161" s="2073"/>
      <c r="DL161" s="2073"/>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row>
    <row r="162" spans="1:165" ht="7.5" customHeight="1">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row>
    <row r="163" spans="1:165" ht="7.5" customHeight="1">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row>
    <row r="164" spans="1:165" ht="7.5" customHeight="1">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row>
    <row r="165" spans="1:165" ht="7.5" customHeight="1">
      <c r="DN165" s="125"/>
      <c r="DS165" s="109"/>
    </row>
    <row r="167" spans="1:165" ht="7.5" customHeight="1">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row>
    <row r="168" spans="1:165" ht="7.5" customHeight="1">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c r="FD168" s="49"/>
      <c r="FE168" s="49"/>
      <c r="FF168" s="49"/>
      <c r="FG168" s="49"/>
      <c r="FH168" s="49"/>
      <c r="FI168" s="49"/>
    </row>
    <row r="169" spans="1:165" ht="7.5" customHeight="1">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row>
  </sheetData>
  <sheetProtection algorithmName="SHA-512" hashValue="0p2atpHLbDnJB0j2ZjGtXh225WbXsjK2WsYJ+gR3rL3LpMzZD6HIVF9nnJRcBgkXGlNalCeVgJlx2wz2jmV5YQ==" saltValue="WUN8pGwPeFGBpzTw8ciVFg==" spinCount="100000" sheet="1" selectLockedCells="1"/>
  <mergeCells count="407">
    <mergeCell ref="A161:DL161"/>
    <mergeCell ref="BA122:BJ124"/>
    <mergeCell ref="B33:F36"/>
    <mergeCell ref="BI35:BM36"/>
    <mergeCell ref="BN35:DK36"/>
    <mergeCell ref="B96:M98"/>
    <mergeCell ref="N96:X98"/>
    <mergeCell ref="Y96:AH98"/>
    <mergeCell ref="AI96:BJ98"/>
    <mergeCell ref="BR87:BY89"/>
    <mergeCell ref="Q71:DL73"/>
    <mergeCell ref="CY90:DI92"/>
    <mergeCell ref="DJ90:DL92"/>
    <mergeCell ref="G35:L36"/>
    <mergeCell ref="AG35:AL36"/>
    <mergeCell ref="AD33:AN34"/>
    <mergeCell ref="X33:AC34"/>
    <mergeCell ref="AO33:AT34"/>
    <mergeCell ref="B61:F63"/>
    <mergeCell ref="B59:F60"/>
    <mergeCell ref="AT57:BF58"/>
    <mergeCell ref="G54:L55"/>
    <mergeCell ref="G52:L53"/>
    <mergeCell ref="AL47:BF48"/>
    <mergeCell ref="G33:L34"/>
    <mergeCell ref="B45:BD46"/>
    <mergeCell ref="B40:F41"/>
    <mergeCell ref="B52:F55"/>
    <mergeCell ref="B49:F49"/>
    <mergeCell ref="B50:F51"/>
    <mergeCell ref="G50:AN51"/>
    <mergeCell ref="BA50:BF51"/>
    <mergeCell ref="AO50:AZ51"/>
    <mergeCell ref="B47:AK48"/>
    <mergeCell ref="B42:F44"/>
    <mergeCell ref="M35:AF36"/>
    <mergeCell ref="M33:W34"/>
    <mergeCell ref="B37:F39"/>
    <mergeCell ref="G37:AA39"/>
    <mergeCell ref="AM35:BF36"/>
    <mergeCell ref="B56:F58"/>
    <mergeCell ref="BK96:DL98"/>
    <mergeCell ref="BD4:BX6"/>
    <mergeCell ref="CT26:DK27"/>
    <mergeCell ref="CE24:CJ25"/>
    <mergeCell ref="AN28:AQ29"/>
    <mergeCell ref="B28:AM29"/>
    <mergeCell ref="AZ31:BF32"/>
    <mergeCell ref="B31:F32"/>
    <mergeCell ref="B30:F30"/>
    <mergeCell ref="AR28:BF29"/>
    <mergeCell ref="G25:AD26"/>
    <mergeCell ref="BN26:BS27"/>
    <mergeCell ref="BI25:BM26"/>
    <mergeCell ref="DB24:DK25"/>
    <mergeCell ref="CK24:CU25"/>
    <mergeCell ref="CV24:DA25"/>
    <mergeCell ref="DA28:DK29"/>
    <mergeCell ref="G30:BF30"/>
    <mergeCell ref="A4:BC6"/>
    <mergeCell ref="AU33:BF34"/>
    <mergeCell ref="AG40:BF41"/>
    <mergeCell ref="AE25:AI26"/>
    <mergeCell ref="G20:I21"/>
    <mergeCell ref="M20:O21"/>
    <mergeCell ref="Q31:AY32"/>
    <mergeCell ref="U20:W21"/>
    <mergeCell ref="G31:P32"/>
    <mergeCell ref="EU53:FA54"/>
    <mergeCell ref="M52:W53"/>
    <mergeCell ref="AD52:AN53"/>
    <mergeCell ref="DC48:DK51"/>
    <mergeCell ref="BI50:CE51"/>
    <mergeCell ref="CF50:DB51"/>
    <mergeCell ref="G49:BF49"/>
    <mergeCell ref="BI48:DB49"/>
    <mergeCell ref="BI52:DB53"/>
    <mergeCell ref="AM54:BF55"/>
    <mergeCell ref="AG54:AL55"/>
    <mergeCell ref="BI54:CE55"/>
    <mergeCell ref="CF54:DB55"/>
    <mergeCell ref="DC52:DK63"/>
    <mergeCell ref="AZ61:BF63"/>
    <mergeCell ref="BI56:CE57"/>
    <mergeCell ref="DS53:DY54"/>
    <mergeCell ref="BT26:CM27"/>
    <mergeCell ref="BT37:CD38"/>
    <mergeCell ref="BI33:CB34"/>
    <mergeCell ref="CC33:DD34"/>
    <mergeCell ref="CV37:DA38"/>
    <mergeCell ref="DB37:DK38"/>
    <mergeCell ref="CT39:DK40"/>
    <mergeCell ref="CK37:CU38"/>
    <mergeCell ref="BN39:BS40"/>
    <mergeCell ref="CN26:CS27"/>
    <mergeCell ref="BI30:BM31"/>
    <mergeCell ref="CP30:DK31"/>
    <mergeCell ref="BN30:CJ31"/>
    <mergeCell ref="CK30:CO31"/>
    <mergeCell ref="DE33:DK34"/>
    <mergeCell ref="CN39:CS40"/>
    <mergeCell ref="BN37:BS38"/>
    <mergeCell ref="BI37:BJ37"/>
    <mergeCell ref="DA41:DK42"/>
    <mergeCell ref="A1:DM3"/>
    <mergeCell ref="J20:L21"/>
    <mergeCell ref="P20:T21"/>
    <mergeCell ref="X20:AB21"/>
    <mergeCell ref="B22:X24"/>
    <mergeCell ref="Z22:BF24"/>
    <mergeCell ref="BI22:BM23"/>
    <mergeCell ref="BI28:BM29"/>
    <mergeCell ref="BN28:CJ29"/>
    <mergeCell ref="CK28:CO29"/>
    <mergeCell ref="CP28:CZ29"/>
    <mergeCell ref="DE20:DK21"/>
    <mergeCell ref="BI24:BJ24"/>
    <mergeCell ref="BN24:BS25"/>
    <mergeCell ref="BT24:CD25"/>
    <mergeCell ref="BY4:CS6"/>
    <mergeCell ref="AC20:AE21"/>
    <mergeCell ref="DF22:DK23"/>
    <mergeCell ref="CV22:DE23"/>
    <mergeCell ref="AF20:BF21"/>
    <mergeCell ref="AJ25:BF26"/>
    <mergeCell ref="BI20:CB21"/>
    <mergeCell ref="B25:F26"/>
    <mergeCell ref="B20:F21"/>
    <mergeCell ref="CC20:DD21"/>
    <mergeCell ref="AG37:AS37"/>
    <mergeCell ref="AT37:BF37"/>
    <mergeCell ref="CE37:CJ38"/>
    <mergeCell ref="AB37:AF37"/>
    <mergeCell ref="AG38:AS39"/>
    <mergeCell ref="AT38:BF39"/>
    <mergeCell ref="AB38:AF39"/>
    <mergeCell ref="BI38:BM39"/>
    <mergeCell ref="BT39:CM40"/>
    <mergeCell ref="AB40:AF41"/>
    <mergeCell ref="CK41:CO42"/>
    <mergeCell ref="AZ42:BF44"/>
    <mergeCell ref="CK43:CO44"/>
    <mergeCell ref="BN41:CJ42"/>
    <mergeCell ref="BI41:BM42"/>
    <mergeCell ref="BI43:BM44"/>
    <mergeCell ref="G42:AY44"/>
    <mergeCell ref="G40:AA41"/>
    <mergeCell ref="CP41:CZ42"/>
    <mergeCell ref="BN43:CJ44"/>
    <mergeCell ref="BN22:CU23"/>
    <mergeCell ref="CP43:DK44"/>
    <mergeCell ref="BI58:CE59"/>
    <mergeCell ref="CF58:DB59"/>
    <mergeCell ref="AB57:AF58"/>
    <mergeCell ref="CP80:DL81"/>
    <mergeCell ref="AG59:BF60"/>
    <mergeCell ref="AL77:DL79"/>
    <mergeCell ref="AS74:DL76"/>
    <mergeCell ref="M54:AF55"/>
    <mergeCell ref="X52:AC53"/>
    <mergeCell ref="AO52:AT53"/>
    <mergeCell ref="CF60:DB61"/>
    <mergeCell ref="AU52:BF53"/>
    <mergeCell ref="CF62:DB63"/>
    <mergeCell ref="G61:AY63"/>
    <mergeCell ref="AB59:AF60"/>
    <mergeCell ref="M71:P73"/>
    <mergeCell ref="BC65:CT66"/>
    <mergeCell ref="AG57:AS58"/>
    <mergeCell ref="BG87:BN89"/>
    <mergeCell ref="BI60:CE61"/>
    <mergeCell ref="AG56:AS56"/>
    <mergeCell ref="AT56:BF56"/>
    <mergeCell ref="G56:AA58"/>
    <mergeCell ref="AB56:AF56"/>
    <mergeCell ref="A65:BB66"/>
    <mergeCell ref="AD87:AR89"/>
    <mergeCell ref="AS87:AZ89"/>
    <mergeCell ref="B85:DL86"/>
    <mergeCell ref="B77:L79"/>
    <mergeCell ref="G59:AA60"/>
    <mergeCell ref="BI62:CE63"/>
    <mergeCell ref="CF56:DB57"/>
    <mergeCell ref="Y80:AW83"/>
    <mergeCell ref="B69:DL70"/>
    <mergeCell ref="BR80:CO81"/>
    <mergeCell ref="B82:I83"/>
    <mergeCell ref="J82:X83"/>
    <mergeCell ref="B71:L73"/>
    <mergeCell ref="M77:AK79"/>
    <mergeCell ref="B74:L76"/>
    <mergeCell ref="M74:AR76"/>
    <mergeCell ref="CY87:DF89"/>
    <mergeCell ref="DG87:DL89"/>
    <mergeCell ref="B80:X81"/>
    <mergeCell ref="U90:X92"/>
    <mergeCell ref="AE90:AH92"/>
    <mergeCell ref="AI90:BD92"/>
    <mergeCell ref="V87:AC89"/>
    <mergeCell ref="BA87:BF89"/>
    <mergeCell ref="Y90:AA92"/>
    <mergeCell ref="AB90:AD92"/>
    <mergeCell ref="B87:I89"/>
    <mergeCell ref="J87:U89"/>
    <mergeCell ref="BZ87:CX89"/>
    <mergeCell ref="CB90:CI92"/>
    <mergeCell ref="CP82:DL83"/>
    <mergeCell ref="BP90:CA92"/>
    <mergeCell ref="BO87:BQ89"/>
    <mergeCell ref="B90:I92"/>
    <mergeCell ref="J90:M92"/>
    <mergeCell ref="AX80:BL81"/>
    <mergeCell ref="BM80:BQ81"/>
    <mergeCell ref="AX82:BL83"/>
    <mergeCell ref="BM82:BQ83"/>
    <mergeCell ref="BR82:CO83"/>
    <mergeCell ref="BK90:BO92"/>
    <mergeCell ref="DE99:DL101"/>
    <mergeCell ref="CM90:CT92"/>
    <mergeCell ref="CM93:DL95"/>
    <mergeCell ref="CQ106:DL107"/>
    <mergeCell ref="B99:M101"/>
    <mergeCell ref="BE90:BJ95"/>
    <mergeCell ref="CQ102:DL102"/>
    <mergeCell ref="CQ103:DL105"/>
    <mergeCell ref="DH113:DL115"/>
    <mergeCell ref="CZ113:DG115"/>
    <mergeCell ref="B111:DL112"/>
    <mergeCell ref="CM105:CP107"/>
    <mergeCell ref="CU90:CX92"/>
    <mergeCell ref="CJ90:CL92"/>
    <mergeCell ref="B93:BD95"/>
    <mergeCell ref="R102:Y104"/>
    <mergeCell ref="AZ113:BE115"/>
    <mergeCell ref="AK113:AP115"/>
    <mergeCell ref="AA113:AJ115"/>
    <mergeCell ref="CC113:CY115"/>
    <mergeCell ref="H113:T115"/>
    <mergeCell ref="BF113:BJ115"/>
    <mergeCell ref="B113:G115"/>
    <mergeCell ref="U113:Z115"/>
    <mergeCell ref="N90:Q92"/>
    <mergeCell ref="R90:T92"/>
    <mergeCell ref="CJ93:CL95"/>
    <mergeCell ref="B102:G104"/>
    <mergeCell ref="AL102:AZ104"/>
    <mergeCell ref="AL105:AZ107"/>
    <mergeCell ref="BX93:CI95"/>
    <mergeCell ref="BK93:BT95"/>
    <mergeCell ref="BU93:BW95"/>
    <mergeCell ref="B105:I107"/>
    <mergeCell ref="BA102:BD104"/>
    <mergeCell ref="BE102:BS104"/>
    <mergeCell ref="BT102:BW104"/>
    <mergeCell ref="BX102:CL104"/>
    <mergeCell ref="AB105:AF107"/>
    <mergeCell ref="AG105:AK107"/>
    <mergeCell ref="N99:O101"/>
    <mergeCell ref="AB99:DD101"/>
    <mergeCell ref="P99:AA101"/>
    <mergeCell ref="J105:O107"/>
    <mergeCell ref="P102:Q104"/>
    <mergeCell ref="P105:U107"/>
    <mergeCell ref="BE105:BS107"/>
    <mergeCell ref="BT105:BW107"/>
    <mergeCell ref="A160:DL160"/>
    <mergeCell ref="CC152:CF154"/>
    <mergeCell ref="CG152:CI154"/>
    <mergeCell ref="CJ152:CL154"/>
    <mergeCell ref="CM152:CP154"/>
    <mergeCell ref="B155:G157"/>
    <mergeCell ref="H155:S157"/>
    <mergeCell ref="AB155:AM157"/>
    <mergeCell ref="AN155:AU157"/>
    <mergeCell ref="B152:I154"/>
    <mergeCell ref="J152:Q154"/>
    <mergeCell ref="R152:Y154"/>
    <mergeCell ref="Z152:AX154"/>
    <mergeCell ref="BK152:BQ154"/>
    <mergeCell ref="BR152:BU154"/>
    <mergeCell ref="BV152:BY154"/>
    <mergeCell ref="BZ152:CB154"/>
    <mergeCell ref="A159:U159"/>
    <mergeCell ref="V159:DL159"/>
    <mergeCell ref="BD155:BK157"/>
    <mergeCell ref="T155:AA157"/>
    <mergeCell ref="BL155:BN157"/>
    <mergeCell ref="AV155:BC157"/>
    <mergeCell ref="CQ152:DL154"/>
    <mergeCell ref="AY152:BF154"/>
    <mergeCell ref="BG152:BJ154"/>
    <mergeCell ref="BT122:BW124"/>
    <mergeCell ref="BX122:DL124"/>
    <mergeCell ref="BE137:BG139"/>
    <mergeCell ref="AS134:AV136"/>
    <mergeCell ref="CH137:CJ139"/>
    <mergeCell ref="AX137:BD139"/>
    <mergeCell ref="CC131:CE133"/>
    <mergeCell ref="BS134:DL136"/>
    <mergeCell ref="BS137:CG139"/>
    <mergeCell ref="CT149:DL151"/>
    <mergeCell ref="DE142:DL145"/>
    <mergeCell ref="AI149:BG151"/>
    <mergeCell ref="BP149:CE151"/>
    <mergeCell ref="CF149:CM151"/>
    <mergeCell ref="CN149:CS151"/>
    <mergeCell ref="DE141:DL141"/>
    <mergeCell ref="M140:AR140"/>
    <mergeCell ref="AS140:DL140"/>
    <mergeCell ref="P142:DD145"/>
    <mergeCell ref="P141:DD141"/>
    <mergeCell ref="X137:AB139"/>
    <mergeCell ref="B147:DL148"/>
    <mergeCell ref="B137:G139"/>
    <mergeCell ref="BH149:BO151"/>
    <mergeCell ref="S137:W139"/>
    <mergeCell ref="AK137:AM139"/>
    <mergeCell ref="H137:O139"/>
    <mergeCell ref="B142:O145"/>
    <mergeCell ref="P137:R139"/>
    <mergeCell ref="B134:I136"/>
    <mergeCell ref="J149:Z151"/>
    <mergeCell ref="AA149:AH151"/>
    <mergeCell ref="B141:O141"/>
    <mergeCell ref="B149:I151"/>
    <mergeCell ref="B140:L140"/>
    <mergeCell ref="AN137:AR139"/>
    <mergeCell ref="AS137:AW139"/>
    <mergeCell ref="BH137:BO139"/>
    <mergeCell ref="J134:O136"/>
    <mergeCell ref="P134:W136"/>
    <mergeCell ref="X134:AA136"/>
    <mergeCell ref="AF134:AH136"/>
    <mergeCell ref="AI134:AL136"/>
    <mergeCell ref="AB134:AE136"/>
    <mergeCell ref="AP134:AR136"/>
    <mergeCell ref="AW134:BR136"/>
    <mergeCell ref="BP137:BR139"/>
    <mergeCell ref="CK137:DD139"/>
    <mergeCell ref="DE137:DL139"/>
    <mergeCell ref="AM134:AO136"/>
    <mergeCell ref="AC137:AJ139"/>
    <mergeCell ref="AJ125:BJ127"/>
    <mergeCell ref="CY125:DL127"/>
    <mergeCell ref="CP119:CY121"/>
    <mergeCell ref="CP116:CX118"/>
    <mergeCell ref="CZ119:DB121"/>
    <mergeCell ref="DJ116:DL118"/>
    <mergeCell ref="BK125:CX127"/>
    <mergeCell ref="Y119:AJ121"/>
    <mergeCell ref="AK119:AL121"/>
    <mergeCell ref="BK122:BS124"/>
    <mergeCell ref="M122:Y124"/>
    <mergeCell ref="Z122:AS124"/>
    <mergeCell ref="AT122:AZ124"/>
    <mergeCell ref="CB116:CL118"/>
    <mergeCell ref="CY116:DA118"/>
    <mergeCell ref="DC119:DI121"/>
    <mergeCell ref="DJ119:DL121"/>
    <mergeCell ref="J131:U133"/>
    <mergeCell ref="V131:AC133"/>
    <mergeCell ref="H102:O104"/>
    <mergeCell ref="BX105:CL107"/>
    <mergeCell ref="CM102:CP104"/>
    <mergeCell ref="B119:H121"/>
    <mergeCell ref="B131:I133"/>
    <mergeCell ref="B108:O109"/>
    <mergeCell ref="CM116:CO118"/>
    <mergeCell ref="J116:M118"/>
    <mergeCell ref="N116:Q118"/>
    <mergeCell ref="Z102:AA104"/>
    <mergeCell ref="V105:AA107"/>
    <mergeCell ref="AB102:AK104"/>
    <mergeCell ref="BK113:BQ115"/>
    <mergeCell ref="AB108:DL109"/>
    <mergeCell ref="DB116:DI118"/>
    <mergeCell ref="AI116:BD118"/>
    <mergeCell ref="AQ113:AY115"/>
    <mergeCell ref="AT119:BQ121"/>
    <mergeCell ref="R116:T118"/>
    <mergeCell ref="AB116:AD118"/>
    <mergeCell ref="AM119:AS121"/>
    <mergeCell ref="M125:Y127"/>
    <mergeCell ref="Z125:AI127"/>
    <mergeCell ref="BG131:BN133"/>
    <mergeCell ref="BO131:BT133"/>
    <mergeCell ref="B125:L127"/>
    <mergeCell ref="BA105:BD107"/>
    <mergeCell ref="CN131:DL133"/>
    <mergeCell ref="I119:X121"/>
    <mergeCell ref="Y116:AA118"/>
    <mergeCell ref="BE116:BJ118"/>
    <mergeCell ref="BR119:CA121"/>
    <mergeCell ref="CB119:CO121"/>
    <mergeCell ref="U116:X118"/>
    <mergeCell ref="BK116:BQ118"/>
    <mergeCell ref="P108:AA109"/>
    <mergeCell ref="BU113:CB115"/>
    <mergeCell ref="B129:DL130"/>
    <mergeCell ref="AD131:BF133"/>
    <mergeCell ref="BU131:CB133"/>
    <mergeCell ref="B116:I118"/>
    <mergeCell ref="BR116:CA118"/>
    <mergeCell ref="AE116:AH118"/>
    <mergeCell ref="BR113:BT115"/>
    <mergeCell ref="CF131:CM133"/>
    <mergeCell ref="B122:L124"/>
  </mergeCells>
  <phoneticPr fontId="68"/>
  <conditionalFormatting sqref="B99 B102:DL107 AB108">
    <cfRule type="expression" dxfId="1579" priority="67">
      <formula>$AD$87="更新"</formula>
    </cfRule>
  </conditionalFormatting>
  <conditionalFormatting sqref="B142 P142 DE142">
    <cfRule type="expression" dxfId="1578" priority="503">
      <formula>COUNTIF($AD$131,"&lt;&gt;*エディション移行*")</formula>
    </cfRule>
  </conditionalFormatting>
  <conditionalFormatting sqref="B99:O101">
    <cfRule type="expression" dxfId="1577" priority="238">
      <formula>$J$87="有害情報対策版"</formula>
    </cfRule>
    <cfRule type="expression" dxfId="1576" priority="373">
      <formula>$J$87="GIGAスクール版"</formula>
    </cfRule>
  </conditionalFormatting>
  <conditionalFormatting sqref="B108:O109">
    <cfRule type="expression" dxfId="1575" priority="87">
      <formula>$V$105=""</formula>
    </cfRule>
  </conditionalFormatting>
  <conditionalFormatting sqref="B134:O136">
    <cfRule type="expression" dxfId="1574" priority="497">
      <formula>AND($AD$131&lt;&gt;"",$AD$131&lt;&gt;"新規",COUNTIF($AD$131,"&lt;&gt;*更新*"))</formula>
    </cfRule>
  </conditionalFormatting>
  <conditionalFormatting sqref="B141:P141 DE141">
    <cfRule type="expression" dxfId="1573" priority="504">
      <formula>$AD$131&lt;&gt;"新規"</formula>
    </cfRule>
  </conditionalFormatting>
  <conditionalFormatting sqref="B152:Q154">
    <cfRule type="expression" dxfId="1572" priority="270">
      <formula>AND($BP$149&lt;&gt;"",$BP$149&lt;&gt;"新規")</formula>
    </cfRule>
  </conditionalFormatting>
  <conditionalFormatting sqref="B102:AA104">
    <cfRule type="expression" dxfId="1571" priority="115">
      <formula>OR($J$87&lt;&gt;"GIGAスクール版",AND($J$87="GIGAスクール版",$AD$87="更新"))</formula>
    </cfRule>
  </conditionalFormatting>
  <conditionalFormatting sqref="B108:AA109">
    <cfRule type="expression" dxfId="1570" priority="86">
      <formula>$AD$87="更新"</formula>
    </cfRule>
  </conditionalFormatting>
  <conditionalFormatting sqref="B119:AL121 AT122 BK116:CO118 DC119:DL121 B122:Z122 B123:Y124 B125 M125">
    <cfRule type="expression" dxfId="1569" priority="20739">
      <formula>NOT(OR($AA$113="新規",$AA$113="追加",$AA$113="追加(更新同時)"))</formula>
    </cfRule>
  </conditionalFormatting>
  <conditionalFormatting sqref="B90:BD92 B93">
    <cfRule type="expression" dxfId="1568" priority="494" stopIfTrue="1">
      <formula>AND($AD$87&lt;&gt;"",$AD$87&lt;&gt;"新規")</formula>
    </cfRule>
  </conditionalFormatting>
  <conditionalFormatting sqref="B90:BD92 BK90:CX92 B93 BK93 BX93 B96:BJ98 B99 N99">
    <cfRule type="expression" dxfId="1567" priority="43">
      <formula>OR($AD$87="更新",$AD$87="更新(減数)")</formula>
    </cfRule>
  </conditionalFormatting>
  <conditionalFormatting sqref="B87:BY89 BZ87 B90:BE90 BK90 B91:BD92 B93 CY87:DL89">
    <cfRule type="expression" dxfId="1566" priority="122">
      <formula>$M$71=""</formula>
    </cfRule>
  </conditionalFormatting>
  <conditionalFormatting sqref="B74:DL76">
    <cfRule type="expression" dxfId="1565" priority="20108">
      <formula>AND($M$71="無",COUNTIF($AD$131,"*エディション移行*"))</formula>
    </cfRule>
    <cfRule type="expression" dxfId="1564" priority="20107">
      <formula>OR($BO$87="有",$BR$113="有",$CC$131="有",$J$152="有")</formula>
    </cfRule>
  </conditionalFormatting>
  <conditionalFormatting sqref="B77:DL79">
    <cfRule type="expression" dxfId="1563" priority="509">
      <formula>OR($M$71="",$M$71="無")</formula>
    </cfRule>
  </conditionalFormatting>
  <conditionalFormatting sqref="B87:DL89 B90:BE90 BK90:CY90 DJ90 B91:BD92 BK91:CX92 B93 BK93 BX93 B96:BJ98 B99 N99 P99 AB99 DE99 B102:DL107 B108 P108 AB108 B113 H113 U113 AA113 AK113 AQ113 AZ113 BF113 BK113 CC113 CZ113 DH113 BR113:CB115 B116:CA118 B119:I119 AM119:AT119 BR119 CB119 Y119:AL121 B120:H121 AM120:AS121 B122 M122 Z122 BK122 BT122 BX122 B125:BJ127 B131:DL133 BS134 B134:BR136 B137:CK137 DE137 B138:CJ139 B140 M140 AS140 B141:DL145 B149:CT149 B150:CS151 B152:DL154 B155:T155 AB155:DL157 B156:S157">
    <cfRule type="expression" dxfId="1562" priority="3">
      <formula>$M$71=""</formula>
    </cfRule>
  </conditionalFormatting>
  <conditionalFormatting sqref="B140:DL140">
    <cfRule type="expression" dxfId="1561" priority="54">
      <formula>OR($AD$131&lt;&gt;("新規"),$CC$131&lt;&gt;("無"))</formula>
    </cfRule>
  </conditionalFormatting>
  <conditionalFormatting sqref="G30:G31 Q31 AZ31">
    <cfRule type="notContainsBlanks" dxfId="1560" priority="29" stopIfTrue="1">
      <formula>LEN(TRIM(G30))&gt;0</formula>
    </cfRule>
  </conditionalFormatting>
  <conditionalFormatting sqref="G37 G40">
    <cfRule type="notContainsBlanks" dxfId="1559" priority="24" stopIfTrue="1">
      <formula>LEN(TRIM(G37))&gt;0</formula>
    </cfRule>
  </conditionalFormatting>
  <conditionalFormatting sqref="G49:G50">
    <cfRule type="notContainsBlanks" dxfId="1558" priority="19" stopIfTrue="1">
      <formula>LEN(TRIM(G49))&gt;0</formula>
    </cfRule>
  </conditionalFormatting>
  <conditionalFormatting sqref="G56 G59">
    <cfRule type="notContainsBlanks" dxfId="1557" priority="14" stopIfTrue="1">
      <formula>LEN(TRIM(G56))&gt;0</formula>
    </cfRule>
  </conditionalFormatting>
  <conditionalFormatting sqref="H113 G25">
    <cfRule type="notContainsBlanks" dxfId="1556" priority="33" stopIfTrue="1">
      <formula>LEN(TRIM(G25))&gt;0</formula>
    </cfRule>
  </conditionalFormatting>
  <conditionalFormatting sqref="H113">
    <cfRule type="expression" dxfId="1555" priority="20775">
      <formula>COUNTIF($BI$54:$CE$63,"*m-FILTER*")</formula>
    </cfRule>
    <cfRule type="expression" dxfId="1554" priority="20776">
      <formula>AND($H$113="",$AA$113&lt;&gt;"")</formula>
    </cfRule>
  </conditionalFormatting>
  <conditionalFormatting sqref="H137 AC137 S137:AB139 AN137:AW139">
    <cfRule type="expression" dxfId="1553" priority="337">
      <formula>AND(COUNTIF($AD$131,"*更新*")&gt;0,COUNTIF($AD$131,"*追加*")=0,COUNTIF($AD$131,"*減数*")=0)</formula>
    </cfRule>
  </conditionalFormatting>
  <conditionalFormatting sqref="H155:T155 AB155:BN157 H156:S157">
    <cfRule type="expression" dxfId="1552" priority="272">
      <formula>AND(COUNTIF($BP$149,"*更新*")&gt;0,COUNTIF($BP$149,"*追加*")=0)</formula>
    </cfRule>
  </conditionalFormatting>
  <conditionalFormatting sqref="I119:X121">
    <cfRule type="expression" dxfId="1551" priority="20778">
      <formula>AND(OR($H$113="標準",$H$113="MailFilter &amp; Anti-Spam",$H$113="誤送信対策版"),OR($AA$113="新規",$AA$113="追加",$AA$113="追加(更新同時)",$AA$113="更新",$AA$113="更新(減数)"))</formula>
    </cfRule>
  </conditionalFormatting>
  <conditionalFormatting sqref="J20 P20 X20">
    <cfRule type="notContainsBlanks" dxfId="1550" priority="194" stopIfTrue="1">
      <formula>LEN(TRIM(J20))&gt;0</formula>
    </cfRule>
  </conditionalFormatting>
  <conditionalFormatting sqref="J87">
    <cfRule type="expression" dxfId="1549" priority="18710">
      <formula>AND($J$87="",$AD$87&lt;&gt;"")</formula>
    </cfRule>
    <cfRule type="expression" dxfId="1548" priority="18709">
      <formula>COUNTIF($BI$54:$CE$63,"*i‐FILTER*")</formula>
    </cfRule>
  </conditionalFormatting>
  <conditionalFormatting sqref="J131">
    <cfRule type="expression" dxfId="1547" priority="655">
      <formula>AND($J$131="",$AD$131&lt;&gt;"")</formula>
    </cfRule>
  </conditionalFormatting>
  <conditionalFormatting sqref="J149">
    <cfRule type="notContainsBlanks" dxfId="1544" priority="263">
      <formula>LEN(TRIM(J149))&gt;0</formula>
    </cfRule>
    <cfRule type="expression" dxfId="1541" priority="18713">
      <formula>COUNTIF($BI$54:$CE$63,"*Desk*")</formula>
    </cfRule>
  </conditionalFormatting>
  <conditionalFormatting sqref="J152 BV152:BY154 CC152:CF154">
    <cfRule type="expression" dxfId="1540" priority="615">
      <formula>$BP$149="新規"</formula>
    </cfRule>
  </conditionalFormatting>
  <conditionalFormatting sqref="J134:O136">
    <cfRule type="expression" dxfId="1539" priority="656">
      <formula>AND($AD$131&lt;&gt;"",$AD$131&lt;&gt;"エディション移行：バージョンアップ")</formula>
    </cfRule>
  </conditionalFormatting>
  <conditionalFormatting sqref="J131:U133">
    <cfRule type="notContainsBlanks" dxfId="1538" priority="18715">
      <formula>LEN(TRIM(J131))&gt;0</formula>
    </cfRule>
    <cfRule type="expression" dxfId="1537" priority="18716">
      <formula>COUNTIF($BI$54:$CE$63,"*FinalCode*")</formula>
    </cfRule>
  </conditionalFormatting>
  <conditionalFormatting sqref="M33">
    <cfRule type="notContainsBlanks" dxfId="1536" priority="28" stopIfTrue="1">
      <formula>LEN(TRIM(M33))&gt;0</formula>
    </cfRule>
  </conditionalFormatting>
  <conditionalFormatting sqref="M35">
    <cfRule type="notContainsBlanks" dxfId="1535" priority="25" stopIfTrue="1">
      <formula>LEN(TRIM(M35))&gt;0</formula>
    </cfRule>
  </conditionalFormatting>
  <conditionalFormatting sqref="M52">
    <cfRule type="notContainsBlanks" dxfId="1534" priority="18" stopIfTrue="1">
      <formula>LEN(TRIM(M52))&gt;0</formula>
    </cfRule>
  </conditionalFormatting>
  <conditionalFormatting sqref="M54">
    <cfRule type="notContainsBlanks" dxfId="1533" priority="15" stopIfTrue="1">
      <formula>LEN(TRIM(M54))&gt;0</formula>
    </cfRule>
  </conditionalFormatting>
  <conditionalFormatting sqref="M71">
    <cfRule type="expression" dxfId="1532" priority="20755">
      <formula>AND($M$71="無",$AD$87="エディション移行")</formula>
    </cfRule>
    <cfRule type="expression" dxfId="1531" priority="20754">
      <formula>AND($M$71="無",OR(COUNTIF($AD$87,"*更新*"),COUNTIF($AA$113,"*更新*"),COUNTIF($BP$149,"*更新*")))</formula>
    </cfRule>
    <cfRule type="expression" dxfId="1530" priority="20753">
      <formula>AND($M$71="無",OR(COUNTIF($AD$87,"*追加*"),COUNTIF($AA$113,"*追加*"),COUNTIF($BP$149,"*追加*")))</formula>
    </cfRule>
    <cfRule type="notContainsBlanks" dxfId="1529" priority="20749" stopIfTrue="1">
      <formula>LEN(TRIM(M71))&gt;0</formula>
    </cfRule>
    <cfRule type="expression" dxfId="1528" priority="20752">
      <formula>AND($M$71="無",AND(COUNTIF($AD$131,"*更新*"),COUNTIF($AD$131,"&lt;&gt;*エディション移行*")))</formula>
    </cfRule>
    <cfRule type="expression" dxfId="1527" priority="20751">
      <formula>AND($M$71="無",AND(COUNTIF($AD$131,"*追加*"),COUNTIF($AD$131,"&lt;&gt;*エディション移行*")))</formula>
    </cfRule>
    <cfRule type="expression" dxfId="1526" priority="20750">
      <formula>AND($M$71="有",OR(COUNTIF($J$149,"*同時購入*"),COUNTIF($J$149,"*他製品*")))</formula>
    </cfRule>
    <cfRule type="containsBlanks" dxfId="1525" priority="20756">
      <formula>LEN(TRIM(M71))=0</formula>
    </cfRule>
  </conditionalFormatting>
  <conditionalFormatting sqref="M74 AS74 B74:L76">
    <cfRule type="expression" dxfId="1524" priority="57">
      <formula>OR($M$71="",$M$71="有")</formula>
    </cfRule>
  </conditionalFormatting>
  <conditionalFormatting sqref="M74">
    <cfRule type="expression" dxfId="1523" priority="20849">
      <formula>AND($M$71="無",OR(AND($AD$87="新規",$BO$87="無"),AND($AA$113="新規",$BR$113="無"),AND($AD$131="新規",$CC$131="無")))</formula>
    </cfRule>
    <cfRule type="notContainsBlanks" dxfId="1522" priority="20846" stopIfTrue="1">
      <formula>LEN(TRIM(M74))&gt;0</formula>
    </cfRule>
  </conditionalFormatting>
  <conditionalFormatting sqref="M77">
    <cfRule type="notContainsBlanks" dxfId="1521" priority="510">
      <formula>LEN(TRIM(M77))&gt;0</formula>
    </cfRule>
  </conditionalFormatting>
  <conditionalFormatting sqref="M125:Y127">
    <cfRule type="expression" dxfId="1520" priority="20780">
      <formula>AND(OR($AA$113="新規",$AA$113="追加",$AA$113="追加(更新同時)"))</formula>
    </cfRule>
    <cfRule type="notContainsBlanks" dxfId="1519" priority="20779" stopIfTrue="1">
      <formula>LEN(TRIM(M125))&gt;0</formula>
    </cfRule>
  </conditionalFormatting>
  <conditionalFormatting sqref="M77:AK79">
    <cfRule type="expression" dxfId="1518" priority="511">
      <formula>$M$71="有"</formula>
    </cfRule>
  </conditionalFormatting>
  <conditionalFormatting sqref="M74:AR76">
    <cfRule type="expression" dxfId="1517" priority="20848">
      <formula>AND(OR(J$149="標準(DigitalArts@Cloud同時購入)",$J$149="標準(弊社他製品利用)",$J$149="標準(Desk@Cloud単独購入/保有)"),$J$152="無")</formula>
    </cfRule>
    <cfRule type="expression" dxfId="1516" priority="20847">
      <formula>$M$71="無"</formula>
    </cfRule>
  </conditionalFormatting>
  <conditionalFormatting sqref="M140:AR140">
    <cfRule type="expression" dxfId="1515" priority="19992">
      <formula>AND($AD$131=("新規"),$CC$131=("無"))</formula>
    </cfRule>
    <cfRule type="notContainsBlanks" dxfId="1514" priority="325">
      <formula>LEN(TRIM(M140))&gt;0</formula>
    </cfRule>
  </conditionalFormatting>
  <conditionalFormatting sqref="N90 U90">
    <cfRule type="expression" dxfId="1513" priority="637">
      <formula>$AD$87="新規"</formula>
    </cfRule>
  </conditionalFormatting>
  <conditionalFormatting sqref="N99">
    <cfRule type="notContainsBlanks" dxfId="1512" priority="68">
      <formula>LEN(TRIM(N99))&gt;0</formula>
    </cfRule>
    <cfRule type="expression" dxfId="1511" priority="19403">
      <formula>$AD$87&lt;&gt;""</formula>
    </cfRule>
  </conditionalFormatting>
  <conditionalFormatting sqref="N96:X98">
    <cfRule type="expression" dxfId="1510" priority="71">
      <formula>NOT(OR($AD$87="更新",$AD$87="更新(減数)",$AD$87=""))</formula>
    </cfRule>
    <cfRule type="notContainsBlanks" dxfId="1509" priority="53" stopIfTrue="1">
      <formula>LEN(TRIM(N96))&gt;0</formula>
    </cfRule>
  </conditionalFormatting>
  <conditionalFormatting sqref="P99">
    <cfRule type="expression" dxfId="1508" priority="65">
      <formula>$N$99="有"</formula>
    </cfRule>
  </conditionalFormatting>
  <conditionalFormatting sqref="P102 BA102 BT102 CM102 J105 V105 BA105 BT105 CM105">
    <cfRule type="expression" dxfId="1507" priority="217">
      <formula>AND($J$87&lt;&gt;"",$AD$87&lt;&gt;"",$AD$87&lt;&gt;"更新")</formula>
    </cfRule>
  </conditionalFormatting>
  <conditionalFormatting sqref="P134 X134:BR136">
    <cfRule type="expression" dxfId="1506" priority="498">
      <formula>AND($AD$131&lt;&gt;"新規",$AD$131&lt;&gt;"")</formula>
    </cfRule>
  </conditionalFormatting>
  <conditionalFormatting sqref="P137 AK137 AX137:CJ139">
    <cfRule type="expression" dxfId="1505" priority="56">
      <formula>AND(COUNTIF($AD$131,"*更新*")&gt;0,COUNTIF($AD$131,"*追加*")=0)</formula>
    </cfRule>
  </conditionalFormatting>
  <conditionalFormatting sqref="P137 AK137 BE137:BG139 BP137:BR139">
    <cfRule type="expression" dxfId="1504" priority="657">
      <formula>$AD$131 &lt;&gt; ""</formula>
    </cfRule>
  </conditionalFormatting>
  <conditionalFormatting sqref="P108:AA109">
    <cfRule type="expression" dxfId="1503" priority="88">
      <formula>$P$108="要確認"</formula>
    </cfRule>
    <cfRule type="expression" dxfId="1502" priority="95">
      <formula>$P$108="正常"</formula>
    </cfRule>
  </conditionalFormatting>
  <conditionalFormatting sqref="P99:DL101">
    <cfRule type="expression" dxfId="1501" priority="59">
      <formula>$N$99=""</formula>
    </cfRule>
  </conditionalFormatting>
  <conditionalFormatting sqref="R102 Z102">
    <cfRule type="expression" dxfId="1500" priority="205" stopIfTrue="1">
      <formula>$P$102="無"</formula>
    </cfRule>
  </conditionalFormatting>
  <conditionalFormatting sqref="R152:AX154">
    <cfRule type="expression" dxfId="1499" priority="530">
      <formula>AND($BP$149="新規",OR($J$152="無",$J$152=""))</formula>
    </cfRule>
  </conditionalFormatting>
  <conditionalFormatting sqref="S137 X137">
    <cfRule type="expression" dxfId="1498" priority="9">
      <formula>$P$137="無"</formula>
    </cfRule>
  </conditionalFormatting>
  <conditionalFormatting sqref="T155">
    <cfRule type="expression" dxfId="1497" priority="274">
      <formula>COUNTIF($J$149,"*単独*")&gt;0</formula>
    </cfRule>
    <cfRule type="expression" dxfId="1496" priority="612">
      <formula>$BP$149&lt;&gt;""</formula>
    </cfRule>
  </conditionalFormatting>
  <conditionalFormatting sqref="V105:AA107">
    <cfRule type="expression" dxfId="1495" priority="185">
      <formula>$BA$87&gt;$V$105</formula>
    </cfRule>
  </conditionalFormatting>
  <conditionalFormatting sqref="X137">
    <cfRule type="expression" dxfId="1494" priority="669">
      <formula>$P$137="有"</formula>
    </cfRule>
    <cfRule type="cellIs" dxfId="1493" priority="369" operator="between">
      <formula>1</formula>
      <formula>9</formula>
    </cfRule>
    <cfRule type="expression" dxfId="1492" priority="518">
      <formula>AND($BO$131&lt;&gt;"",$X$137&gt;$BO$131)</formula>
    </cfRule>
  </conditionalFormatting>
  <conditionalFormatting sqref="Y80 AX80:CO81 AX82 BM82 BR82">
    <cfRule type="expression" dxfId="1491" priority="1">
      <formula>$M$71=""</formula>
    </cfRule>
  </conditionalFormatting>
  <conditionalFormatting sqref="Y96:BJ98">
    <cfRule type="expression" dxfId="1490" priority="44">
      <formula>OR($N$96="有（f-FILTERシリアルなし）",$N$96="無",$N$96="")</formula>
    </cfRule>
  </conditionalFormatting>
  <conditionalFormatting sqref="Y119:CO121">
    <cfRule type="expression" dxfId="1489" priority="96">
      <formula>$I$119="無"</formula>
    </cfRule>
  </conditionalFormatting>
  <conditionalFormatting sqref="Z102 V105 P102 BA102 BT102 CM102 J105 BA105 BT105 CM105">
    <cfRule type="notContainsBlanks" dxfId="1488" priority="207">
      <formula>LEN(TRIM(J102))&gt;0</formula>
    </cfRule>
  </conditionalFormatting>
  <conditionalFormatting sqref="Z122 AT122">
    <cfRule type="expression" dxfId="1487" priority="120">
      <formula>OR($M$122="無")</formula>
    </cfRule>
  </conditionalFormatting>
  <conditionalFormatting sqref="Z152">
    <cfRule type="expression" dxfId="1486" priority="616">
      <formula>AND($BP$149&lt;&gt;"新規",$BP$149&lt;&gt;"")</formula>
    </cfRule>
    <cfRule type="expression" dxfId="1485" priority="618">
      <formula>$J$152="有"</formula>
    </cfRule>
  </conditionalFormatting>
  <conditionalFormatting sqref="Z102:AA104">
    <cfRule type="expression" dxfId="1484" priority="213">
      <formula>$P$102="有"</formula>
    </cfRule>
  </conditionalFormatting>
  <conditionalFormatting sqref="Z125:BJ127">
    <cfRule type="expression" dxfId="1483" priority="36">
      <formula>OR($M$125="有（f-FILTERシリアルなし）",$M$125="無",$M$125="")</formula>
    </cfRule>
  </conditionalFormatting>
  <conditionalFormatting sqref="AA113">
    <cfRule type="expression" dxfId="1482" priority="20323">
      <formula>$H$113&lt;&gt;""</formula>
    </cfRule>
  </conditionalFormatting>
  <conditionalFormatting sqref="AA149:BG151">
    <cfRule type="expression" dxfId="1481" priority="514">
      <formula>AND($J$149&lt;&gt;"",COUNTIF($J$149,"*購入*")&gt;0)</formula>
    </cfRule>
  </conditionalFormatting>
  <conditionalFormatting sqref="AB99">
    <cfRule type="expression" dxfId="1480" priority="19404">
      <formula>$N$99="有"</formula>
    </cfRule>
  </conditionalFormatting>
  <conditionalFormatting sqref="AB134 AI134">
    <cfRule type="expression" dxfId="1479" priority="659">
      <formula>$AD$131="新規"</formula>
    </cfRule>
  </conditionalFormatting>
  <conditionalFormatting sqref="AD33">
    <cfRule type="notContainsBlanks" dxfId="1478" priority="27" stopIfTrue="1">
      <formula>LEN(TRIM(AD33))&gt;0</formula>
    </cfRule>
  </conditionalFormatting>
  <conditionalFormatting sqref="AD52">
    <cfRule type="notContainsBlanks" dxfId="1477" priority="17" stopIfTrue="1">
      <formula>LEN(TRIM(AD52))&gt;0</formula>
    </cfRule>
  </conditionalFormatting>
  <conditionalFormatting sqref="AD87 AA113">
    <cfRule type="expression" dxfId="1476" priority="671">
      <formula>AND($AZ$71="はい",AND($AD$87&lt;&gt;"新規",$AA$113&lt;&gt;"新規"))</formula>
    </cfRule>
  </conditionalFormatting>
  <conditionalFormatting sqref="AD87">
    <cfRule type="expression" dxfId="1475" priority="642">
      <formula>$J$87&lt;&gt;""</formula>
    </cfRule>
  </conditionalFormatting>
  <conditionalFormatting sqref="AD131 AA113">
    <cfRule type="expression" dxfId="1474" priority="672">
      <formula>AND($BR$71="はい",AND($AA$113&lt;&gt;"新規",$AD$131&lt;&gt;"新規"))</formula>
    </cfRule>
  </conditionalFormatting>
  <conditionalFormatting sqref="AD131 AD87 AA113">
    <cfRule type="expression" dxfId="1473" priority="658">
      <formula>AND(COUNTIF($J$149,"*同時購入*"),AND($AD$87&lt;&gt;"新規",$AA$113&lt;&gt;"新規",$AD$131&lt;&gt;"新規"))</formula>
    </cfRule>
  </conditionalFormatting>
  <conditionalFormatting sqref="AD131">
    <cfRule type="expression" dxfId="1472" priority="650">
      <formula>$J$131&lt;&gt;""</formula>
    </cfRule>
  </conditionalFormatting>
  <conditionalFormatting sqref="AG37:BF39 AG40">
    <cfRule type="notContainsBlanks" dxfId="1471" priority="23" stopIfTrue="1">
      <formula>LEN(TRIM(AG37))&gt;0</formula>
    </cfRule>
  </conditionalFormatting>
  <conditionalFormatting sqref="AG56:BF58 AG59">
    <cfRule type="notContainsBlanks" dxfId="1470" priority="13" stopIfTrue="1">
      <formula>LEN(TRIM(AG56))&gt;0</formula>
    </cfRule>
  </conditionalFormatting>
  <conditionalFormatting sqref="AI96:BJ98">
    <cfRule type="expression" dxfId="1468" priority="49">
      <formula>OR($N$96="有（f-FILTER保有シリアルあり）",$N$96="有（f-FILTER試用版シリアルあり）")</formula>
    </cfRule>
    <cfRule type="notContainsBlanks" dxfId="1467" priority="45" stopIfTrue="1">
      <formula>LEN(TRIM(AI96))&gt;0</formula>
    </cfRule>
  </conditionalFormatting>
  <conditionalFormatting sqref="AJ25">
    <cfRule type="notContainsBlanks" dxfId="1466" priority="198" stopIfTrue="1">
      <formula>LEN(TRIM(AJ25))&gt;0</formula>
    </cfRule>
  </conditionalFormatting>
  <conditionalFormatting sqref="AJ125:BJ127">
    <cfRule type="notContainsBlanks" dxfId="1465" priority="38" stopIfTrue="1">
      <formula>LEN(TRIM(AJ125))&gt;0</formula>
    </cfRule>
    <cfRule type="expression" dxfId="1464" priority="40">
      <formula>OR($M$125="有（f-FILTER保有シリアルあり）",$M$125="有（f-FILTER試用版シリアルあり）")</formula>
    </cfRule>
  </conditionalFormatting>
  <conditionalFormatting sqref="AK113:AY115">
    <cfRule type="expression" dxfId="1463" priority="7">
      <formula>COUNTIF($H$113,"誤送信対策版")</formula>
    </cfRule>
  </conditionalFormatting>
  <conditionalFormatting sqref="AM35">
    <cfRule type="notContainsBlanks" dxfId="1462" priority="30" stopIfTrue="1">
      <formula>LEN(TRIM(AM35))&gt;0</formula>
    </cfRule>
  </conditionalFormatting>
  <conditionalFormatting sqref="AM54">
    <cfRule type="notContainsBlanks" dxfId="1461" priority="20" stopIfTrue="1">
      <formula>LEN(TRIM(AM54))&gt;0</formula>
    </cfRule>
  </conditionalFormatting>
  <conditionalFormatting sqref="AM119:BQ121">
    <cfRule type="expression" dxfId="1460" priority="19141">
      <formula>$I$119="有/暗号化強固OP保有あり"</formula>
    </cfRule>
  </conditionalFormatting>
  <conditionalFormatting sqref="AM119:CO121">
    <cfRule type="expression" dxfId="1459" priority="20777">
      <formula>$I$119=""</formula>
    </cfRule>
  </conditionalFormatting>
  <conditionalFormatting sqref="AN137 AS137">
    <cfRule type="expression" dxfId="1458" priority="335">
      <formula>$AK$137="無"</formula>
    </cfRule>
  </conditionalFormatting>
  <conditionalFormatting sqref="AN137">
    <cfRule type="expression" dxfId="1457" priority="519">
      <formula>$BC$136="無"</formula>
    </cfRule>
  </conditionalFormatting>
  <conditionalFormatting sqref="AN155:AU157">
    <cfRule type="expression" dxfId="1456" priority="611">
      <formula>$BP$149&lt;&gt;""</formula>
    </cfRule>
  </conditionalFormatting>
  <conditionalFormatting sqref="AP134:AR136">
    <cfRule type="expression" dxfId="1454" priority="652">
      <formula>$AI$84="新規"</formula>
    </cfRule>
  </conditionalFormatting>
  <conditionalFormatting sqref="AQ113:AY115">
    <cfRule type="expression" dxfId="1453" priority="20850">
      <formula>$AA$113&lt;&gt;""</formula>
    </cfRule>
    <cfRule type="notContainsBlanks" dxfId="1452" priority="6">
      <formula>LEN(TRIM(AQ113))&gt;0</formula>
    </cfRule>
  </conditionalFormatting>
  <conditionalFormatting sqref="AR28">
    <cfRule type="notContainsBlanks" dxfId="1451" priority="197" stopIfTrue="1">
      <formula>LEN(TRIM(AR28))&gt;0</formula>
    </cfRule>
  </conditionalFormatting>
  <conditionalFormatting sqref="AR28:BF29">
    <cfRule type="expression" dxfId="1450" priority="192" stopIfTrue="1">
      <formula>OR($AR$28="文教",$AR$28="官公庁／自治体",$AR$28="その他公共",$AR$28="企業")</formula>
    </cfRule>
  </conditionalFormatting>
  <conditionalFormatting sqref="AS137 X137">
    <cfRule type="notContainsBlanks" dxfId="1449" priority="634">
      <formula>LEN(TRIM(X137))&gt;0</formula>
    </cfRule>
  </conditionalFormatting>
  <conditionalFormatting sqref="AS137">
    <cfRule type="cellIs" dxfId="1448" priority="489" operator="between">
      <formula>1</formula>
      <formula>9</formula>
    </cfRule>
    <cfRule type="expression" dxfId="1447" priority="526" stopIfTrue="1">
      <formula>AND($BO$131&lt;&gt;"",$AS$137&gt;$BO$131)</formula>
    </cfRule>
    <cfRule type="expression" dxfId="1446" priority="665">
      <formula>$AK$137="有"</formula>
    </cfRule>
  </conditionalFormatting>
  <conditionalFormatting sqref="AS87:AZ89">
    <cfRule type="expression" dxfId="1445" priority="20761">
      <formula>NOT(OR($AA$113="新規",$AA$113=""))</formula>
    </cfRule>
  </conditionalFormatting>
  <conditionalFormatting sqref="AS87:BF89">
    <cfRule type="expression" dxfId="1444" priority="291">
      <formula>$AD$87="更新"</formula>
    </cfRule>
  </conditionalFormatting>
  <conditionalFormatting sqref="AT119 AK119">
    <cfRule type="expression" dxfId="1443" priority="19397">
      <formula>$I$119="有/暗号化強固OP保有なし"</formula>
    </cfRule>
  </conditionalFormatting>
  <conditionalFormatting sqref="AT119">
    <cfRule type="expression" dxfId="1442" priority="20759">
      <formula>OR($AA$113="更新",$AA$113="更新(減数)")</formula>
    </cfRule>
  </conditionalFormatting>
  <conditionalFormatting sqref="AT122 B122:Z122 B123:Y124 B125 M125">
    <cfRule type="expression" dxfId="1441" priority="20740">
      <formula>OR($AA$113="更新",$AA$113="更新(減数)")</formula>
    </cfRule>
  </conditionalFormatting>
  <conditionalFormatting sqref="AT122 AK119 AT119 CB119 DJ119 M122 CM116 AA113 BF113 BR113 CC113 DH113 N116 U116 BR116 I119">
    <cfRule type="notContainsBlanks" dxfId="1440" priority="121" stopIfTrue="1">
      <formula>LEN(TRIM(I113))&gt;0</formula>
    </cfRule>
  </conditionalFormatting>
  <conditionalFormatting sqref="AT122">
    <cfRule type="expression" dxfId="1439" priority="153">
      <formula>OR($M$122="有/エンタープライズプラン（100MB）",$M$122="有/ビジネスプラン（20MB）",$M$122="有/エコノミープラン（10MB）")</formula>
    </cfRule>
  </conditionalFormatting>
  <conditionalFormatting sqref="AT122:AZ124">
    <cfRule type="expression" dxfId="1438" priority="20324">
      <formula>$M$71=""</formula>
    </cfRule>
    <cfRule type="expression" dxfId="1437" priority="20326">
      <formula>$H$113="誤送信対策版"</formula>
    </cfRule>
  </conditionalFormatting>
  <conditionalFormatting sqref="AU33">
    <cfRule type="notContainsBlanks" dxfId="1436" priority="26" stopIfTrue="1">
      <formula>LEN(TRIM(AU33))&gt;0</formula>
    </cfRule>
  </conditionalFormatting>
  <conditionalFormatting sqref="AU52">
    <cfRule type="notContainsBlanks" dxfId="1435" priority="16" stopIfTrue="1">
      <formula>LEN(TRIM(AU52))&gt;0</formula>
    </cfRule>
  </conditionalFormatting>
  <conditionalFormatting sqref="AV155:BN157">
    <cfRule type="expression" dxfId="1434" priority="515">
      <formula>$AN$155="無"</formula>
    </cfRule>
  </conditionalFormatting>
  <conditionalFormatting sqref="AX80 CJ90 N90 U90 BP90 J87 AD87 BA87 BO87 BZ87 BR80">
    <cfRule type="notContainsBlanks" dxfId="1433" priority="101" stopIfTrue="1">
      <formula>LEN(TRIM(J80))&gt;0</formula>
    </cfRule>
  </conditionalFormatting>
  <conditionalFormatting sqref="AX82 AX80">
    <cfRule type="expression" dxfId="1432" priority="20128">
      <formula>AND(COUNTIF($AX$80:$BL$83,"*はい*")=0,$CZ$119="有")</formula>
    </cfRule>
    <cfRule type="expression" dxfId="1431" priority="20129">
      <formula>AND(COUNTIF($AX$80:$BL$83,"*はい*")=0,$BU$93="有")</formula>
    </cfRule>
  </conditionalFormatting>
  <conditionalFormatting sqref="AX80:BL81 AX82">
    <cfRule type="expression" dxfId="1430" priority="73">
      <formula>NOT(OR($AD$87="新規",COUNTIF($AD$87,"追加*")&gt;0,$AA$113="新規",COUNTIF($AA$113,"追加*")&gt;0))</formula>
    </cfRule>
    <cfRule type="expression" dxfId="1429" priority="69">
      <formula>AND(COUNTIF($BI$54:$CE$63,"i‐FILTER@Cloud")=0,COUNTIF($BI$54:$CE$63,"*m-FILTER*")=0)</formula>
    </cfRule>
  </conditionalFormatting>
  <conditionalFormatting sqref="AX80:BL83">
    <cfRule type="expression" dxfId="1428" priority="109">
      <formula>OR($AD$87="新規",$AA$113="新規")</formula>
    </cfRule>
  </conditionalFormatting>
  <conditionalFormatting sqref="AX82:BL83">
    <cfRule type="notContainsBlanks" priority="108" stopIfTrue="1">
      <formula>LEN(TRIM(AX82))&gt;0</formula>
    </cfRule>
  </conditionalFormatting>
  <conditionalFormatting sqref="AY152:BJ154">
    <cfRule type="expression" dxfId="1427" priority="264">
      <formula>$J$149&lt;&gt;"標準(Desk@Cloud単独購入/保有)"</formula>
    </cfRule>
    <cfRule type="expression" dxfId="1426" priority="268">
      <formula>AND($BP$149&lt;&gt;"",$BP$149&lt;&gt;"新規",COUNTIF($BP$149,"&lt;&gt;*更新*"))</formula>
    </cfRule>
  </conditionalFormatting>
  <conditionalFormatting sqref="AZ42:BF44">
    <cfRule type="expression" dxfId="1425" priority="32">
      <formula>$AZ$42="いいえ"</formula>
    </cfRule>
    <cfRule type="expression" dxfId="1424" priority="31">
      <formula>$AZ$42="はい"</formula>
    </cfRule>
  </conditionalFormatting>
  <conditionalFormatting sqref="AZ61:BF63">
    <cfRule type="expression" dxfId="1423" priority="21">
      <formula>$AZ$61="いいえ"</formula>
    </cfRule>
    <cfRule type="expression" dxfId="1422" priority="22">
      <formula>$AZ$61="はい"</formula>
    </cfRule>
  </conditionalFormatting>
  <conditionalFormatting sqref="BA87">
    <cfRule type="expression" dxfId="1421" priority="20133">
      <formula>OR($AD$87="新規",$AD$87&lt;&gt;"")</formula>
    </cfRule>
    <cfRule type="expression" dxfId="1420" priority="20132">
      <formula>OR(AND($J$105="端末数",$BA$87&lt;&gt;$AG$105,$AG$105&lt;&gt;0),AND($BA$87&gt;$V$105,$V$105&lt;&gt;0),AND($AG$105&gt;$BA$87*3,$AG$105&lt;&gt;0))</formula>
    </cfRule>
  </conditionalFormatting>
  <conditionalFormatting sqref="BD155:BK157">
    <cfRule type="expression" dxfId="1419" priority="610">
      <formula>$AN$155="有"</formula>
    </cfRule>
  </conditionalFormatting>
  <conditionalFormatting sqref="BD4:BX6">
    <cfRule type="expression" dxfId="1418" priority="232">
      <formula>OR($DE$20="",AND($DE$20="異なる",$DE$33=""))</formula>
    </cfRule>
  </conditionalFormatting>
  <conditionalFormatting sqref="BF113 AZ113">
    <cfRule type="expression" dxfId="1417" priority="20385">
      <formula>$AA$113="更新"</formula>
    </cfRule>
  </conditionalFormatting>
  <conditionalFormatting sqref="BF113">
    <cfRule type="expression" dxfId="1416" priority="20387">
      <formula>OR($AA$113="新規",$AA$113="追加",$AA$113="更新(減数)",$AA$113="追加(更新同時)")</formula>
    </cfRule>
  </conditionalFormatting>
  <conditionalFormatting sqref="BG152">
    <cfRule type="notContainsBlanks" dxfId="1415" priority="513">
      <formula>LEN(TRIM(BG152))&gt;0</formula>
    </cfRule>
  </conditionalFormatting>
  <conditionalFormatting sqref="BG152:BJ154">
    <cfRule type="expression" dxfId="1414" priority="18714">
      <formula>AND($J$149="標準(Desk@Cloud単独購入/保有)",OR($BP$149="新規",COUNTIF($BP$149,"*更新*")))</formula>
    </cfRule>
  </conditionalFormatting>
  <conditionalFormatting sqref="BG87:BQ89 B99:O101">
    <cfRule type="expression" dxfId="1413" priority="106">
      <formula>AND($AD$87&lt;&gt;"新規",$AD$87&lt;&gt;"")</formula>
    </cfRule>
  </conditionalFormatting>
  <conditionalFormatting sqref="BG87:BQ89">
    <cfRule type="expression" dxfId="1412" priority="372">
      <formula>OR($AD$87="追加",$AD$87="追加(エディション移行同時)")</formula>
    </cfRule>
  </conditionalFormatting>
  <conditionalFormatting sqref="BG131:BT133">
    <cfRule type="expression" dxfId="1411" priority="367">
      <formula>AND(COUNTIF($AD$131,"*更新*")&gt;0,COUNTIF($AD$131,"*追加*")=0,COUNTIF($AD$131,"*減数*")=0)</formula>
    </cfRule>
  </conditionalFormatting>
  <conditionalFormatting sqref="BI50">
    <cfRule type="containsBlanks" dxfId="1410" priority="12">
      <formula>LEN(TRIM(BI50))=0</formula>
    </cfRule>
  </conditionalFormatting>
  <conditionalFormatting sqref="BI22:BN22 BI23:BM23 BI33:DK34 BI35:BN35 BI36:BM36">
    <cfRule type="expression" dxfId="1409" priority="302">
      <formula>$DE$20="同じ"</formula>
    </cfRule>
  </conditionalFormatting>
  <conditionalFormatting sqref="BI35:BN35 BI36:BM36">
    <cfRule type="expression" dxfId="1408" priority="303">
      <formula>$DE$33="同じ"</formula>
    </cfRule>
  </conditionalFormatting>
  <conditionalFormatting sqref="BI54:CE63">
    <cfRule type="notContainsBlanks" dxfId="1407" priority="327">
      <formula>LEN(TRIM(BI54))&gt;0</formula>
    </cfRule>
  </conditionalFormatting>
  <conditionalFormatting sqref="BI24:DK31">
    <cfRule type="expression" dxfId="1406" priority="233">
      <formula>$DE$20="同じ"</formula>
    </cfRule>
  </conditionalFormatting>
  <conditionalFormatting sqref="BI37:DK44">
    <cfRule type="expression" dxfId="1405" priority="235">
      <formula>$DE$33="同じ"</formula>
    </cfRule>
    <cfRule type="expression" dxfId="1404" priority="98">
      <formula>$DE$20="同じ"</formula>
    </cfRule>
  </conditionalFormatting>
  <conditionalFormatting sqref="BK90 BP90 CJ90:CM90 CB90 CU90 CJ91:CL92">
    <cfRule type="expression" dxfId="1403" priority="371">
      <formula>$AD$87="更新(減数)"</formula>
    </cfRule>
  </conditionalFormatting>
  <conditionalFormatting sqref="BK122:BW124">
    <cfRule type="expression" dxfId="1402" priority="20762">
      <formula>OR($AA$113="更新",$AA$113="更新(減数)")</formula>
    </cfRule>
  </conditionalFormatting>
  <conditionalFormatting sqref="BK116:CA118">
    <cfRule type="expression" dxfId="1401" priority="20327">
      <formula>$H$113="MailFilter &amp; Anti-Spam"</formula>
    </cfRule>
  </conditionalFormatting>
  <conditionalFormatting sqref="BK116:CO118 DC119:DL121 M122 B122 Z122">
    <cfRule type="expression" dxfId="1400" priority="20763">
      <formula>OR($AA$113="更新(減数)",$AA$113="更新")</formula>
    </cfRule>
  </conditionalFormatting>
  <conditionalFormatting sqref="BM80:BQ81">
    <cfRule type="expression" dxfId="1399" priority="145">
      <formula>NOT($AX$80="はい/通知先記入")</formula>
    </cfRule>
  </conditionalFormatting>
  <conditionalFormatting sqref="BM82:BQ83">
    <cfRule type="expression" dxfId="1398" priority="105">
      <formula>$AX$82&lt;&gt;"はい/通知先記入"</formula>
    </cfRule>
  </conditionalFormatting>
  <conditionalFormatting sqref="BN35 BN22 DE33 BT37 CK37 BT39 CT39 BN41:CJ44 CP41:DK44 BT24 CK24 BT26 CT26 BN28:CJ31 CP28:DK31 DE20">
    <cfRule type="notContainsBlanks" dxfId="1397" priority="304" stopIfTrue="1">
      <formula>LEN(TRIM(BN20))&gt;0</formula>
    </cfRule>
  </conditionalFormatting>
  <conditionalFormatting sqref="BO87">
    <cfRule type="expression" dxfId="1396" priority="638">
      <formula>$AD$87&lt;&gt;""</formula>
    </cfRule>
  </conditionalFormatting>
  <conditionalFormatting sqref="BO131">
    <cfRule type="expression" dxfId="1395" priority="651">
      <formula>$AD$131&lt;&gt;""</formula>
    </cfRule>
  </conditionalFormatting>
  <conditionalFormatting sqref="BO87:BQ89">
    <cfRule type="expression" dxfId="1394" priority="641">
      <formula>$AD$87&lt;&gt;""</formula>
    </cfRule>
  </conditionalFormatting>
  <conditionalFormatting sqref="BO131:BT133">
    <cfRule type="expression" dxfId="1393" priority="670">
      <formula>AND($AD$131="新規",$BO$131&lt;10)</formula>
    </cfRule>
  </conditionalFormatting>
  <conditionalFormatting sqref="BP149">
    <cfRule type="expression" dxfId="1390" priority="543">
      <formula>$J$149="標準(Desk@Cloud単独購入/保有)"</formula>
    </cfRule>
  </conditionalFormatting>
  <conditionalFormatting sqref="BR113 J116:BD118 BK113 B116">
    <cfRule type="expression" dxfId="1389" priority="20393" stopIfTrue="1">
      <formula>AND($AA$113&lt;&gt;"新規",$AA$113&lt;&gt;"")</formula>
    </cfRule>
  </conditionalFormatting>
  <conditionalFormatting sqref="BR113:BT115 N116 U116">
    <cfRule type="expression" dxfId="1388" priority="20377">
      <formula>$AA$113="新規"</formula>
    </cfRule>
  </conditionalFormatting>
  <conditionalFormatting sqref="BR116:CA118 M122">
    <cfRule type="expression" dxfId="1387" priority="20769">
      <formula>OR($AA$113="追加",$AA$113="新規",$AA$113="追加(更新同時)")</formula>
    </cfRule>
  </conditionalFormatting>
  <conditionalFormatting sqref="BR80:CO81">
    <cfRule type="expression" dxfId="1386" priority="107">
      <formula>$AX$80&lt;&gt;"はい/通知先記入"</formula>
    </cfRule>
    <cfRule type="expression" dxfId="1385" priority="146">
      <formula>$AX$80="はい/通知先記入"</formula>
    </cfRule>
  </conditionalFormatting>
  <conditionalFormatting sqref="BR82:CO83">
    <cfRule type="expression" dxfId="1384" priority="104">
      <formula>$AX$82="はい/通知先記入"</formula>
    </cfRule>
    <cfRule type="notContainsBlanks" priority="102" stopIfTrue="1">
      <formula>LEN(TRIM(BR82))&gt;0</formula>
    </cfRule>
    <cfRule type="expression" dxfId="1383" priority="103">
      <formula>$AX$82&lt;&gt;"はい/通知先記入"</formula>
    </cfRule>
  </conditionalFormatting>
  <conditionalFormatting sqref="BT122:BW124">
    <cfRule type="notContainsBlanks" dxfId="1382" priority="117" stopIfTrue="1">
      <formula>LEN(TRIM(BT122))&gt;0</formula>
    </cfRule>
  </conditionalFormatting>
  <conditionalFormatting sqref="BU93 BK93">
    <cfRule type="expression" dxfId="1381" priority="162">
      <formula>$AD$87="更新(減数)"</formula>
    </cfRule>
  </conditionalFormatting>
  <conditionalFormatting sqref="BU93">
    <cfRule type="notContainsBlanks" dxfId="1380" priority="93" stopIfTrue="1">
      <formula>LEN(TRIM(BU93))&gt;0</formula>
    </cfRule>
  </conditionalFormatting>
  <conditionalFormatting sqref="BU93:BW95 BU99:BW101">
    <cfRule type="expression" dxfId="1379" priority="46">
      <formula>$M$71=""</formula>
    </cfRule>
    <cfRule type="expression" dxfId="1378" priority="47">
      <formula>OR($AD$87="更新",$AD$87="更新(減数)")</formula>
    </cfRule>
    <cfRule type="expression" dxfId="1377" priority="166">
      <formula>AND($J$87="標準",$AD$87 &lt;&gt; "")</formula>
    </cfRule>
  </conditionalFormatting>
  <conditionalFormatting sqref="BY4">
    <cfRule type="expression" dxfId="1376" priority="20328">
      <formula>OR($M$71="",AND($J$87="",$H$113="",$J$131="",$J$149=""))</formula>
    </cfRule>
  </conditionalFormatting>
  <conditionalFormatting sqref="BZ87 BP90 CJ90:CL92">
    <cfRule type="expression" dxfId="1375" priority="19118">
      <formula>$AD$87 &lt;&gt; ""</formula>
    </cfRule>
  </conditionalFormatting>
  <conditionalFormatting sqref="CB90 CJ90:CM90 CU90 CJ91:CL92 BK93:BW95 BK99:BW101">
    <cfRule type="expression" dxfId="1374" priority="48">
      <formula>$J$87="有害情報対策版"</formula>
    </cfRule>
  </conditionalFormatting>
  <conditionalFormatting sqref="CB116 CM116 DC119:DL121">
    <cfRule type="expression" dxfId="1373" priority="58">
      <formula>$M$71=""</formula>
    </cfRule>
  </conditionalFormatting>
  <conditionalFormatting sqref="CB119 AK119">
    <cfRule type="expression" dxfId="1372" priority="182">
      <formula>$I$119="有/暗号化強固OP保有あり"</formula>
    </cfRule>
  </conditionalFormatting>
  <conditionalFormatting sqref="CB119 BR119">
    <cfRule type="expression" dxfId="1371" priority="128">
      <formula>$I$119="有/暗号化強固OP保有なし"</formula>
    </cfRule>
  </conditionalFormatting>
  <conditionalFormatting sqref="CB116:CO118 DC119:DL121 M122 B122 Z122">
    <cfRule type="expression" dxfId="1370" priority="20329">
      <formula>$H$113="誤送信対策版"</formula>
    </cfRule>
  </conditionalFormatting>
  <conditionalFormatting sqref="CC113 BU113:CB115">
    <cfRule type="expression" dxfId="1369" priority="20411" stopIfTrue="1">
      <formula>AND($AA$113="新規",OR($BR$113="無",$BR$113=""))</formula>
    </cfRule>
  </conditionalFormatting>
  <conditionalFormatting sqref="CC113">
    <cfRule type="expression" dxfId="1368" priority="20771">
      <formula>AND($AA$113="新規",$BR$113="有")</formula>
    </cfRule>
    <cfRule type="expression" dxfId="1367" priority="20772">
      <formula>OR($AA$113="追加",$AA$113="更新",$AA$113="更新(減数)",$AA$113="追加(更新同時)")</formula>
    </cfRule>
  </conditionalFormatting>
  <conditionalFormatting sqref="CC131 BU131:CB133">
    <cfRule type="expression" dxfId="1366" priority="520">
      <formula>AND($AD$131&lt;&gt;"新規",$AD$131&lt;&gt;"")</formula>
    </cfRule>
  </conditionalFormatting>
  <conditionalFormatting sqref="CC131">
    <cfRule type="expression" dxfId="1365" priority="653">
      <formula>$AD$131&lt;&gt;""</formula>
    </cfRule>
  </conditionalFormatting>
  <conditionalFormatting sqref="CF58">
    <cfRule type="expression" dxfId="1364" priority="314">
      <formula>AND(BI58&lt;&gt;"",CF58="")</formula>
    </cfRule>
  </conditionalFormatting>
  <conditionalFormatting sqref="CF60">
    <cfRule type="expression" dxfId="1363" priority="295">
      <formula>AND(BI60&lt;&gt;"",CF60="")</formula>
    </cfRule>
  </conditionalFormatting>
  <conditionalFormatting sqref="CF62">
    <cfRule type="expression" dxfId="1362" priority="294">
      <formula>AND(BI62&lt;&gt;"",CF62="")</formula>
    </cfRule>
  </conditionalFormatting>
  <conditionalFormatting sqref="CF149:CM151">
    <cfRule type="expression" dxfId="1361" priority="501">
      <formula>$BP$149="更新"</formula>
    </cfRule>
  </conditionalFormatting>
  <conditionalFormatting sqref="CF54:DB55">
    <cfRule type="notContainsBlanks" dxfId="1360" priority="296">
      <formula>LEN(TRIM(CF54))&gt;0</formula>
    </cfRule>
  </conditionalFormatting>
  <conditionalFormatting sqref="CF56:DB57">
    <cfRule type="expression" dxfId="1359" priority="315">
      <formula>AND(BI56&lt;&gt;"",CF56="")</formula>
    </cfRule>
  </conditionalFormatting>
  <conditionalFormatting sqref="CG152:CQ152 BK152:CP154">
    <cfRule type="expression" dxfId="1358" priority="502">
      <formula>AND($BP$149&lt;&gt;"新規",$BP$149&lt;&gt;"")</formula>
    </cfRule>
  </conditionalFormatting>
  <conditionalFormatting sqref="CH137">
    <cfRule type="cellIs" dxfId="1357" priority="663" operator="equal">
      <formula>"未"</formula>
    </cfRule>
  </conditionalFormatting>
  <conditionalFormatting sqref="CH137:CJ139">
    <cfRule type="expression" dxfId="1356" priority="664">
      <formula>$BP$137="有"</formula>
    </cfRule>
    <cfRule type="cellIs" dxfId="1355" priority="490" operator="equal">
      <formula>"済"</formula>
    </cfRule>
  </conditionalFormatting>
  <conditionalFormatting sqref="CJ93:CL95 CJ99:CL101">
    <cfRule type="expression" dxfId="1354" priority="141">
      <formula>AND(NOT($J$87=""),OR($AD$87="新規",$AD$87="追加",$AD$87="追加(更新同時)"))</formula>
    </cfRule>
    <cfRule type="notContainsBlanks" dxfId="1353" priority="51" stopIfTrue="1">
      <formula>LEN(TRIM(CJ93))&gt;0</formula>
    </cfRule>
    <cfRule type="expression" dxfId="1352" priority="140">
      <formula>$M$71=""</formula>
    </cfRule>
    <cfRule type="expression" dxfId="1351" priority="139">
      <formula>OR($AD$87="更新",$AD$87="更新(減数)")</formula>
    </cfRule>
  </conditionalFormatting>
  <conditionalFormatting sqref="CM116:CO118 DJ119 DJ116:DL118 CZ119:DB121">
    <cfRule type="expression" dxfId="1349" priority="20781">
      <formula>AND(OR($H$113="標準",$H$113="MailFilter &amp; Anti-Spam"),OR($AA$113="新規",$AA$113="追加",$AA$113="追加(更新同時)"))</formula>
    </cfRule>
  </conditionalFormatting>
  <conditionalFormatting sqref="CM90:CU90 CM91:CT92 BK93:BW95 BK99:BW101">
    <cfRule type="expression" dxfId="1348" priority="50">
      <formula>$J$87="GIGAスクール版"</formula>
    </cfRule>
  </conditionalFormatting>
  <conditionalFormatting sqref="CM90:CX92 BR87:CX89">
    <cfRule type="expression" dxfId="1347" priority="482" stopIfTrue="1">
      <formula>AND($AD$87="新規",OR($BO$87="無",$BO$87=""))</formula>
    </cfRule>
  </conditionalFormatting>
  <conditionalFormatting sqref="CM90:CX92">
    <cfRule type="expression" dxfId="1346" priority="175">
      <formula>$J$87="Utility"</formula>
    </cfRule>
  </conditionalFormatting>
  <conditionalFormatting sqref="CN131 CC131 AB134 AI134 J134 BO131 P137 AK137 BE137 BP137 AD131">
    <cfRule type="notContainsBlanks" dxfId="1345" priority="646">
      <formula>LEN(TRIM(J131))&gt;0</formula>
    </cfRule>
  </conditionalFormatting>
  <conditionalFormatting sqref="CN131 CF131:CM133">
    <cfRule type="expression" dxfId="1344" priority="521" stopIfTrue="1">
      <formula>AND($AD$131="新規",OR($CC$131="無",$CC$131=""))</formula>
    </cfRule>
  </conditionalFormatting>
  <conditionalFormatting sqref="CN131">
    <cfRule type="expression" dxfId="1343" priority="675">
      <formula>$AD$131 &lt;&gt; ""</formula>
    </cfRule>
    <cfRule type="expression" dxfId="1342" priority="674">
      <formula>AND($BR$71="はい",$AD$131="新規")</formula>
    </cfRule>
  </conditionalFormatting>
  <conditionalFormatting sqref="CN149 Z152 AN155 BD155 AI149 BV152 CC152 T155 J152 BP149">
    <cfRule type="notContainsBlanks" dxfId="1341" priority="535">
      <formula>LEN(TRIM(J149))&gt;0</formula>
    </cfRule>
  </conditionalFormatting>
  <conditionalFormatting sqref="CN149">
    <cfRule type="expression" dxfId="1340" priority="609">
      <formula>$BP$149&lt;&gt;""</formula>
    </cfRule>
  </conditionalFormatting>
  <conditionalFormatting sqref="CN149:CS151">
    <cfRule type="expression" dxfId="1339" priority="533" stopIfTrue="1">
      <formula>$BP$149="更新"</formula>
    </cfRule>
  </conditionalFormatting>
  <conditionalFormatting sqref="CP119">
    <cfRule type="expression" dxfId="1338" priority="76">
      <formula>$M$71=""</formula>
    </cfRule>
  </conditionalFormatting>
  <conditionalFormatting sqref="CP116:DA118">
    <cfRule type="expression" dxfId="1337" priority="20336" stopIfTrue="1">
      <formula>$H$113="誤送信対策版"</formula>
    </cfRule>
  </conditionalFormatting>
  <conditionalFormatting sqref="CP119:DB121">
    <cfRule type="expression" dxfId="1336" priority="20785">
      <formula>$H$113="誤送信対策版"</formula>
    </cfRule>
    <cfRule type="expression" dxfId="1335" priority="20784">
      <formula>NOT(AND(OR($H$113="標準",$H$113="MailFilter &amp; Anti-Spam"),OR($AA$113="新規",$AA$113="追加",$AA$113="追加(更新同時)")))</formula>
    </cfRule>
  </conditionalFormatting>
  <conditionalFormatting sqref="CP116:DL118">
    <cfRule type="expression" dxfId="1334" priority="20786">
      <formula>$M$71=""</formula>
    </cfRule>
    <cfRule type="expression" dxfId="1333" priority="20787">
      <formula>NOT(AND(OR($H$113="標準",$H$113="MailFilter &amp; Anti-Spam"),OR($AA$113="新規",$AA$113="追加",$AA$113="追加(更新同時)")))</formula>
    </cfRule>
  </conditionalFormatting>
  <conditionalFormatting sqref="CP119:DL121 CP116:DA118 B122:AZ124">
    <cfRule type="expression" dxfId="1332" priority="74">
      <formula>COUNTIF($AQ$113,"Modern Edition")</formula>
    </cfRule>
  </conditionalFormatting>
  <conditionalFormatting sqref="CY116:DA118">
    <cfRule type="expression" dxfId="1331" priority="20789">
      <formula>AND(OR($H$113="標準",$H$113="MailFilter &amp; Anti-Spam"),OR($AA$113="新規",$AA$113="追加",$AA$113="追加(更新同時)"))</formula>
    </cfRule>
    <cfRule type="notContainsBlanks" dxfId="1330" priority="20788" stopIfTrue="1">
      <formula>LEN(TRIM(CY116))&gt;0</formula>
    </cfRule>
  </conditionalFormatting>
  <conditionalFormatting sqref="CY90:DI92">
    <cfRule type="expression" dxfId="1329" priority="144">
      <formula>AND($J$87="標準",OR($AD$87="新規",$AD$87="追加",$AD$87="追加(更新同時)"))</formula>
    </cfRule>
  </conditionalFormatting>
  <conditionalFormatting sqref="CY87:DL89">
    <cfRule type="expression" dxfId="1328" priority="250">
      <formula>$AD$87="エディション移行"</formula>
    </cfRule>
    <cfRule type="expression" dxfId="1327" priority="249">
      <formula>OR($AD$87="追加",$AD$87="追加(エディション移行同時)")</formula>
    </cfRule>
  </conditionalFormatting>
  <conditionalFormatting sqref="CY90:DL92">
    <cfRule type="expression" dxfId="1326" priority="170">
      <formula>OR($AD$87="更新(減数)",$AD$87="更新")</formula>
    </cfRule>
    <cfRule type="expression" dxfId="1325" priority="168">
      <formula>NOT($J$87="標準")</formula>
    </cfRule>
  </conditionalFormatting>
  <conditionalFormatting sqref="CZ119">
    <cfRule type="notContainsBlanks" dxfId="1324" priority="2" stopIfTrue="1">
      <formula>LEN(TRIM(CZ119))&gt;0</formula>
    </cfRule>
  </conditionalFormatting>
  <conditionalFormatting sqref="CZ119:DB121 DJ116:DL118">
    <cfRule type="expression" dxfId="1323" priority="91">
      <formula>$M$71=""</formula>
    </cfRule>
  </conditionalFormatting>
  <conditionalFormatting sqref="DB24">
    <cfRule type="notContainsBlanks" dxfId="1322" priority="234" stopIfTrue="1">
      <formula>LEN(TRIM(DB24))&gt;0</formula>
    </cfRule>
  </conditionalFormatting>
  <conditionalFormatting sqref="DB37">
    <cfRule type="notContainsBlanks" dxfId="1321" priority="236" stopIfTrue="1">
      <formula>LEN(TRIM(DB37))&gt;0</formula>
    </cfRule>
  </conditionalFormatting>
  <conditionalFormatting sqref="DB116:DL118 Z125:BJ127 CY125:DL127">
    <cfRule type="expression" dxfId="1320" priority="20316">
      <formula>$H$113="誤送信対策版"</formula>
    </cfRule>
  </conditionalFormatting>
  <conditionalFormatting sqref="DE99">
    <cfRule type="expression" dxfId="1319" priority="61">
      <formula>$N$99="有"</formula>
    </cfRule>
  </conditionalFormatting>
  <conditionalFormatting sqref="DE137 CK137:DD139">
    <cfRule type="expression" dxfId="1318" priority="10">
      <formula>OR($AD$131="更新",$AD$131="更新(減数)",$AD$131="更新(エディション移行：バージョンアップ同時)",$AD$131="更新(減数・エディション移行：バージョンアップ同時)",$AD$131="")</formula>
    </cfRule>
  </conditionalFormatting>
  <conditionalFormatting sqref="DE137">
    <cfRule type="expression" dxfId="1317" priority="334">
      <formula>NOT(OR($AD$131="更新",$AD$131="更新(減数)",$AD$131="更新(エディション移行：バージョンアップ同時)",$AD$131="更新(減数・エディション移行：バージョンアップ同時)",$AD$131=""))</formula>
    </cfRule>
  </conditionalFormatting>
  <conditionalFormatting sqref="DE141">
    <cfRule type="expression" dxfId="1316" priority="667">
      <formula>OR($DE$141="",$DE$141="いいえ")</formula>
    </cfRule>
  </conditionalFormatting>
  <conditionalFormatting sqref="DE141:DE142">
    <cfRule type="cellIs" dxfId="1315" priority="505" operator="equal">
      <formula>"はい"</formula>
    </cfRule>
  </conditionalFormatting>
  <conditionalFormatting sqref="DE142">
    <cfRule type="expression" dxfId="1314" priority="666">
      <formula>OR($DE$142="",$DE$142="いいえ")</formula>
    </cfRule>
  </conditionalFormatting>
  <conditionalFormatting sqref="DE99:DL101 P99 AB99">
    <cfRule type="expression" dxfId="1313" priority="64">
      <formula>$N$99="無"</formula>
    </cfRule>
  </conditionalFormatting>
  <conditionalFormatting sqref="DE99:DL101">
    <cfRule type="notContainsBlanks" dxfId="1312" priority="60">
      <formula>LEN(TRIM(DE99))&gt;0</formula>
    </cfRule>
  </conditionalFormatting>
  <conditionalFormatting sqref="DE137:DL139">
    <cfRule type="notContainsBlanks" dxfId="1311" priority="11" stopIfTrue="1">
      <formula>LEN(TRIM(DE137))&gt;0</formula>
    </cfRule>
  </conditionalFormatting>
  <conditionalFormatting sqref="DG87">
    <cfRule type="notContainsBlanks" dxfId="1310" priority="251">
      <formula>LEN(TRIM(DG87))&gt;0</formula>
    </cfRule>
  </conditionalFormatting>
  <conditionalFormatting sqref="DG87:DL89">
    <cfRule type="expression" dxfId="1309" priority="252">
      <formula>$AD$87&lt;&gt;""</formula>
    </cfRule>
  </conditionalFormatting>
  <conditionalFormatting sqref="DH113 CZ113">
    <cfRule type="expression" dxfId="1308" priority="20773">
      <formula>$AA$113="追加"</formula>
    </cfRule>
  </conditionalFormatting>
  <conditionalFormatting sqref="DH113">
    <cfRule type="expression" dxfId="1307" priority="20774">
      <formula>$AA$113&lt;&gt;""</formula>
    </cfRule>
  </conditionalFormatting>
  <conditionalFormatting sqref="DJ116">
    <cfRule type="notContainsBlanks" dxfId="1306" priority="126" stopIfTrue="1">
      <formula>LEN(TRIM(DJ116))&gt;0</formula>
    </cfRule>
  </conditionalFormatting>
  <conditionalFormatting sqref="DJ90:DL92">
    <cfRule type="notContainsBlanks" dxfId="1305" priority="169" stopIfTrue="1">
      <formula>LEN(TRIM(DJ90))&gt;0</formula>
    </cfRule>
    <cfRule type="expression" dxfId="1304" priority="171">
      <formula>AND($J$87="標準",OR($AD$87="新規",$AD$87="追加",$AD$87="追加(更新同時)"))</formula>
    </cfRule>
  </conditionalFormatting>
  <dataValidations xWindow="383" yWindow="723" count="66">
    <dataValidation type="list" allowBlank="1" showInputMessage="1" showErrorMessage="1" sqref="DE99:DL101" xr:uid="{00000000-0002-0000-0300-000000000000}">
      <formula1>"了承しました"</formula1>
    </dataValidation>
    <dataValidation type="list" allowBlank="1" showInputMessage="1" showErrorMessage="1" sqref="AD131" xr:uid="{00000000-0002-0000-0300-000001000000}">
      <formula1>FCCloud_申請区分</formula1>
    </dataValidation>
    <dataValidation type="list" allowBlank="1" showInputMessage="1" showErrorMessage="1" promptTitle="「API利用に関する同意書」について" prompt="※「API利用に関する同意書」につきましては、デジタルアーツまたは販売店にお問い合わせください。" sqref="CH137:CJ139" xr:uid="{00000000-0002-0000-0300-000002000000}">
      <formula1>"未,済"</formula1>
    </dataValidation>
    <dataValidation type="list" allowBlank="1" showInputMessage="1" showErrorMessage="1" sqref="J131" xr:uid="{00000000-0002-0000-0300-000003000000}">
      <formula1>FCCloud_製品区分</formula1>
    </dataValidation>
    <dataValidation type="list" allowBlank="1" showInputMessage="1" showErrorMessage="1" sqref="J149:Z151" xr:uid="{00000000-0002-0000-0300-000005000000}">
      <formula1>DeskCloud_製品区分</formula1>
    </dataValidation>
    <dataValidation type="list" allowBlank="1" showInputMessage="1" showErrorMessage="1" sqref="J134:O136 BG152:BJ154 DG87:DL89 DH113" xr:uid="{00000000-0002-0000-0300-000006000000}">
      <formula1>契約期間</formula1>
    </dataValidation>
    <dataValidation type="list" allowBlank="1" showInputMessage="1" showErrorMessage="1" sqref="AA113" xr:uid="{00000000-0002-0000-0300-000007000000}">
      <formula1>mFCloud_申請区分</formula1>
    </dataValidation>
    <dataValidation type="list" allowBlank="1" showInputMessage="1" showErrorMessage="1" sqref="BR113 T155 BE137:BG139 M71:P73 AN155:AU157 BO87 CJ90:CL92 BP137:BR139 P137:R139 J152 CC131 AK137" xr:uid="{00000000-0002-0000-0300-000008000000}">
      <formula1>有無</formula1>
    </dataValidation>
    <dataValidation imeMode="off" allowBlank="1" showInputMessage="1" showErrorMessage="1" sqref="Z152 BZ87" xr:uid="{00000000-0002-0000-0300-000009000000}"/>
    <dataValidation type="whole" imeMode="disabled" allowBlank="1" showInputMessage="1" showErrorMessage="1" sqref="CC152:CF154 AI134:AL136 P20:T21 U90:X92" xr:uid="{00000000-0002-0000-0300-00000A000000}">
      <formula1>1</formula1>
      <formula2>12</formula2>
    </dataValidation>
    <dataValidation type="whole" imeMode="disabled" operator="greaterThanOrEqual" allowBlank="1" showInputMessage="1" showErrorMessage="1" sqref="BV152:BY154 N90:Q92" xr:uid="{00000000-0002-0000-0300-00000B000000}">
      <formula1>19</formula1>
    </dataValidation>
    <dataValidation type="list" allowBlank="1" showInputMessage="1" showErrorMessage="1" sqref="DE20:DK21 DE33:DK34" xr:uid="{00000000-0002-0000-0300-00000C000000}">
      <formula1>"同じ,異なる"</formula1>
    </dataValidation>
    <dataValidation type="list" imeMode="on" allowBlank="1" showInputMessage="1" showErrorMessage="1" sqref="CK37:CU38 CK24:CU25 AD33:AN34 AD52:AN53" xr:uid="{00000000-0002-0000-0300-00000D000000}">
      <formula1>都道府県</formula1>
    </dataValidation>
    <dataValidation type="custom" imeMode="fullKatakana" allowBlank="1" showInputMessage="1" showErrorMessage="1" error="全角カタカナで入力してください" prompt="全角カタカナで入力してください。" sqref="AG37:BF37 AG56:BF56 G49" xr:uid="{00000000-0002-0000-0300-00000E000000}">
      <formula1>AND(G37=DBCS(G37))</formula1>
    </dataValidation>
    <dataValidation type="custom" imeMode="disabled" operator="equal" allowBlank="1" showInputMessage="1" showErrorMessage="1" promptTitle="入力方法" prompt="半角数字でハイフンを入れて入力をしてください。" sqref="BT24:CD25 BT37:CD38 M33:W34 M52:W53" xr:uid="{00000000-0002-0000-0300-00000F000000}">
      <formula1>AND(COUNTIF(M24,"*-*"),LEN(M24)=LENB(M24),LEN(M24)=8)</formula1>
    </dataValidation>
    <dataValidation type="list" imeMode="on" allowBlank="1" showInputMessage="1" showErrorMessage="1" sqref="AZ42:BF44 AZ61:BF63" xr:uid="{00000000-0002-0000-0300-000010000000}">
      <formula1>"はい,いいえ"</formula1>
    </dataValidation>
    <dataValidation imeMode="disabled" allowBlank="1" showInputMessage="1" showErrorMessage="1" prompt="ご発注対象に対応するお見積番号をご入力ください。" sqref="CF54:DB55" xr:uid="{00000000-0002-0000-0300-000011000000}"/>
    <dataValidation type="list" allowBlank="1" showInputMessage="1" showErrorMessage="1" prompt="ご発注対象製品をプルダウンよりご選択ください。" sqref="BI54:CE63" xr:uid="{00000000-0002-0000-0300-000012000000}">
      <formula1>"i‐FILTER@Cloud,m-FILTER@Cloud,FinalCode@Cloud,Desk@Cloud"</formula1>
    </dataValidation>
    <dataValidation type="custom" imeMode="on" allowBlank="1" showInputMessage="1" showErrorMessage="1" error="半角文字が入っている可能性があります。" prompt="全角文字で入力してください。" sqref="CP28:DK29 CP41:DK42 BN22 BN28:CJ29 DB24:DK25 BN41:CJ42 BN35 DB37:DK38 G37:AA39 AG38:BF39 AU33:BF34 G56:AA58 G50 AU52:BF53 AG57:BF58" xr:uid="{00000000-0002-0000-0300-000013000000}">
      <formula1>AND(G22=DBCS(G22))</formula1>
    </dataValidation>
    <dataValidation type="custom" imeMode="on" allowBlank="1" showInputMessage="1" showErrorMessage="1" error="半角文字が入っている可能性があります。" prompt="番地も含めてすべて全角で入力してください。" sqref="M35:AF36 M54:AF55" xr:uid="{00000000-0002-0000-0300-000014000000}">
      <formula1>AND(M35=DBCS(M35))</formula1>
    </dataValidation>
    <dataValidation type="custom" imeMode="on" allowBlank="1" showInputMessage="1" showErrorMessage="1" error="半角文字が入っている可能性があります。" promptTitle="入力方法" prompt="階数なども含めてすべて全角で入力してください。" sqref="CT26:DK27 CT39:DK40 AM35:BF36 AM54:BF55" xr:uid="{00000000-0002-0000-0300-000015000000}">
      <formula1>AND(AM26=DBCS(AM26))</formula1>
    </dataValidation>
    <dataValidation type="custom" imeMode="on" allowBlank="1" showInputMessage="1" showErrorMessage="1" error="半角文字が入っている可能性があります。" promptTitle="入力方法" prompt="番地も含めてすべて全角で入力してください。" sqref="BT26:CM27 BT39:CM40" xr:uid="{00000000-0002-0000-0300-000016000000}">
      <formula1>AND(BT26=DBCS(BT26))</formula1>
    </dataValidation>
    <dataValidation type="custom" imeMode="disabled" allowBlank="1" showInputMessage="1" showErrorMessage="1" error="半角英数字で入力してください" sqref="BI50:DB51" xr:uid="{00000000-0002-0000-0300-000017000000}">
      <formula1>LENB(BI50)=LEN(BI50)</formula1>
    </dataValidation>
    <dataValidation type="list" allowBlank="1" showInputMessage="1" showErrorMessage="1" sqref="DE141:DL141" xr:uid="{00000000-0002-0000-0300-000018000000}">
      <formula1>IF(AD131="新規",YESNO共通,"")</formula1>
    </dataValidation>
    <dataValidation type="list" allowBlank="1" showInputMessage="1" showErrorMessage="1" sqref="DE142:DL145" xr:uid="{00000000-0002-0000-0300-000019000000}">
      <formula1>IF(COUNTIF($AD$131,"*エディション移行*"),YESNO共通,"")</formula1>
    </dataValidation>
    <dataValidation type="custom" imeMode="disabled" allowBlank="1" showInputMessage="1" showErrorMessage="1" promptTitle="入力方法" prompt="(例)03-1111-2222_x000a_のように半角数字で_x000a_ハイフンを入れて_x000a_入力してください" sqref="BN30:CJ31 BN43:CJ44 G40:AA41 G59:AA60" xr:uid="{00000000-0002-0000-0300-00001A000000}">
      <formula1>AND(COUNTIF(G30,"*-*"),LEN(G30)=LENB(G30),LEN(G30)&lt;14)</formula1>
    </dataValidation>
    <dataValidation imeMode="disabled" allowBlank="1" showInputMessage="1" showErrorMessage="1" sqref="CF56:DB61 AS140:DL140" xr:uid="{00000000-0002-0000-0300-00001B000000}"/>
    <dataValidation type="whole" imeMode="disabled" allowBlank="1" showInputMessage="1" showErrorMessage="1" sqref="X20:AB21" xr:uid="{00000000-0002-0000-0300-00001C000000}">
      <formula1>1</formula1>
      <formula2>31</formula2>
    </dataValidation>
    <dataValidation type="whole" imeMode="disabled" operator="greaterThanOrEqual" allowBlank="1" showInputMessage="1" showErrorMessage="1" sqref="J20:L21" xr:uid="{00000000-0002-0000-0300-00001D000000}">
      <formula1>20</formula1>
    </dataValidation>
    <dataValidation type="whole" imeMode="halfAlpha" allowBlank="1" showInputMessage="1" showErrorMessage="1" sqref="U116:X118" xr:uid="{00000000-0002-0000-0300-00001E000000}">
      <formula1>1</formula1>
      <formula2>12</formula2>
    </dataValidation>
    <dataValidation type="whole" imeMode="halfAlpha" operator="greaterThanOrEqual" allowBlank="1" showInputMessage="1" showErrorMessage="1" sqref="AB134:AE136 N116:Q118" xr:uid="{00000000-0002-0000-0300-00001F000000}">
      <formula1>19</formula1>
    </dataValidation>
    <dataValidation type="list" imeMode="hiragana" allowBlank="1" showInputMessage="1" showErrorMessage="1" error="半角文字が入っている可能性があります。" sqref="AZ31" xr:uid="{00000000-0002-0000-0300-000020000000}">
      <formula1>法人格_後</formula1>
    </dataValidation>
    <dataValidation type="list" imeMode="hiragana" allowBlank="1" showInputMessage="1" showErrorMessage="1" error="半角文字が入っている可能性があります。" sqref="G31" xr:uid="{00000000-0002-0000-0300-000021000000}">
      <formula1>法人格_前</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00000000-0002-0000-0300-000022000000}">
      <formula1>AND(Q31=DBCS(Q31))</formula1>
    </dataValidation>
    <dataValidation type="list" allowBlank="1" showInputMessage="1" showErrorMessage="1" sqref="AD87:AR89" xr:uid="{00000000-0002-0000-0300-000023000000}">
      <formula1>IF($J$87="GIGAスクール版",INDIRECT($J$87),iFCloud_申請区分)</formula1>
    </dataValidation>
    <dataValidation imeMode="disabled" allowBlank="1" showInputMessage="1" showErrorMessage="1" prompt="Box連携機能オプションの_x000a_ライセンス数をご入力ください_x000a_（FinalCode@Cloud」のライセンス数以下)" sqref="X137:AB139" xr:uid="{00000000-0002-0000-0300-000024000000}"/>
    <dataValidation imeMode="disabled" allowBlank="1" showInputMessage="1" showErrorMessage="1" prompt="CADファイル暗号化オプションの_x000a_ライセンス数をご入力ください_x000a_（FinalCode@Cloud」のライセンス数以下)" sqref="AS137:AW139" xr:uid="{00000000-0002-0000-0300-000025000000}"/>
    <dataValidation imeMode="disabled" allowBlank="1" showInputMessage="1" showErrorMessage="1" prompt="ご利用中の弊社製品のうち、利用期間を連動させたいシリアルをご入力ください" sqref="AI149:BG151" xr:uid="{00000000-0002-0000-0300-000026000000}"/>
    <dataValidation type="list" allowBlank="1" showInputMessage="1" showErrorMessage="1" prompt="「子ども見守りシステム」を使用予定のお客様でパトランプ（メル丸くん）を弊社から購入予定のお客様は「有」をご選択ください。" sqref="Z102:AA104" xr:uid="{00000000-0002-0000-0300-000027000000}">
      <formula1>"有,無"</formula1>
    </dataValidation>
    <dataValidation type="list" allowBlank="1" showInputMessage="1" showErrorMessage="1" prompt="GIGAスクール版のお客様で_x000a_「子ども見守りシステム」(無償)を使用予定のお客様は_x000a_「有」をご選択ください。" sqref="P102:Q104" xr:uid="{00000000-0002-0000-0300-000028000000}">
      <formula1>有無</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00000000-0002-0000-0300-000029000000}">
      <formula1>業種</formula1>
    </dataValidation>
    <dataValidation type="custom" imeMode="disabled" allowBlank="1" showInputMessage="1" showErrorMessage="1" errorTitle="E-Mail形式ではありません。" error="「,」「..」「/」「;」「:」「&lt;」「&gt;」のいずれかが含まれるか、「＠」がありません。" sqref="CP30:DO31 AJ25:BF26 CP43:DO44 G25:AD26 AG40:BF41 AG59:BF60" xr:uid="{00000000-0002-0000-0300-00002A000000}">
      <formula1>COUNTIF(G25,"*,*")+COUNTIF(G25,"*..*")+COUNTIF(G25,"*&lt;*")+COUNTIF(G25,"*&gt;*")+COUNTIF(G25,"*;*")+COUNTIF(G25,"*:*")+COUNTIF(G25,"*/*")+COUNTIF(G25,"&lt;&gt;*@*")=0</formula1>
    </dataValidation>
    <dataValidation type="list" allowBlank="1" showInputMessage="1" showErrorMessage="1" sqref="BP149:CE151" xr:uid="{00000000-0002-0000-0300-00002B000000}">
      <formula1>DeskCloud_申請区分</formula1>
    </dataValidation>
    <dataValidation imeMode="disabled" allowBlank="1" showInputMessage="1" showErrorMessage="1" error="・新規最低購入ライセンス数は10ライセンスです。_x000a_・「追加」のときは追加後の合計ライセンス数を入力してください。" prompt="・新規最低購入ライセンス数は10ライセンスです。_x000a_・「追加」のときは追加後の合計ライセンス数を入力してください。" sqref="BO131:BT133 BA87:BF89 BF113" xr:uid="{00000000-0002-0000-0300-00002C000000}"/>
    <dataValidation imeMode="disabled" allowBlank="1" showInputMessage="1" showErrorMessage="1" prompt="「追加」のときは追加後の合計ライセンス数を入力してください" sqref="CN149:CS151" xr:uid="{00000000-0002-0000-0300-00002D000000}"/>
    <dataValidation type="list" allowBlank="1" showInputMessage="1" showErrorMessage="1" sqref="J105:O107" xr:uid="{00000000-0002-0000-0300-00002E000000}">
      <formula1>"端末数,ユーザー数"</formula1>
    </dataValidation>
    <dataValidation type="custom" imeMode="fullKatakana" allowBlank="1" showInputMessage="1" showErrorMessage="1" error="全角カナで入力してください" prompt="全角カタカナで入力してください。" sqref="G30" xr:uid="{00000000-0002-0000-0300-00002F000000}">
      <formula1>AND(G30=DBCS(G30))</formula1>
    </dataValidation>
    <dataValidation type="whole" imeMode="disabled" operator="greaterThanOrEqual" allowBlank="1" showInputMessage="1" showErrorMessage="1" error="端末の数を整数で入力してください。" prompt="「追加」のときは追加後の端末数を入力してください。" sqref="CM102:CP107 BA102:BD107 BT102:BW107" xr:uid="{00000000-0002-0000-0300-000030000000}">
      <formula1>0</formula1>
    </dataValidation>
    <dataValidation type="list" allowBlank="1" showInputMessage="1" showErrorMessage="1" promptTitle="暗号化強固OPについて" prompt="FinalCodeの試用版からの引継ぎをご希望される場合は、_x000a_「有/暗号化強固OP保有あり」を選択し「FinalCode保有シリアル」欄に試用版のシリアルを記入してください。" sqref="I119:X121" xr:uid="{00000000-0002-0000-0300-000031000000}">
      <formula1>"有/暗号化強固OP保有あり,有/暗号化強固OP保有なし,無"</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M74:AR76 BX122 AT119 BS134" xr:uid="{00000000-0002-0000-0300-000032000000}">
      <formula1>AND(COUNTIF(M74,"*,*")+COUNTIF(M74,"*..*")+COUNTIF(M74,"*&lt;*")+COUNTIF(M74,"*&gt;*")+COUNTIF(M74,"*;*")+COUNTIF(M74,"*:*")+COUNTIF(M74,"*/*")+COUNTIF(M74,"&lt;&gt;*@*")=0,LEN(M74)&lt;65)</formula1>
    </dataValidation>
    <dataValidation type="list" allowBlank="1" showInputMessage="1" showErrorMessage="1" sqref="CM116:CO118 DJ116:DL118 DJ90:DL92 AK119:AL121 CY116:DA118 N99:O101 CJ93:CL95 CJ99:CL101 DE137:DL139 DJ119:DL121" xr:uid="{00000000-0002-0000-0300-000033000000}">
      <formula1>"有,無"</formula1>
    </dataValidation>
    <dataValidation type="list"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BT122:BW124" xr:uid="{00000000-0002-0000-0300-000034000000}">
      <formula1>"有,無"</formula1>
    </dataValidation>
    <dataValidation showInputMessage="1" errorTitle="E-Mail形式ではありません。" error="「,」「..」「/」「;」「:」「&lt;」「&gt;」のいずれかが含まれるか、「＠」がありません。" sqref="CB119" xr:uid="{00000000-0002-0000-0300-000035000000}"/>
    <dataValidation type="custom" allowBlank="1" showInputMessage="1" showErrorMessage="1" errorTitle="E-Mail形式ではないか、文字数がオーバーしています。" error="「,」「..」「/」「;」「:」「&lt;」「&gt;」のいずれかが含まれるか、「＠」がありません。_x000a_もしくは入力されたアドレスの文字数が65文字以上になっています。" sqref="BS80:CO81 BR80:BR82" xr:uid="{00000000-0002-0000-0300-000036000000}">
      <formula1>AND(COUNTIF(BR80,"*,*")+COUNTIF(BR80,"*..*")+COUNTIF(BR80,"*&lt;*")+COUNTIF(BR80,"*&gt;*")+COUNTIF(BR80,"*;*")+COUNTIF(BR80,"*:*")+COUNTIF(BR80,"*/*")+COUNTIF(BR80,"&lt;&gt;*@*")=0,LEN(BR80)&lt;65)</formula1>
    </dataValidation>
    <dataValidation type="list" allowBlank="1" showInputMessage="1" showErrorMessage="1" sqref="M122" xr:uid="{00000000-0002-0000-0300-000037000000}">
      <formula1>mFCloud_クリプト便</formula1>
    </dataValidation>
    <dataValidation type="list" allowBlank="1" showInputMessage="1" showErrorMessage="1" promptTitle="Dアラート通知先について" prompt="【Dアラート通知を希望する場合】_x000a_・「はい/お客様アドレス」を選択した場合_x000a_「エンドユーザー様情報欄」に入力した「E-mail」宛に通知されます。_x000a_・「はい/通知先記入」を選択した場合_x000a_「Dアラート通知先」に登録されたアドレス宛に通知されます。_x000a_【Dアラート通知が不要な場合】_x000a_・「いいえ」を選択してください。" sqref="AX80:BL83" xr:uid="{00000000-0002-0000-0300-000038000000}">
      <formula1>"はい/お客様アドレス,はい/通知先記入,いいえ"</formula1>
    </dataValidation>
    <dataValidation type="list" allowBlank="1" showInputMessage="1" showErrorMessage="1" prompt="「有」を選択された場合_x000a_必ずDアラートの通知先を入力してください。" sqref="CZ119:DB121 BU99:BW101 BU93:BW95" xr:uid="{00000000-0002-0000-0300-000039000000}">
      <formula1>"有,無"</formula1>
    </dataValidation>
    <dataValidation type="custom" imeMode="on" allowBlank="1" showInputMessage="1" showErrorMessage="1" error="半角文字が入っている可能性があります。" sqref="AO50:AZ51" xr:uid="{00000000-0002-0000-0300-00003A000000}">
      <formula1>AND(AO50=DBCS(AO50))</formula1>
    </dataValidation>
    <dataValidation imeMode="on" allowBlank="1" showInputMessage="1" showErrorMessage="1" error="半角文字が入っている可能性があります。" sqref="BA50:BF51" xr:uid="{00000000-0002-0000-0300-00003B000000}"/>
    <dataValidation imeMode="off" allowBlank="1" showInputMessage="1" showErrorMessage="1" promptTitle="試用版シリアル入力時のご注意" prompt="mF@/暗号化強固OPのご注文を行う際にFinalCodeの試用版引き継ぎをご希望される場合は、「暗号化強固OP」欄に「有/暗号化強固OP保有あり」を選択し、「FinalCode保有シリアル」欄に記入をお願いいたします。" sqref="CC113" xr:uid="{00000000-0002-0000-0300-00003C000000}"/>
    <dataValidation type="custom" imeMode="disabled" allowBlank="1" showInputMessage="1" showErrorMessage="1" error="入力した「ライセンス数」と同数以上の登録ユーザー数を入力してください。" prompt="・ユーザー登録が必要な最大の数を入力してください。_x000a_・入力した「ライセンス数」と同数以上の数字を入力してください。_x000a_・「追加」のときは追加後の合計数を入力してください_x000a_（GIGAスクール版をご利用の場合、予備機、端末入れ替えがある場合は、ユーザー登録が必要な児童・生徒数の120%までの入力が可能です。）" sqref="V105:AA107" xr:uid="{00000000-0002-0000-0300-00003D000000}">
      <formula1>V105&gt;=BA87</formula1>
    </dataValidation>
    <dataValidation type="custom"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M140:AR140" xr:uid="{00000000-0002-0000-0300-00003E000000}">
      <formula1>AND(COUNTIF(M140,"*,*")+COUNTIF(M140,"*..*")+COUNTIF(M140,"*&lt;*")+COUNTIF(M140,"*&gt;*")+COUNTIF(M140,"*;*")+COUNTIF(M140,"*:*")+COUNTIF(M140,"*/*")+COUNTIF(M140,"&lt;&gt;*@*")=0,LEN(M140)&lt;65)</formula1>
    </dataValidation>
    <dataValidation type="custom" allowBlank="1" showInputMessage="1" showErrorMessage="1" error="製品区分で「GIGAスクール版」以外をお選びの場合は、登録ユーザー数と利用OS内訳が同数になる用意入力してください。" sqref="AG105:AK107" xr:uid="{00000000-0002-0000-0300-00003F000000}">
      <formula1>IF(NOT(OR(J87="GIGAスクール版",J87="")),V105=AG105,AG105)</formula1>
    </dataValidation>
    <dataValidation type="list" allowBlank="1" showInputMessage="1" showErrorMessage="1" sqref="H113" xr:uid="{00000000-0002-0000-0300-000004000000}">
      <formula1>mFCloud_製品区分</formula1>
    </dataValidation>
    <dataValidation type="list" allowBlank="1" showInputMessage="1" showErrorMessage="1" sqref="AQ113:AY115" xr:uid="{E75E3309-6A7E-4952-86DF-67782BD849A0}">
      <formula1>"Classic Edition,Modern Edition"</formula1>
    </dataValidation>
    <dataValidation type="list" allowBlank="1" showInputMessage="1" showErrorMessage="1" sqref="J87:U89" xr:uid="{00000000-0002-0000-0300-000040000000}">
      <formula1>iFCloud_製品区分</formula1>
    </dataValidation>
  </dataValidations>
  <hyperlinks>
    <hyperlink ref="CQ106:DL107" r:id="rId1" location="dacloud" display="DigitalArts@Cloud Agent について" xr:uid="{00000000-0004-0000-0300-000000000000}"/>
    <hyperlink ref="J82" r:id="rId2" xr:uid="{00000000-0004-0000-0300-000001000000}"/>
    <hyperlink ref="CP80:DL81" r:id="rId3" display="Dアラート通知先申請サイトはこちら" xr:uid="{00000000-0004-0000-0300-000002000000}"/>
    <hyperlink ref="AL77" r:id="rId4" xr:uid="{00000000-0004-0000-0300-000003000000}"/>
    <hyperlink ref="A161" r:id="rId5" xr:uid="{D63D0252-F02B-4EA5-8F70-8FFB4CFB2FD2}"/>
  </hyperlinks>
  <printOptions horizontalCentered="1"/>
  <pageMargins left="0.11811023622047245" right="0.11811023622047245" top="0.39370078740157483" bottom="0.19685039370078741" header="0.11811023622047245" footer="0.11811023622047245"/>
  <pageSetup paperSize="9" scale="65" orientation="portrait" horizontalDpi="300" verticalDpi="300" r:id="rId6"/>
  <headerFooter>
    <oddFooter>&amp;LDigital Arts Inc.&amp;C&amp;P ページ&amp;R&amp;D</oddFooter>
  </headerFooter>
  <drawing r:id="rId7"/>
  <extLst>
    <ext xmlns:x14="http://schemas.microsoft.com/office/spreadsheetml/2009/9/main" uri="{78C0D931-6437-407d-A8EE-F0AAD7539E65}">
      <x14:conditionalFormattings>
        <x14:conditionalFormatting xmlns:xm="http://schemas.microsoft.com/office/excel/2006/main">
          <x14:cfRule type="expression" priority="619" id="{00000000-000E-0000-0200-000020000000}">
            <xm:f>AND($M$71="無",$J$149=中間データ共通・DACloud!$AB$4)</xm:f>
            <x14:dxf>
              <fill>
                <patternFill>
                  <bgColor rgb="FFFF0000"/>
                </patternFill>
              </fill>
            </x14:dxf>
          </x14:cfRule>
          <x14:cfRule type="expression" priority="18712" id="{00000000-000E-0000-0200-000002000000}">
            <xm:f>AND($M$71="有",$J$149=中間データ共通・DACloud!$AB$7,$BP$149="新規")</xm:f>
            <x14:dxf>
              <fill>
                <patternFill>
                  <bgColor rgb="FFFF0000"/>
                </patternFill>
              </fill>
            </x14:dxf>
          </x14:cfRule>
          <xm:sqref>J149 M71</xm:sqref>
        </x14:conditionalFormatting>
        <x14:conditionalFormatting xmlns:xm="http://schemas.microsoft.com/office/excel/2006/main">
          <x14:cfRule type="expression" priority="18711" id="{00000000-000E-0000-0200-000014480000}">
            <xm:f>AND($M$71="有",$J$149=中間データ共通・DACloud!$AB$6)</xm:f>
            <x14:dxf>
              <fill>
                <patternFill>
                  <bgColor rgb="FFFF0000"/>
                </patternFill>
              </fill>
            </x14:dxf>
          </x14:cfRule>
          <x14:cfRule type="expression" priority="360" id="{00000000-000E-0000-0200-000013480000}">
            <xm:f>AND($M$71="有",$J$149=中間データ共通・DACloud!$AB$5)</xm:f>
            <x14:dxf>
              <fill>
                <patternFill>
                  <bgColor rgb="FFFF0000"/>
                </patternFill>
              </fill>
            </x14:dxf>
          </x14:cfRule>
          <xm:sqref>J149</xm:sqref>
        </x14:conditionalFormatting>
        <x14:conditionalFormatting xmlns:xm="http://schemas.microsoft.com/office/excel/2006/main">
          <x14:cfRule type="expression" priority="606" id="{00000000-000E-0000-0200-00005D010000}">
            <xm:f>OR($J$149=中間データ共通・DACloud!$AB$4,$J$149=中間データ共通・DACloud!$AB$5)</xm:f>
            <x14:dxf>
              <fill>
                <patternFill>
                  <bgColor rgb="FFFF0000"/>
                </patternFill>
              </fill>
            </x14:dxf>
          </x14:cfRule>
          <xm:sqref>AI149</xm:sqref>
        </x14:conditionalFormatting>
        <x14:conditionalFormatting xmlns:xm="http://schemas.microsoft.com/office/excel/2006/main">
          <x14:cfRule type="expression" priority="524" id="{00000000-000E-0000-0200-00000E010000}">
            <xm:f>AND($J$149=中間データ共通・DACloud!$AB$5,$AI$149="")</xm:f>
            <x14:dxf>
              <font>
                <color theme="0" tint="-0.34998626667073579"/>
              </font>
              <fill>
                <patternFill>
                  <bgColor theme="0" tint="-0.34998626667073579"/>
                </patternFill>
              </fill>
            </x14:dxf>
          </x14:cfRule>
          <xm:sqref>AN155:AU157</xm:sqref>
        </x14:conditionalFormatting>
        <x14:conditionalFormatting xmlns:xm="http://schemas.microsoft.com/office/excel/2006/main">
          <x14:cfRule type="expression" priority="269" id="{00000000-000E-0000-0200-00000A000000}">
            <xm:f>AND(OR($J$149=中間データ共通・DACloud!$AB$4,$J$149=中間データ共通・DACloud!$AB$5),AND($AI$149="",$M$77=""))</xm:f>
            <x14:dxf>
              <font>
                <color theme="0" tint="-0.34998626667073579"/>
              </font>
              <fill>
                <patternFill>
                  <bgColor theme="0" tint="-0.34998626667073579"/>
                </patternFill>
              </fill>
            </x14:dxf>
          </x14:cfRule>
          <xm:sqref>BP149 CN149 J152 Z152 BV152:BY154 CC152:CF154 T155 AN155 BD155:BK157</xm:sqref>
        </x14:conditionalFormatting>
        <x14:conditionalFormatting xmlns:xm="http://schemas.microsoft.com/office/excel/2006/main">
          <x14:cfRule type="expression" priority="536" id="{00000000-000E-0000-0200-00001B010000}">
            <xm:f>AND(OR($J$149=中間データ共通・DACloud!$AB$4,$J$149=中間データ共通・DACloud!$AB$5),$AI$149&lt;&gt;"")</xm:f>
            <x14:dxf>
              <fill>
                <patternFill>
                  <bgColor rgb="FFFF0000"/>
                </patternFill>
              </fill>
            </x14:dxf>
          </x14:cfRule>
          <xm:sqref>BP149</xm:sqref>
        </x14:conditionalFormatting>
        <x14:conditionalFormatting xmlns:xm="http://schemas.microsoft.com/office/excel/2006/main">
          <x14:cfRule type="expression" priority="8" id="{214FC907-6A42-44AA-8CDF-0232A450FC0C}">
            <xm:f>お客様情報!$F$41&lt;&gt;"株式会社日立ソリューションズ"</xm:f>
            <x14:dxf>
              <font>
                <color theme="0" tint="-0.34998626667073579"/>
              </font>
              <fill>
                <patternFill>
                  <bgColor theme="0" tint="-0.34998626667073579"/>
                </patternFill>
              </fill>
            </x14:dxf>
          </x14:cfRule>
          <xm:sqref>CK137:DL139</xm:sqref>
        </x14:conditionalFormatting>
      </x14:conditionalFormattings>
    </ext>
    <ext xmlns:x14="http://schemas.microsoft.com/office/spreadsheetml/2009/9/main" uri="{CCE6A557-97BC-4b89-ADB6-D9C93CAAB3DF}">
      <x14:dataValidations xmlns:xm="http://schemas.microsoft.com/office/excel/2006/main" xWindow="383" yWindow="723" count="4">
        <x14:dataValidation type="list" allowBlank="1" showInputMessage="1" showErrorMessage="1" xr:uid="{00000000-0002-0000-0300-000041000000}">
          <x14:formula1>
            <xm:f>中間データ共通・DACloud!$S$4:$S$8</xm:f>
          </x14:formula1>
          <xm:sqref>BR116:CA118</xm:sqref>
        </x14:dataValidation>
        <x14:dataValidation type="list" allowBlank="1" showInputMessage="1" showErrorMessage="1" xr:uid="{00000000-0002-0000-0300-000042000000}">
          <x14:formula1>
            <xm:f>中間データ共通・DACloud!$M$4:$M$8</xm:f>
          </x14:formula1>
          <xm:sqref>BP90:CA92</xm:sqref>
        </x14:dataValidation>
        <x14:dataValidation type="list" allowBlank="1" showInputMessage="1" showErrorMessage="1" xr:uid="{00000000-0002-0000-0300-000043000000}">
          <x14:formula1>
            <xm:f>'中間データ共通・Desk・f-FILTER・Z-FILTER'!$AA$34:$AA$37</xm:f>
          </x14:formula1>
          <xm:sqref>M125:Y127 N96:X98</xm:sqref>
        </x14:dataValidation>
        <x14:dataValidation type="whole" imeMode="disabled" allowBlank="1" showInputMessage="1" showErrorMessage="1" xr:uid="{00000000-0002-0000-0300-000044000000}">
          <x14:formula1>
            <xm:f>中間データ共通・DACloud!AC4</xm:f>
          </x14:formula1>
          <x14:formula2>
            <xm:f>中間データ共通・DACloud!AC5</xm:f>
          </x14:formula2>
          <xm:sqref>BD155:BK157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EY157"/>
  <sheetViews>
    <sheetView zoomScaleNormal="100" workbookViewId="0">
      <selection activeCell="J20" sqref="J20:L21"/>
    </sheetView>
  </sheetViews>
  <sheetFormatPr defaultColWidth="1.26953125" defaultRowHeight="7.5" customHeight="1"/>
  <cols>
    <col min="1" max="1" width="2.6328125" style="45" customWidth="1"/>
    <col min="2" max="6" width="1.26953125" style="45"/>
    <col min="7" max="7" width="1.26953125" style="45" customWidth="1"/>
    <col min="8" max="9" width="1.26953125" style="45"/>
    <col min="10" max="10" width="1.26953125" style="45" customWidth="1"/>
    <col min="11" max="12" width="1.26953125" style="45"/>
    <col min="13" max="13" width="1.36328125" style="45" customWidth="1"/>
    <col min="14" max="48" width="1.26953125" style="45"/>
    <col min="49" max="49" width="1.26953125" style="45" customWidth="1"/>
    <col min="50" max="57" width="1.26953125" style="45"/>
    <col min="58" max="58" width="1.26953125" style="45" customWidth="1"/>
    <col min="59" max="66" width="1.26953125" style="45"/>
    <col min="67" max="67" width="1.90625" style="45" customWidth="1"/>
    <col min="68" max="90" width="1.26953125" style="45"/>
    <col min="91" max="91" width="2.90625" style="45" customWidth="1"/>
    <col min="92" max="92" width="1.26953125" style="45"/>
    <col min="93" max="93" width="1.26953125" style="45" customWidth="1"/>
    <col min="94" max="94" width="1.26953125" style="45"/>
    <col min="95" max="95" width="1.26953125" style="45" customWidth="1"/>
    <col min="96" max="105" width="1.26953125" style="45"/>
    <col min="106" max="106" width="2.26953125" style="45" customWidth="1"/>
    <col min="107" max="115" width="1.26953125" style="45"/>
    <col min="116" max="116" width="1.6328125" style="45" customWidth="1"/>
    <col min="117" max="117" width="8.08984375" style="45" bestFit="1" customWidth="1"/>
    <col min="118" max="121" width="1.26953125" style="45"/>
    <col min="122" max="122" width="8.36328125" style="45" bestFit="1" customWidth="1"/>
    <col min="123" max="16384" width="1.26953125" style="45"/>
  </cols>
  <sheetData>
    <row r="1" spans="1:117" ht="7.5" customHeight="1">
      <c r="A1" s="2873" t="s">
        <v>1521</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3"/>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c r="BU1" s="2873"/>
      <c r="BV1" s="2873"/>
      <c r="BW1" s="2873"/>
      <c r="BX1" s="2873"/>
      <c r="BY1" s="2873"/>
      <c r="BZ1" s="2873"/>
      <c r="CA1" s="2873"/>
      <c r="CB1" s="2873"/>
      <c r="CC1" s="2873"/>
      <c r="CD1" s="2873"/>
      <c r="CE1" s="2873"/>
      <c r="CF1" s="2873"/>
      <c r="CG1" s="2873"/>
      <c r="CH1" s="2873"/>
      <c r="CI1" s="2873"/>
      <c r="CJ1" s="2873"/>
      <c r="CK1" s="2873"/>
      <c r="CL1" s="2873"/>
      <c r="CM1" s="2873"/>
      <c r="CN1" s="2873"/>
      <c r="CO1" s="2873"/>
      <c r="CP1" s="2873"/>
      <c r="CQ1" s="2873"/>
      <c r="CR1" s="2873"/>
      <c r="CS1" s="2873"/>
      <c r="CT1" s="2873"/>
      <c r="CU1" s="2873"/>
      <c r="CV1" s="2873"/>
      <c r="CW1" s="2873"/>
      <c r="CX1" s="2873"/>
      <c r="CY1" s="2873"/>
      <c r="CZ1" s="2873"/>
      <c r="DA1" s="2873"/>
      <c r="DB1" s="2873"/>
      <c r="DC1" s="2873"/>
      <c r="DD1" s="2873"/>
      <c r="DE1" s="2873"/>
      <c r="DF1" s="2873"/>
      <c r="DG1" s="2873"/>
      <c r="DH1" s="2873"/>
      <c r="DI1" s="2873"/>
      <c r="DJ1" s="2873"/>
      <c r="DK1" s="2873"/>
      <c r="DL1" s="2873"/>
      <c r="DM1" s="49"/>
    </row>
    <row r="2" spans="1:117" ht="7.5" customHeight="1">
      <c r="A2" s="2873"/>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49"/>
    </row>
    <row r="3" spans="1:117" ht="7.5" customHeight="1">
      <c r="A3" s="2873"/>
      <c r="B3" s="2873"/>
      <c r="C3" s="2873"/>
      <c r="D3" s="2873"/>
      <c r="E3" s="2873"/>
      <c r="F3" s="2873"/>
      <c r="G3" s="2873"/>
      <c r="H3" s="2873"/>
      <c r="I3" s="2873"/>
      <c r="J3" s="2873"/>
      <c r="K3" s="2873"/>
      <c r="L3" s="2873"/>
      <c r="M3" s="2873"/>
      <c r="N3" s="2873"/>
      <c r="O3" s="2873"/>
      <c r="P3" s="2873"/>
      <c r="Q3" s="2873"/>
      <c r="R3" s="2873"/>
      <c r="S3" s="2873"/>
      <c r="T3" s="2873"/>
      <c r="U3" s="2873"/>
      <c r="V3" s="2873"/>
      <c r="W3" s="2873"/>
      <c r="X3" s="2873"/>
      <c r="Y3" s="2873"/>
      <c r="Z3" s="2873"/>
      <c r="AA3" s="2873"/>
      <c r="AB3" s="2873"/>
      <c r="AC3" s="2873"/>
      <c r="AD3" s="2873"/>
      <c r="AE3" s="2873"/>
      <c r="AF3" s="2873"/>
      <c r="AG3" s="2873"/>
      <c r="AH3" s="2873"/>
      <c r="AI3" s="2873"/>
      <c r="AJ3" s="2873"/>
      <c r="AK3" s="2873"/>
      <c r="AL3" s="2873"/>
      <c r="AM3" s="2873"/>
      <c r="AN3" s="2873"/>
      <c r="AO3" s="2873"/>
      <c r="AP3" s="2873"/>
      <c r="AQ3" s="2873"/>
      <c r="AR3" s="2873"/>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c r="BP3" s="2873"/>
      <c r="BQ3" s="2873"/>
      <c r="BR3" s="2873"/>
      <c r="BS3" s="2873"/>
      <c r="BT3" s="2873"/>
      <c r="BU3" s="2873"/>
      <c r="BV3" s="2873"/>
      <c r="BW3" s="2873"/>
      <c r="BX3" s="2873"/>
      <c r="BY3" s="2873"/>
      <c r="BZ3" s="2873"/>
      <c r="CA3" s="2873"/>
      <c r="CB3" s="2873"/>
      <c r="CC3" s="2873"/>
      <c r="CD3" s="2873"/>
      <c r="CE3" s="2873"/>
      <c r="CF3" s="2873"/>
      <c r="CG3" s="2873"/>
      <c r="CH3" s="2873"/>
      <c r="CI3" s="2873"/>
      <c r="CJ3" s="2873"/>
      <c r="CK3" s="2873"/>
      <c r="CL3" s="2873"/>
      <c r="CM3" s="2873"/>
      <c r="CN3" s="2873"/>
      <c r="CO3" s="2873"/>
      <c r="CP3" s="2873"/>
      <c r="CQ3" s="2873"/>
      <c r="CR3" s="2873"/>
      <c r="CS3" s="2873"/>
      <c r="CT3" s="2873"/>
      <c r="CU3" s="2873"/>
      <c r="CV3" s="2873"/>
      <c r="CW3" s="2873"/>
      <c r="CX3" s="2873"/>
      <c r="CY3" s="2873"/>
      <c r="CZ3" s="2873"/>
      <c r="DA3" s="2873"/>
      <c r="DB3" s="2873"/>
      <c r="DC3" s="2873"/>
      <c r="DD3" s="2873"/>
      <c r="DE3" s="2873"/>
      <c r="DF3" s="2873"/>
      <c r="DG3" s="2873"/>
      <c r="DH3" s="2873"/>
      <c r="DI3" s="2873"/>
      <c r="DJ3" s="2873"/>
      <c r="DK3" s="2873"/>
      <c r="DL3" s="2873"/>
      <c r="DM3" s="49"/>
    </row>
    <row r="4" spans="1:117" ht="7.5" customHeight="1">
      <c r="A4" s="2868" t="s">
        <v>826</v>
      </c>
      <c r="B4" s="2868"/>
      <c r="C4" s="2868"/>
      <c r="D4" s="2868"/>
      <c r="E4" s="2868"/>
      <c r="F4" s="2868"/>
      <c r="G4" s="2868"/>
      <c r="H4" s="2868"/>
      <c r="I4" s="2868"/>
      <c r="J4" s="2868"/>
      <c r="K4" s="2868"/>
      <c r="L4" s="2868"/>
      <c r="M4" s="2868"/>
      <c r="N4" s="2868"/>
      <c r="O4" s="2868"/>
      <c r="P4" s="2868"/>
      <c r="Q4" s="2868"/>
      <c r="R4" s="2868"/>
      <c r="S4" s="2868"/>
      <c r="T4" s="2868"/>
      <c r="U4" s="2868"/>
      <c r="V4" s="2868"/>
      <c r="W4" s="2868"/>
      <c r="X4" s="2868"/>
      <c r="Y4" s="2868"/>
      <c r="Z4" s="2868"/>
      <c r="AA4" s="2868"/>
      <c r="AB4" s="2868"/>
      <c r="AC4" s="2868"/>
      <c r="AD4" s="2868"/>
      <c r="AE4" s="2868"/>
      <c r="AF4" s="2868"/>
      <c r="AG4" s="2868"/>
      <c r="AH4" s="2868"/>
      <c r="AI4" s="2868"/>
      <c r="AK4" s="335"/>
      <c r="AL4" s="335"/>
      <c r="AM4" s="335"/>
      <c r="AN4" s="335"/>
      <c r="AO4" s="335"/>
      <c r="AP4" s="335"/>
      <c r="AQ4" s="335"/>
      <c r="AR4" s="335"/>
      <c r="AS4" s="335"/>
      <c r="AT4" s="335"/>
      <c r="AU4" s="335"/>
      <c r="AV4" s="335"/>
      <c r="AW4" s="335"/>
      <c r="AX4" s="335"/>
      <c r="AY4" s="335"/>
      <c r="AZ4" s="335"/>
      <c r="BA4" s="335"/>
      <c r="BB4" s="335"/>
      <c r="BC4" s="335"/>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44"/>
      <c r="CV4" s="44"/>
      <c r="CW4" s="44"/>
      <c r="CX4" s="44"/>
      <c r="CY4" s="44"/>
      <c r="CZ4" s="44"/>
      <c r="DA4" s="44"/>
      <c r="DB4" s="44"/>
      <c r="DC4" s="44"/>
      <c r="DD4" s="44"/>
      <c r="DE4" s="44"/>
      <c r="DF4" s="44"/>
      <c r="DG4" s="44"/>
      <c r="DH4" s="44"/>
      <c r="DI4" s="44"/>
      <c r="DJ4" s="44"/>
      <c r="DK4" s="44"/>
      <c r="DL4" s="44"/>
    </row>
    <row r="5" spans="1:117" ht="7.5" customHeight="1">
      <c r="A5" s="2868"/>
      <c r="B5" s="2868"/>
      <c r="C5" s="2868"/>
      <c r="D5" s="2868"/>
      <c r="E5" s="2868"/>
      <c r="F5" s="2868"/>
      <c r="G5" s="2868"/>
      <c r="H5" s="2868"/>
      <c r="I5" s="2868"/>
      <c r="J5" s="2868"/>
      <c r="K5" s="2868"/>
      <c r="L5" s="2868"/>
      <c r="M5" s="2868"/>
      <c r="N5" s="2868"/>
      <c r="O5" s="2868"/>
      <c r="P5" s="2868"/>
      <c r="Q5" s="2868"/>
      <c r="R5" s="2868"/>
      <c r="S5" s="2868"/>
      <c r="T5" s="2868"/>
      <c r="U5" s="2868"/>
      <c r="V5" s="2868"/>
      <c r="W5" s="2868"/>
      <c r="X5" s="2868"/>
      <c r="Y5" s="2868"/>
      <c r="Z5" s="2868"/>
      <c r="AA5" s="2868"/>
      <c r="AB5" s="2868"/>
      <c r="AC5" s="2868"/>
      <c r="AD5" s="2868"/>
      <c r="AE5" s="2868"/>
      <c r="AF5" s="2868"/>
      <c r="AG5" s="2868"/>
      <c r="AH5" s="2868"/>
      <c r="AI5" s="2868"/>
      <c r="AJ5" s="335"/>
      <c r="AK5" s="335"/>
      <c r="AL5" s="335"/>
      <c r="AM5" s="335"/>
      <c r="AN5" s="335"/>
      <c r="AO5" s="335"/>
      <c r="AP5" s="335"/>
      <c r="AQ5" s="335"/>
      <c r="AR5" s="335"/>
      <c r="AS5" s="335"/>
      <c r="AT5" s="335"/>
      <c r="AU5" s="335"/>
      <c r="AV5" s="335"/>
      <c r="AW5" s="335"/>
      <c r="AX5" s="335"/>
      <c r="AY5" s="335"/>
      <c r="AZ5" s="335"/>
      <c r="BA5" s="335"/>
      <c r="BB5" s="335"/>
      <c r="BC5" s="335"/>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44"/>
      <c r="CV5" s="44"/>
      <c r="CW5" s="44"/>
      <c r="CX5" s="44"/>
      <c r="CY5" s="44"/>
      <c r="CZ5" s="44"/>
      <c r="DA5" s="44"/>
      <c r="DB5" s="44"/>
      <c r="DC5" s="44"/>
      <c r="DD5" s="44"/>
      <c r="DE5" s="44"/>
      <c r="DF5" s="44"/>
      <c r="DG5" s="44"/>
      <c r="DH5" s="44"/>
      <c r="DI5" s="44"/>
      <c r="DJ5" s="44"/>
      <c r="DK5" s="44"/>
      <c r="DL5" s="44"/>
    </row>
    <row r="6" spans="1:117" ht="7.5" customHeight="1">
      <c r="A6" s="2868"/>
      <c r="B6" s="2868"/>
      <c r="C6" s="2868"/>
      <c r="D6" s="2868"/>
      <c r="E6" s="2868"/>
      <c r="F6" s="2868"/>
      <c r="G6" s="2868"/>
      <c r="H6" s="2868"/>
      <c r="I6" s="2868"/>
      <c r="J6" s="2868"/>
      <c r="K6" s="2868"/>
      <c r="L6" s="2868"/>
      <c r="M6" s="2868"/>
      <c r="N6" s="2868"/>
      <c r="O6" s="2868"/>
      <c r="P6" s="2868"/>
      <c r="Q6" s="2868"/>
      <c r="R6" s="2868"/>
      <c r="S6" s="2868"/>
      <c r="T6" s="2868"/>
      <c r="U6" s="2868"/>
      <c r="V6" s="2868"/>
      <c r="W6" s="2868"/>
      <c r="X6" s="2868"/>
      <c r="Y6" s="2868"/>
      <c r="Z6" s="2868"/>
      <c r="AA6" s="2868"/>
      <c r="AB6" s="2868"/>
      <c r="AC6" s="2868"/>
      <c r="AD6" s="2868"/>
      <c r="AE6" s="2868"/>
      <c r="AF6" s="2868"/>
      <c r="AG6" s="2868"/>
      <c r="AH6" s="2868"/>
      <c r="AI6" s="2868"/>
      <c r="AJ6" s="335"/>
      <c r="AK6" s="335"/>
      <c r="AL6" s="335"/>
      <c r="AM6" s="335"/>
      <c r="AN6" s="335"/>
      <c r="AO6" s="335"/>
      <c r="AP6" s="335"/>
      <c r="AQ6" s="335"/>
      <c r="AR6" s="335"/>
      <c r="AS6" s="335"/>
      <c r="AT6" s="335"/>
      <c r="AU6" s="335"/>
      <c r="AV6" s="335"/>
      <c r="AW6" s="335"/>
      <c r="AX6" s="335"/>
      <c r="AY6" s="335"/>
      <c r="AZ6" s="335"/>
      <c r="BA6" s="335"/>
      <c r="BB6" s="335"/>
      <c r="BC6" s="335"/>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44"/>
      <c r="CV6" s="44"/>
      <c r="CW6" s="44"/>
      <c r="CX6" s="44"/>
      <c r="CY6" s="44"/>
      <c r="CZ6" s="44"/>
      <c r="DA6" s="44"/>
      <c r="DB6" s="44"/>
      <c r="DC6" s="44"/>
      <c r="DD6" s="44"/>
      <c r="DE6" s="44"/>
      <c r="DF6" s="44"/>
      <c r="DG6" s="44"/>
      <c r="DH6" s="44"/>
      <c r="DI6" s="44"/>
      <c r="DJ6" s="44"/>
      <c r="DK6" s="44"/>
      <c r="DL6" s="44"/>
    </row>
    <row r="7" spans="1:117" ht="7.5" customHeight="1">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row>
    <row r="8" spans="1:117" ht="7.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row>
    <row r="9" spans="1:117" ht="7.5" customHeigh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row>
    <row r="10" spans="1:117" ht="7.5" customHeigh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row>
    <row r="11" spans="1:117" ht="7.5"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row>
    <row r="12" spans="1:117" ht="7.5" customHeight="1">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row>
    <row r="13" spans="1:117" ht="7.5" customHeight="1">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row>
    <row r="14" spans="1:117" ht="7.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row>
    <row r="15" spans="1:117" ht="7.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row>
    <row r="16" spans="1:117" ht="7.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row>
    <row r="17" spans="1:119" ht="7.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row>
    <row r="18" spans="1:119" ht="7.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row>
    <row r="19" spans="1:119" ht="7.5" customHeight="1" thickBo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row>
    <row r="20" spans="1:119"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798</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row>
    <row r="21" spans="1:119"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row>
    <row r="22" spans="1:119"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2916" t="s">
        <v>169</v>
      </c>
      <c r="AA22" s="2916"/>
      <c r="AB22" s="2916"/>
      <c r="AC22" s="2916"/>
      <c r="AD22" s="2916"/>
      <c r="AE22" s="2916"/>
      <c r="AF22" s="2916"/>
      <c r="AG22" s="2916"/>
      <c r="AH22" s="2916"/>
      <c r="AI22" s="2916"/>
      <c r="AJ22" s="2916"/>
      <c r="AK22" s="2916"/>
      <c r="AL22" s="2916"/>
      <c r="AM22" s="2916"/>
      <c r="AN22" s="2916"/>
      <c r="AO22" s="2916"/>
      <c r="AP22" s="2916"/>
      <c r="AQ22" s="2916"/>
      <c r="AR22" s="2916"/>
      <c r="AS22" s="2916"/>
      <c r="AT22" s="2916"/>
      <c r="AU22" s="2916"/>
      <c r="AV22" s="2916"/>
      <c r="AW22" s="2916"/>
      <c r="AX22" s="2916"/>
      <c r="AY22" s="2916"/>
      <c r="AZ22" s="2916"/>
      <c r="BA22" s="2916"/>
      <c r="BB22" s="2916"/>
      <c r="BC22" s="2916"/>
      <c r="BD22" s="2916"/>
      <c r="BE22" s="2916"/>
      <c r="BF22" s="2917"/>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5" t="s">
        <v>1260</v>
      </c>
      <c r="CW22" s="846"/>
      <c r="CX22" s="846"/>
      <c r="CY22" s="846"/>
      <c r="CZ22" s="846"/>
      <c r="DA22" s="846"/>
      <c r="DB22" s="846"/>
      <c r="DC22" s="846"/>
      <c r="DD22" s="846"/>
      <c r="DE22" s="2928"/>
      <c r="DF22" s="849"/>
      <c r="DG22" s="850"/>
      <c r="DH22" s="850"/>
      <c r="DI22" s="850"/>
      <c r="DJ22" s="850"/>
      <c r="DK22" s="851"/>
      <c r="DL22" s="47"/>
    </row>
    <row r="23" spans="1:119"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2918"/>
      <c r="AA23" s="2918"/>
      <c r="AB23" s="2918"/>
      <c r="AC23" s="2918"/>
      <c r="AD23" s="2918"/>
      <c r="AE23" s="2918"/>
      <c r="AF23" s="2918"/>
      <c r="AG23" s="2918"/>
      <c r="AH23" s="2918"/>
      <c r="AI23" s="2918"/>
      <c r="AJ23" s="2918"/>
      <c r="AK23" s="2918"/>
      <c r="AL23" s="2918"/>
      <c r="AM23" s="2918"/>
      <c r="AN23" s="2918"/>
      <c r="AO23" s="2918"/>
      <c r="AP23" s="2918"/>
      <c r="AQ23" s="2918"/>
      <c r="AR23" s="2918"/>
      <c r="AS23" s="2918"/>
      <c r="AT23" s="2918"/>
      <c r="AU23" s="2918"/>
      <c r="AV23" s="2918"/>
      <c r="AW23" s="2918"/>
      <c r="AX23" s="2918"/>
      <c r="AY23" s="2918"/>
      <c r="AZ23" s="2918"/>
      <c r="BA23" s="2918"/>
      <c r="BB23" s="2918"/>
      <c r="BC23" s="2918"/>
      <c r="BD23" s="2918"/>
      <c r="BE23" s="2918"/>
      <c r="BF23" s="2919"/>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7"/>
      <c r="CW23" s="848"/>
      <c r="CX23" s="848"/>
      <c r="CY23" s="848"/>
      <c r="CZ23" s="848"/>
      <c r="DA23" s="848"/>
      <c r="DB23" s="848"/>
      <c r="DC23" s="848"/>
      <c r="DD23" s="848"/>
      <c r="DE23" s="2929"/>
      <c r="DF23" s="852"/>
      <c r="DG23" s="853"/>
      <c r="DH23" s="853"/>
      <c r="DI23" s="853"/>
      <c r="DJ23" s="853"/>
      <c r="DK23" s="854"/>
      <c r="DL23" s="47"/>
    </row>
    <row r="24" spans="1:119"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2918"/>
      <c r="AA24" s="2918"/>
      <c r="AB24" s="2918"/>
      <c r="AC24" s="2918"/>
      <c r="AD24" s="2918"/>
      <c r="AE24" s="2918"/>
      <c r="AF24" s="2918"/>
      <c r="AG24" s="2918"/>
      <c r="AH24" s="2918"/>
      <c r="AI24" s="2918"/>
      <c r="AJ24" s="2918"/>
      <c r="AK24" s="2918"/>
      <c r="AL24" s="2918"/>
      <c r="AM24" s="2918"/>
      <c r="AN24" s="2918"/>
      <c r="AO24" s="2918"/>
      <c r="AP24" s="2918"/>
      <c r="AQ24" s="2918"/>
      <c r="AR24" s="2918"/>
      <c r="AS24" s="2918"/>
      <c r="AT24" s="2918"/>
      <c r="AU24" s="2918"/>
      <c r="AV24" s="2918"/>
      <c r="AW24" s="2918"/>
      <c r="AX24" s="2918"/>
      <c r="AY24" s="2918"/>
      <c r="AZ24" s="2918"/>
      <c r="BA24" s="2918"/>
      <c r="BB24" s="2918"/>
      <c r="BC24" s="2918"/>
      <c r="BD24" s="2918"/>
      <c r="BE24" s="2918"/>
      <c r="BF24" s="2919"/>
      <c r="BG24" s="201"/>
      <c r="BH24" s="44"/>
      <c r="BI24" s="855"/>
      <c r="BJ24" s="856"/>
      <c r="BK24" s="547"/>
      <c r="BL24" s="547"/>
      <c r="BM24" s="548"/>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row>
    <row r="25" spans="1:119" ht="7.5" customHeight="1" thickTop="1">
      <c r="A25" s="48"/>
      <c r="B25" s="2910" t="s">
        <v>566</v>
      </c>
      <c r="C25" s="2911"/>
      <c r="D25" s="2911"/>
      <c r="E25" s="2911"/>
      <c r="F25" s="2912"/>
      <c r="G25" s="813"/>
      <c r="H25" s="814"/>
      <c r="I25" s="814"/>
      <c r="J25" s="814"/>
      <c r="K25" s="814"/>
      <c r="L25" s="814"/>
      <c r="M25" s="814"/>
      <c r="N25" s="814"/>
      <c r="O25" s="814"/>
      <c r="P25" s="814"/>
      <c r="Q25" s="814"/>
      <c r="R25" s="814"/>
      <c r="S25" s="814"/>
      <c r="T25" s="814"/>
      <c r="U25" s="814"/>
      <c r="V25" s="814"/>
      <c r="W25" s="814"/>
      <c r="X25" s="814"/>
      <c r="Y25" s="814"/>
      <c r="Z25" s="814"/>
      <c r="AA25" s="814"/>
      <c r="AB25" s="814"/>
      <c r="AC25" s="814"/>
      <c r="AD25" s="815"/>
      <c r="AE25" s="2920" t="s">
        <v>170</v>
      </c>
      <c r="AF25" s="2920"/>
      <c r="AG25" s="2920"/>
      <c r="AH25" s="2920"/>
      <c r="AI25" s="2920"/>
      <c r="AJ25" s="2922"/>
      <c r="AK25" s="2923"/>
      <c r="AL25" s="2923"/>
      <c r="AM25" s="2923"/>
      <c r="AN25" s="2923"/>
      <c r="AO25" s="2923"/>
      <c r="AP25" s="2923"/>
      <c r="AQ25" s="2923"/>
      <c r="AR25" s="2923"/>
      <c r="AS25" s="2923"/>
      <c r="AT25" s="2923"/>
      <c r="AU25" s="2923"/>
      <c r="AV25" s="2923"/>
      <c r="AW25" s="2923"/>
      <c r="AX25" s="2923"/>
      <c r="AY25" s="2923"/>
      <c r="AZ25" s="2923"/>
      <c r="BA25" s="2923"/>
      <c r="BB25" s="2923"/>
      <c r="BC25" s="2923"/>
      <c r="BD25" s="2923"/>
      <c r="BE25" s="2923"/>
      <c r="BF25" s="2924"/>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row>
    <row r="26" spans="1:119" ht="7.5" customHeight="1" thickBot="1">
      <c r="A26" s="48"/>
      <c r="B26" s="2913"/>
      <c r="C26" s="2914"/>
      <c r="D26" s="2914"/>
      <c r="E26" s="2914"/>
      <c r="F26" s="2915"/>
      <c r="G26" s="816"/>
      <c r="H26" s="817"/>
      <c r="I26" s="817"/>
      <c r="J26" s="817"/>
      <c r="K26" s="817"/>
      <c r="L26" s="817"/>
      <c r="M26" s="817"/>
      <c r="N26" s="817"/>
      <c r="O26" s="817"/>
      <c r="P26" s="817"/>
      <c r="Q26" s="817"/>
      <c r="R26" s="817"/>
      <c r="S26" s="817"/>
      <c r="T26" s="817"/>
      <c r="U26" s="817"/>
      <c r="V26" s="817"/>
      <c r="W26" s="817"/>
      <c r="X26" s="817"/>
      <c r="Y26" s="817"/>
      <c r="Z26" s="817"/>
      <c r="AA26" s="817"/>
      <c r="AB26" s="817"/>
      <c r="AC26" s="817"/>
      <c r="AD26" s="818"/>
      <c r="AE26" s="2921"/>
      <c r="AF26" s="2921"/>
      <c r="AG26" s="2921"/>
      <c r="AH26" s="2921"/>
      <c r="AI26" s="2921"/>
      <c r="AJ26" s="2925"/>
      <c r="AK26" s="2926"/>
      <c r="AL26" s="2926"/>
      <c r="AM26" s="2926"/>
      <c r="AN26" s="2926"/>
      <c r="AO26" s="2926"/>
      <c r="AP26" s="2926"/>
      <c r="AQ26" s="2926"/>
      <c r="AR26" s="2926"/>
      <c r="AS26" s="2926"/>
      <c r="AT26" s="2926"/>
      <c r="AU26" s="2926"/>
      <c r="AV26" s="2926"/>
      <c r="AW26" s="2926"/>
      <c r="AX26" s="2926"/>
      <c r="AY26" s="2926"/>
      <c r="AZ26" s="2926"/>
      <c r="BA26" s="2926"/>
      <c r="BB26" s="2926"/>
      <c r="BC26" s="2926"/>
      <c r="BD26" s="2926"/>
      <c r="BE26" s="2926"/>
      <c r="BF26" s="2927"/>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9"/>
      <c r="DN26" s="49"/>
      <c r="DO26" s="49"/>
    </row>
    <row r="27" spans="1:119"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9"/>
      <c r="BJ27" s="550"/>
      <c r="BK27" s="550"/>
      <c r="BL27" s="550"/>
      <c r="BM27" s="551"/>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9"/>
      <c r="DN27" s="49"/>
      <c r="DO27" s="49"/>
    </row>
    <row r="28" spans="1:119" ht="7.5" customHeight="1" thickTop="1">
      <c r="A28" s="48"/>
      <c r="B28" s="783" t="s">
        <v>792</v>
      </c>
      <c r="C28" s="784"/>
      <c r="D28" s="784"/>
      <c r="E28" s="784"/>
      <c r="F28" s="784"/>
      <c r="G28" s="784"/>
      <c r="H28" s="784"/>
      <c r="I28" s="784"/>
      <c r="J28" s="784"/>
      <c r="K28" s="784"/>
      <c r="L28" s="784"/>
      <c r="M28" s="784"/>
      <c r="N28" s="784"/>
      <c r="O28" s="784"/>
      <c r="P28" s="784"/>
      <c r="Q28" s="784"/>
      <c r="R28" s="784"/>
      <c r="S28" s="784"/>
      <c r="T28" s="784"/>
      <c r="U28" s="784"/>
      <c r="V28" s="784"/>
      <c r="W28" s="784"/>
      <c r="X28" s="784"/>
      <c r="Y28" s="784"/>
      <c r="Z28" s="784"/>
      <c r="AA28" s="784"/>
      <c r="AB28" s="784"/>
      <c r="AC28" s="784"/>
      <c r="AD28" s="784"/>
      <c r="AE28" s="784"/>
      <c r="AF28" s="784"/>
      <c r="AG28" s="784"/>
      <c r="AH28" s="784"/>
      <c r="AI28" s="784"/>
      <c r="AJ28" s="784"/>
      <c r="AK28" s="784"/>
      <c r="AL28" s="784"/>
      <c r="AM28" s="2902"/>
      <c r="AN28" s="2898" t="s">
        <v>796</v>
      </c>
      <c r="AO28" s="2899"/>
      <c r="AP28" s="2899"/>
      <c r="AQ28" s="2900"/>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9"/>
      <c r="DN28" s="49"/>
      <c r="DO28" s="49"/>
    </row>
    <row r="29" spans="1:119" ht="7.5" customHeight="1">
      <c r="A29" s="48"/>
      <c r="B29" s="785"/>
      <c r="C29" s="786"/>
      <c r="D29" s="786"/>
      <c r="E29" s="786"/>
      <c r="F29" s="786"/>
      <c r="G29" s="786"/>
      <c r="H29" s="786"/>
      <c r="I29" s="786"/>
      <c r="J29" s="786"/>
      <c r="K29" s="786"/>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2903"/>
      <c r="AN29" s="953"/>
      <c r="AO29" s="839"/>
      <c r="AP29" s="839"/>
      <c r="AQ29" s="2901"/>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9"/>
      <c r="DN29" s="49"/>
      <c r="DO29" s="49"/>
    </row>
    <row r="30" spans="1:119" ht="7.5" customHeight="1">
      <c r="A30" s="48"/>
      <c r="B30" s="866" t="s">
        <v>72</v>
      </c>
      <c r="C30" s="867"/>
      <c r="D30" s="867"/>
      <c r="E30" s="867"/>
      <c r="F30" s="868"/>
      <c r="G30" s="869"/>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BE30" s="870"/>
      <c r="BF30" s="871"/>
      <c r="BG30" s="54"/>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row>
    <row r="31" spans="1:119" ht="7.5" customHeight="1" thickBot="1">
      <c r="A31" s="48"/>
      <c r="B31" s="910" t="s">
        <v>794</v>
      </c>
      <c r="C31" s="911"/>
      <c r="D31" s="911"/>
      <c r="E31" s="911"/>
      <c r="F31" s="912"/>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54"/>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row>
    <row r="32" spans="1:119" ht="7.5" customHeight="1" thickBot="1">
      <c r="A32" s="48"/>
      <c r="B32" s="913"/>
      <c r="C32" s="914"/>
      <c r="D32" s="914"/>
      <c r="E32" s="914"/>
      <c r="F32" s="915"/>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54"/>
      <c r="BH32" s="48"/>
      <c r="BI32" s="391"/>
      <c r="DK32" s="392"/>
      <c r="DL32" s="51"/>
    </row>
    <row r="33" spans="1:117" ht="7.5" customHeight="1">
      <c r="A33" s="48"/>
      <c r="B33" s="857" t="s">
        <v>75</v>
      </c>
      <c r="C33" s="858"/>
      <c r="D33" s="858"/>
      <c r="E33" s="858"/>
      <c r="F33" s="859"/>
      <c r="G33" s="799" t="s">
        <v>73</v>
      </c>
      <c r="H33" s="800"/>
      <c r="I33" s="800"/>
      <c r="J33" s="800"/>
      <c r="K33" s="800"/>
      <c r="L33" s="801"/>
      <c r="M33" s="793"/>
      <c r="N33" s="794"/>
      <c r="O33" s="794"/>
      <c r="P33" s="794"/>
      <c r="Q33" s="794"/>
      <c r="R33" s="794"/>
      <c r="S33" s="794"/>
      <c r="T33" s="794"/>
      <c r="U33" s="794"/>
      <c r="V33" s="794"/>
      <c r="W33" s="795"/>
      <c r="X33" s="799" t="s">
        <v>11</v>
      </c>
      <c r="Y33" s="800"/>
      <c r="Z33" s="800"/>
      <c r="AA33" s="800"/>
      <c r="AB33" s="800"/>
      <c r="AC33" s="801"/>
      <c r="AD33" s="793"/>
      <c r="AE33" s="794"/>
      <c r="AF33" s="794"/>
      <c r="AG33" s="794"/>
      <c r="AH33" s="794"/>
      <c r="AI33" s="794"/>
      <c r="AJ33" s="794"/>
      <c r="AK33" s="794"/>
      <c r="AL33" s="794"/>
      <c r="AM33" s="794"/>
      <c r="AN33" s="795"/>
      <c r="AO33" s="799" t="s">
        <v>74</v>
      </c>
      <c r="AP33" s="800"/>
      <c r="AQ33" s="800"/>
      <c r="AR33" s="800"/>
      <c r="AS33" s="800"/>
      <c r="AT33" s="801"/>
      <c r="AU33" s="793"/>
      <c r="AV33" s="794"/>
      <c r="AW33" s="794"/>
      <c r="AX33" s="794"/>
      <c r="AY33" s="794"/>
      <c r="AZ33" s="794"/>
      <c r="BA33" s="794"/>
      <c r="BB33" s="794"/>
      <c r="BC33" s="794"/>
      <c r="BD33" s="794"/>
      <c r="BE33" s="794"/>
      <c r="BF33" s="805"/>
      <c r="BG33" s="54"/>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798</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row>
    <row r="34" spans="1:117" ht="7.5" customHeight="1">
      <c r="A34" s="48"/>
      <c r="B34" s="860"/>
      <c r="C34" s="861"/>
      <c r="D34" s="861"/>
      <c r="E34" s="861"/>
      <c r="F34" s="862"/>
      <c r="G34" s="802"/>
      <c r="H34" s="803"/>
      <c r="I34" s="803"/>
      <c r="J34" s="803"/>
      <c r="K34" s="803"/>
      <c r="L34" s="804"/>
      <c r="M34" s="796"/>
      <c r="N34" s="797"/>
      <c r="O34" s="797"/>
      <c r="P34" s="797"/>
      <c r="Q34" s="797"/>
      <c r="R34" s="797"/>
      <c r="S34" s="797"/>
      <c r="T34" s="797"/>
      <c r="U34" s="797"/>
      <c r="V34" s="797"/>
      <c r="W34" s="798"/>
      <c r="X34" s="802"/>
      <c r="Y34" s="803"/>
      <c r="Z34" s="803"/>
      <c r="AA34" s="803"/>
      <c r="AB34" s="803"/>
      <c r="AC34" s="804"/>
      <c r="AD34" s="796"/>
      <c r="AE34" s="797"/>
      <c r="AF34" s="797"/>
      <c r="AG34" s="797"/>
      <c r="AH34" s="797"/>
      <c r="AI34" s="797"/>
      <c r="AJ34" s="797"/>
      <c r="AK34" s="797"/>
      <c r="AL34" s="797"/>
      <c r="AM34" s="797"/>
      <c r="AN34" s="798"/>
      <c r="AO34" s="802"/>
      <c r="AP34" s="803"/>
      <c r="AQ34" s="803"/>
      <c r="AR34" s="803"/>
      <c r="AS34" s="803"/>
      <c r="AT34" s="804"/>
      <c r="AU34" s="796"/>
      <c r="AV34" s="797"/>
      <c r="AW34" s="797"/>
      <c r="AX34" s="797"/>
      <c r="AY34" s="797"/>
      <c r="AZ34" s="797"/>
      <c r="BA34" s="797"/>
      <c r="BB34" s="797"/>
      <c r="BC34" s="797"/>
      <c r="BD34" s="797"/>
      <c r="BE34" s="797"/>
      <c r="BF34" s="806"/>
      <c r="BG34" s="54"/>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row>
    <row r="35" spans="1:117" ht="7.5" customHeight="1">
      <c r="A35" s="48"/>
      <c r="B35" s="860"/>
      <c r="C35" s="861"/>
      <c r="D35" s="861"/>
      <c r="E35" s="861"/>
      <c r="F35" s="862"/>
      <c r="G35" s="799" t="s">
        <v>76</v>
      </c>
      <c r="H35" s="800"/>
      <c r="I35" s="800"/>
      <c r="J35" s="800"/>
      <c r="K35" s="800"/>
      <c r="L35" s="801"/>
      <c r="M35" s="793"/>
      <c r="N35" s="794"/>
      <c r="O35" s="794"/>
      <c r="P35" s="794"/>
      <c r="Q35" s="794"/>
      <c r="R35" s="794"/>
      <c r="S35" s="794"/>
      <c r="T35" s="794"/>
      <c r="U35" s="794"/>
      <c r="V35" s="794"/>
      <c r="W35" s="794"/>
      <c r="X35" s="794"/>
      <c r="Y35" s="794"/>
      <c r="Z35" s="794"/>
      <c r="AA35" s="794"/>
      <c r="AB35" s="794"/>
      <c r="AC35" s="794"/>
      <c r="AD35" s="794"/>
      <c r="AE35" s="794"/>
      <c r="AF35" s="795"/>
      <c r="AG35" s="799" t="s">
        <v>77</v>
      </c>
      <c r="AH35" s="800"/>
      <c r="AI35" s="800"/>
      <c r="AJ35" s="800"/>
      <c r="AK35" s="800"/>
      <c r="AL35" s="801"/>
      <c r="AM35" s="928"/>
      <c r="AN35" s="929"/>
      <c r="AO35" s="929"/>
      <c r="AP35" s="929"/>
      <c r="AQ35" s="929"/>
      <c r="AR35" s="929"/>
      <c r="AS35" s="929"/>
      <c r="AT35" s="929"/>
      <c r="AU35" s="929"/>
      <c r="AV35" s="929"/>
      <c r="AW35" s="929"/>
      <c r="AX35" s="929"/>
      <c r="AY35" s="929"/>
      <c r="AZ35" s="929"/>
      <c r="BA35" s="929"/>
      <c r="BB35" s="929"/>
      <c r="BC35" s="929"/>
      <c r="BD35" s="929"/>
      <c r="BE35" s="929"/>
      <c r="BF35" s="930"/>
      <c r="BG35" s="54"/>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row>
    <row r="36" spans="1:117" ht="7.5" customHeight="1">
      <c r="A36" s="48"/>
      <c r="B36" s="863"/>
      <c r="C36" s="864"/>
      <c r="D36" s="864"/>
      <c r="E36" s="864"/>
      <c r="F36" s="865"/>
      <c r="G36" s="802"/>
      <c r="H36" s="803"/>
      <c r="I36" s="803"/>
      <c r="J36" s="803"/>
      <c r="K36" s="803"/>
      <c r="L36" s="804"/>
      <c r="M36" s="796"/>
      <c r="N36" s="797"/>
      <c r="O36" s="797"/>
      <c r="P36" s="797"/>
      <c r="Q36" s="797"/>
      <c r="R36" s="797"/>
      <c r="S36" s="797"/>
      <c r="T36" s="797"/>
      <c r="U36" s="797"/>
      <c r="V36" s="797"/>
      <c r="W36" s="797"/>
      <c r="X36" s="797"/>
      <c r="Y36" s="797"/>
      <c r="Z36" s="797"/>
      <c r="AA36" s="797"/>
      <c r="AB36" s="797"/>
      <c r="AC36" s="797"/>
      <c r="AD36" s="797"/>
      <c r="AE36" s="797"/>
      <c r="AF36" s="798"/>
      <c r="AG36" s="802"/>
      <c r="AH36" s="803"/>
      <c r="AI36" s="803"/>
      <c r="AJ36" s="803"/>
      <c r="AK36" s="803"/>
      <c r="AL36" s="804"/>
      <c r="AM36" s="931"/>
      <c r="AN36" s="932"/>
      <c r="AO36" s="932"/>
      <c r="AP36" s="932"/>
      <c r="AQ36" s="932"/>
      <c r="AR36" s="932"/>
      <c r="AS36" s="932"/>
      <c r="AT36" s="932"/>
      <c r="AU36" s="932"/>
      <c r="AV36" s="932"/>
      <c r="AW36" s="932"/>
      <c r="AX36" s="932"/>
      <c r="AY36" s="932"/>
      <c r="AZ36" s="932"/>
      <c r="BA36" s="932"/>
      <c r="BB36" s="932"/>
      <c r="BC36" s="932"/>
      <c r="BD36" s="932"/>
      <c r="BE36" s="932"/>
      <c r="BF36" s="933"/>
      <c r="BG36" s="54"/>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row>
    <row r="37" spans="1:117" ht="7.5" customHeight="1">
      <c r="A37" s="48"/>
      <c r="B37" s="1012" t="s">
        <v>795</v>
      </c>
      <c r="C37" s="1013"/>
      <c r="D37" s="1013"/>
      <c r="E37" s="1013"/>
      <c r="F37" s="1014"/>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1030" t="s">
        <v>72</v>
      </c>
      <c r="AC37" s="1030"/>
      <c r="AD37" s="1030"/>
      <c r="AE37" s="1030"/>
      <c r="AF37" s="1031"/>
      <c r="AG37" s="1032"/>
      <c r="AH37" s="1033"/>
      <c r="AI37" s="1033"/>
      <c r="AJ37" s="1033"/>
      <c r="AK37" s="1033"/>
      <c r="AL37" s="1033"/>
      <c r="AM37" s="1033"/>
      <c r="AN37" s="1033"/>
      <c r="AO37" s="1033"/>
      <c r="AP37" s="1033"/>
      <c r="AQ37" s="1033"/>
      <c r="AR37" s="1033"/>
      <c r="AS37" s="1033"/>
      <c r="AT37" s="1050"/>
      <c r="AU37" s="1033"/>
      <c r="AV37" s="1033"/>
      <c r="AW37" s="1033"/>
      <c r="AX37" s="1033"/>
      <c r="AY37" s="1033"/>
      <c r="AZ37" s="1033"/>
      <c r="BA37" s="1033"/>
      <c r="BB37" s="1033"/>
      <c r="BC37" s="1033"/>
      <c r="BD37" s="1033"/>
      <c r="BE37" s="1033"/>
      <c r="BF37" s="1051"/>
      <c r="BG37" s="54"/>
      <c r="BH37" s="48"/>
      <c r="BI37" s="855"/>
      <c r="BJ37" s="856"/>
      <c r="BK37" s="547"/>
      <c r="BL37" s="547"/>
      <c r="BM37" s="548"/>
      <c r="BN37" s="969" t="s">
        <v>73</v>
      </c>
      <c r="BO37" s="970"/>
      <c r="BP37" s="970"/>
      <c r="BQ37" s="970"/>
      <c r="BR37" s="970"/>
      <c r="BS37" s="971"/>
      <c r="BT37" s="793"/>
      <c r="BU37" s="794"/>
      <c r="BV37" s="794"/>
      <c r="BW37" s="794"/>
      <c r="BX37" s="794"/>
      <c r="BY37" s="794"/>
      <c r="BZ37" s="794"/>
      <c r="CA37" s="794"/>
      <c r="CB37" s="794"/>
      <c r="CC37" s="794"/>
      <c r="CD37" s="795"/>
      <c r="CE37" s="969" t="s">
        <v>11</v>
      </c>
      <c r="CF37" s="970"/>
      <c r="CG37" s="970"/>
      <c r="CH37" s="970"/>
      <c r="CI37" s="970"/>
      <c r="CJ37" s="971"/>
      <c r="CK37" s="793"/>
      <c r="CL37" s="794"/>
      <c r="CM37" s="794"/>
      <c r="CN37" s="794"/>
      <c r="CO37" s="794"/>
      <c r="CP37" s="794"/>
      <c r="CQ37" s="794"/>
      <c r="CR37" s="794"/>
      <c r="CS37" s="794"/>
      <c r="CT37" s="794"/>
      <c r="CU37" s="795"/>
      <c r="CV37" s="969" t="s">
        <v>74</v>
      </c>
      <c r="CW37" s="970"/>
      <c r="CX37" s="970"/>
      <c r="CY37" s="970"/>
      <c r="CZ37" s="970"/>
      <c r="DA37" s="971"/>
      <c r="DB37" s="793"/>
      <c r="DC37" s="794"/>
      <c r="DD37" s="794"/>
      <c r="DE37" s="794"/>
      <c r="DF37" s="794"/>
      <c r="DG37" s="794"/>
      <c r="DH37" s="794"/>
      <c r="DI37" s="794"/>
      <c r="DJ37" s="794"/>
      <c r="DK37" s="805"/>
      <c r="DL37" s="521"/>
      <c r="DM37" s="507"/>
    </row>
    <row r="38" spans="1:117" ht="7.5" customHeight="1">
      <c r="A38" s="48"/>
      <c r="B38" s="1015"/>
      <c r="C38" s="1016"/>
      <c r="D38" s="1016"/>
      <c r="E38" s="1016"/>
      <c r="F38" s="1017"/>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1052" t="s">
        <v>797</v>
      </c>
      <c r="AC38" s="1053"/>
      <c r="AD38" s="1053"/>
      <c r="AE38" s="1053"/>
      <c r="AF38" s="1054"/>
      <c r="AG38" s="1024"/>
      <c r="AH38" s="1025"/>
      <c r="AI38" s="1025"/>
      <c r="AJ38" s="1025"/>
      <c r="AK38" s="1025"/>
      <c r="AL38" s="1025"/>
      <c r="AM38" s="1025"/>
      <c r="AN38" s="1025"/>
      <c r="AO38" s="1025"/>
      <c r="AP38" s="1025"/>
      <c r="AQ38" s="1025"/>
      <c r="AR38" s="1025"/>
      <c r="AS38" s="1025"/>
      <c r="AT38" s="1056"/>
      <c r="AU38" s="1057"/>
      <c r="AV38" s="1057"/>
      <c r="AW38" s="1057"/>
      <c r="AX38" s="1057"/>
      <c r="AY38" s="1057"/>
      <c r="AZ38" s="1057"/>
      <c r="BA38" s="1057"/>
      <c r="BB38" s="1057"/>
      <c r="BC38" s="1057"/>
      <c r="BD38" s="1057"/>
      <c r="BE38" s="1057"/>
      <c r="BF38" s="1058"/>
      <c r="BG38" s="54"/>
      <c r="BH38" s="48"/>
      <c r="BI38" s="957" t="s">
        <v>75</v>
      </c>
      <c r="BJ38" s="958"/>
      <c r="BK38" s="958"/>
      <c r="BL38" s="958"/>
      <c r="BM38" s="959"/>
      <c r="BN38" s="972"/>
      <c r="BO38" s="973"/>
      <c r="BP38" s="973"/>
      <c r="BQ38" s="973"/>
      <c r="BR38" s="973"/>
      <c r="BS38" s="974"/>
      <c r="BT38" s="796"/>
      <c r="BU38" s="797"/>
      <c r="BV38" s="797"/>
      <c r="BW38" s="797"/>
      <c r="BX38" s="797"/>
      <c r="BY38" s="797"/>
      <c r="BZ38" s="797"/>
      <c r="CA38" s="797"/>
      <c r="CB38" s="797"/>
      <c r="CC38" s="797"/>
      <c r="CD38" s="798"/>
      <c r="CE38" s="972"/>
      <c r="CF38" s="973"/>
      <c r="CG38" s="973"/>
      <c r="CH38" s="973"/>
      <c r="CI38" s="973"/>
      <c r="CJ38" s="974"/>
      <c r="CK38" s="796"/>
      <c r="CL38" s="797"/>
      <c r="CM38" s="797"/>
      <c r="CN38" s="797"/>
      <c r="CO38" s="797"/>
      <c r="CP38" s="797"/>
      <c r="CQ38" s="797"/>
      <c r="CR38" s="797"/>
      <c r="CS38" s="797"/>
      <c r="CT38" s="797"/>
      <c r="CU38" s="798"/>
      <c r="CV38" s="972"/>
      <c r="CW38" s="973"/>
      <c r="CX38" s="973"/>
      <c r="CY38" s="973"/>
      <c r="CZ38" s="973"/>
      <c r="DA38" s="974"/>
      <c r="DB38" s="796"/>
      <c r="DC38" s="797"/>
      <c r="DD38" s="797"/>
      <c r="DE38" s="797"/>
      <c r="DF38" s="797"/>
      <c r="DG38" s="797"/>
      <c r="DH38" s="797"/>
      <c r="DI38" s="797"/>
      <c r="DJ38" s="797"/>
      <c r="DK38" s="806"/>
      <c r="DL38" s="521"/>
      <c r="DM38" s="507"/>
    </row>
    <row r="39" spans="1:117" ht="7.5" customHeight="1">
      <c r="A39" s="48"/>
      <c r="B39" s="1018"/>
      <c r="C39" s="1019"/>
      <c r="D39" s="1019"/>
      <c r="E39" s="1019"/>
      <c r="F39" s="1020"/>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1055"/>
      <c r="AC39" s="1019"/>
      <c r="AD39" s="1019"/>
      <c r="AE39" s="1019"/>
      <c r="AF39" s="1020"/>
      <c r="AG39" s="1027"/>
      <c r="AH39" s="1028"/>
      <c r="AI39" s="1028"/>
      <c r="AJ39" s="1028"/>
      <c r="AK39" s="1028"/>
      <c r="AL39" s="1028"/>
      <c r="AM39" s="1028"/>
      <c r="AN39" s="1028"/>
      <c r="AO39" s="1028"/>
      <c r="AP39" s="1028"/>
      <c r="AQ39" s="1028"/>
      <c r="AR39" s="1028"/>
      <c r="AS39" s="1028"/>
      <c r="AT39" s="1059"/>
      <c r="AU39" s="1028"/>
      <c r="AV39" s="1028"/>
      <c r="AW39" s="1028"/>
      <c r="AX39" s="1028"/>
      <c r="AY39" s="1028"/>
      <c r="AZ39" s="1028"/>
      <c r="BA39" s="1028"/>
      <c r="BB39" s="1028"/>
      <c r="BC39" s="1028"/>
      <c r="BD39" s="1028"/>
      <c r="BE39" s="1028"/>
      <c r="BF39" s="1060"/>
      <c r="BG39" s="54"/>
      <c r="BH39" s="48"/>
      <c r="BI39" s="957"/>
      <c r="BJ39" s="958"/>
      <c r="BK39" s="958"/>
      <c r="BL39" s="958"/>
      <c r="BM39" s="959"/>
      <c r="BN39" s="969" t="s">
        <v>76</v>
      </c>
      <c r="BO39" s="970"/>
      <c r="BP39" s="970"/>
      <c r="BQ39" s="970"/>
      <c r="BR39" s="970"/>
      <c r="BS39" s="971"/>
      <c r="BT39" s="793"/>
      <c r="BU39" s="794"/>
      <c r="BV39" s="794"/>
      <c r="BW39" s="794"/>
      <c r="BX39" s="794"/>
      <c r="BY39" s="794"/>
      <c r="BZ39" s="794"/>
      <c r="CA39" s="794"/>
      <c r="CB39" s="794"/>
      <c r="CC39" s="794"/>
      <c r="CD39" s="794"/>
      <c r="CE39" s="794"/>
      <c r="CF39" s="794"/>
      <c r="CG39" s="794"/>
      <c r="CH39" s="794"/>
      <c r="CI39" s="794"/>
      <c r="CJ39" s="794"/>
      <c r="CK39" s="794"/>
      <c r="CL39" s="794"/>
      <c r="CM39" s="795"/>
      <c r="CN39" s="969" t="s">
        <v>77</v>
      </c>
      <c r="CO39" s="970"/>
      <c r="CP39" s="970"/>
      <c r="CQ39" s="970"/>
      <c r="CR39" s="970"/>
      <c r="CS39" s="971"/>
      <c r="CT39" s="928"/>
      <c r="CU39" s="929"/>
      <c r="CV39" s="929"/>
      <c r="CW39" s="929"/>
      <c r="CX39" s="929"/>
      <c r="CY39" s="929"/>
      <c r="CZ39" s="929"/>
      <c r="DA39" s="929"/>
      <c r="DB39" s="929"/>
      <c r="DC39" s="929"/>
      <c r="DD39" s="929"/>
      <c r="DE39" s="929"/>
      <c r="DF39" s="929"/>
      <c r="DG39" s="929"/>
      <c r="DH39" s="929"/>
      <c r="DI39" s="929"/>
      <c r="DJ39" s="929"/>
      <c r="DK39" s="930"/>
      <c r="DL39" s="522"/>
      <c r="DM39" s="508"/>
    </row>
    <row r="40" spans="1:117" ht="7.5" customHeight="1">
      <c r="A40" s="48"/>
      <c r="B40" s="1012" t="s">
        <v>570</v>
      </c>
      <c r="C40" s="1013"/>
      <c r="D40" s="1013"/>
      <c r="E40" s="1013"/>
      <c r="F40" s="1014"/>
      <c r="G40" s="1037"/>
      <c r="H40" s="1038"/>
      <c r="I40" s="1038"/>
      <c r="J40" s="1038"/>
      <c r="K40" s="1038"/>
      <c r="L40" s="1038"/>
      <c r="M40" s="1038"/>
      <c r="N40" s="1038"/>
      <c r="O40" s="1038"/>
      <c r="P40" s="1038"/>
      <c r="Q40" s="1038"/>
      <c r="R40" s="1038"/>
      <c r="S40" s="1038"/>
      <c r="T40" s="1038"/>
      <c r="U40" s="1038"/>
      <c r="V40" s="1038"/>
      <c r="W40" s="1038"/>
      <c r="X40" s="1038"/>
      <c r="Y40" s="1038"/>
      <c r="Z40" s="1038"/>
      <c r="AA40" s="1039"/>
      <c r="AB40" s="799" t="s">
        <v>569</v>
      </c>
      <c r="AC40" s="1013"/>
      <c r="AD40" s="1013"/>
      <c r="AE40" s="1013"/>
      <c r="AF40" s="1014"/>
      <c r="AG40" s="1044"/>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5"/>
      <c r="BC40" s="1045"/>
      <c r="BD40" s="1045"/>
      <c r="BE40" s="1045"/>
      <c r="BF40" s="1046"/>
      <c r="BG40" s="54"/>
      <c r="BH40" s="48"/>
      <c r="BI40" s="549"/>
      <c r="BJ40" s="550"/>
      <c r="BK40" s="550"/>
      <c r="BL40" s="550"/>
      <c r="BM40" s="551"/>
      <c r="BN40" s="972"/>
      <c r="BO40" s="973"/>
      <c r="BP40" s="973"/>
      <c r="BQ40" s="973"/>
      <c r="BR40" s="973"/>
      <c r="BS40" s="974"/>
      <c r="BT40" s="796"/>
      <c r="BU40" s="797"/>
      <c r="BV40" s="797"/>
      <c r="BW40" s="797"/>
      <c r="BX40" s="797"/>
      <c r="BY40" s="797"/>
      <c r="BZ40" s="797"/>
      <c r="CA40" s="797"/>
      <c r="CB40" s="797"/>
      <c r="CC40" s="797"/>
      <c r="CD40" s="797"/>
      <c r="CE40" s="797"/>
      <c r="CF40" s="797"/>
      <c r="CG40" s="797"/>
      <c r="CH40" s="797"/>
      <c r="CI40" s="797"/>
      <c r="CJ40" s="797"/>
      <c r="CK40" s="797"/>
      <c r="CL40" s="797"/>
      <c r="CM40" s="798"/>
      <c r="CN40" s="972"/>
      <c r="CO40" s="973"/>
      <c r="CP40" s="973"/>
      <c r="CQ40" s="973"/>
      <c r="CR40" s="973"/>
      <c r="CS40" s="974"/>
      <c r="CT40" s="931"/>
      <c r="CU40" s="932"/>
      <c r="CV40" s="932"/>
      <c r="CW40" s="932"/>
      <c r="CX40" s="932"/>
      <c r="CY40" s="932"/>
      <c r="CZ40" s="932"/>
      <c r="DA40" s="932"/>
      <c r="DB40" s="932"/>
      <c r="DC40" s="932"/>
      <c r="DD40" s="932"/>
      <c r="DE40" s="932"/>
      <c r="DF40" s="932"/>
      <c r="DG40" s="932"/>
      <c r="DH40" s="932"/>
      <c r="DI40" s="932"/>
      <c r="DJ40" s="932"/>
      <c r="DK40" s="933"/>
      <c r="DL40" s="522"/>
      <c r="DM40" s="508"/>
    </row>
    <row r="41" spans="1:117" ht="7.5" customHeight="1" thickBot="1">
      <c r="A41" s="48"/>
      <c r="B41" s="1034"/>
      <c r="C41" s="1035"/>
      <c r="D41" s="1035"/>
      <c r="E41" s="1035"/>
      <c r="F41" s="1036"/>
      <c r="G41" s="1040"/>
      <c r="H41" s="1041"/>
      <c r="I41" s="1041"/>
      <c r="J41" s="1041"/>
      <c r="K41" s="1041"/>
      <c r="L41" s="1041"/>
      <c r="M41" s="1041"/>
      <c r="N41" s="1041"/>
      <c r="O41" s="1041"/>
      <c r="P41" s="1041"/>
      <c r="Q41" s="1041"/>
      <c r="R41" s="1041"/>
      <c r="S41" s="1041"/>
      <c r="T41" s="1041"/>
      <c r="U41" s="1041"/>
      <c r="V41" s="1041"/>
      <c r="W41" s="1041"/>
      <c r="X41" s="1041"/>
      <c r="Y41" s="1041"/>
      <c r="Z41" s="1041"/>
      <c r="AA41" s="1042"/>
      <c r="AB41" s="1043"/>
      <c r="AC41" s="1035"/>
      <c r="AD41" s="1035"/>
      <c r="AE41" s="1035"/>
      <c r="AF41" s="1036"/>
      <c r="AG41" s="1047"/>
      <c r="AH41" s="1048"/>
      <c r="AI41" s="1048"/>
      <c r="AJ41" s="1048"/>
      <c r="AK41" s="1048"/>
      <c r="AL41" s="1048"/>
      <c r="AM41" s="1048"/>
      <c r="AN41" s="1048"/>
      <c r="AO41" s="1048"/>
      <c r="AP41" s="1048"/>
      <c r="AQ41" s="1048"/>
      <c r="AR41" s="1048"/>
      <c r="AS41" s="1048"/>
      <c r="AT41" s="1048"/>
      <c r="AU41" s="1048"/>
      <c r="AV41" s="1048"/>
      <c r="AW41" s="1048"/>
      <c r="AX41" s="1048"/>
      <c r="AY41" s="1048"/>
      <c r="AZ41" s="1048"/>
      <c r="BA41" s="1048"/>
      <c r="BB41" s="1048"/>
      <c r="BC41" s="1048"/>
      <c r="BD41" s="1048"/>
      <c r="BE41" s="1048"/>
      <c r="BF41" s="1049"/>
      <c r="BG41" s="54"/>
      <c r="BH41" s="48"/>
      <c r="BI41" s="960" t="s">
        <v>567</v>
      </c>
      <c r="BJ41" s="961"/>
      <c r="BK41" s="961"/>
      <c r="BL41" s="961"/>
      <c r="BM41" s="962"/>
      <c r="BN41" s="963"/>
      <c r="BO41" s="964"/>
      <c r="BP41" s="964"/>
      <c r="BQ41" s="964"/>
      <c r="BR41" s="964"/>
      <c r="BS41" s="964"/>
      <c r="BT41" s="964"/>
      <c r="BU41" s="964"/>
      <c r="BV41" s="964"/>
      <c r="BW41" s="964"/>
      <c r="BX41" s="964"/>
      <c r="BY41" s="964"/>
      <c r="BZ41" s="964"/>
      <c r="CA41" s="964"/>
      <c r="CB41" s="964"/>
      <c r="CC41" s="964"/>
      <c r="CD41" s="964"/>
      <c r="CE41" s="964"/>
      <c r="CF41" s="964"/>
      <c r="CG41" s="964"/>
      <c r="CH41" s="964"/>
      <c r="CI41" s="964"/>
      <c r="CJ41" s="2956"/>
      <c r="CK41" s="1002" t="s">
        <v>266</v>
      </c>
      <c r="CL41" s="961"/>
      <c r="CM41" s="961"/>
      <c r="CN41" s="961"/>
      <c r="CO41" s="962"/>
      <c r="CP41" s="963"/>
      <c r="CQ41" s="964"/>
      <c r="CR41" s="964"/>
      <c r="CS41" s="964"/>
      <c r="CT41" s="964"/>
      <c r="CU41" s="964"/>
      <c r="CV41" s="964"/>
      <c r="CW41" s="964"/>
      <c r="CX41" s="964"/>
      <c r="CY41" s="964"/>
      <c r="CZ41" s="2960"/>
      <c r="DA41" s="2958"/>
      <c r="DB41" s="964"/>
      <c r="DC41" s="964"/>
      <c r="DD41" s="964"/>
      <c r="DE41" s="964"/>
      <c r="DF41" s="964"/>
      <c r="DG41" s="964"/>
      <c r="DH41" s="964"/>
      <c r="DI41" s="964"/>
      <c r="DJ41" s="964"/>
      <c r="DK41" s="965"/>
      <c r="DL41" s="50"/>
    </row>
    <row r="42" spans="1:117"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54"/>
      <c r="BH42" s="48"/>
      <c r="BI42" s="960"/>
      <c r="BJ42" s="961"/>
      <c r="BK42" s="961"/>
      <c r="BL42" s="961"/>
      <c r="BM42" s="962"/>
      <c r="BN42" s="966"/>
      <c r="BO42" s="967"/>
      <c r="BP42" s="967"/>
      <c r="BQ42" s="967"/>
      <c r="BR42" s="967"/>
      <c r="BS42" s="967"/>
      <c r="BT42" s="967"/>
      <c r="BU42" s="967"/>
      <c r="BV42" s="967"/>
      <c r="BW42" s="967"/>
      <c r="BX42" s="967"/>
      <c r="BY42" s="967"/>
      <c r="BZ42" s="967"/>
      <c r="CA42" s="967"/>
      <c r="CB42" s="967"/>
      <c r="CC42" s="967"/>
      <c r="CD42" s="967"/>
      <c r="CE42" s="967"/>
      <c r="CF42" s="967"/>
      <c r="CG42" s="967"/>
      <c r="CH42" s="967"/>
      <c r="CI42" s="967"/>
      <c r="CJ42" s="2957"/>
      <c r="CK42" s="1002"/>
      <c r="CL42" s="961"/>
      <c r="CM42" s="961"/>
      <c r="CN42" s="961"/>
      <c r="CO42" s="962"/>
      <c r="CP42" s="966"/>
      <c r="CQ42" s="967"/>
      <c r="CR42" s="967"/>
      <c r="CS42" s="967"/>
      <c r="CT42" s="967"/>
      <c r="CU42" s="967"/>
      <c r="CV42" s="967"/>
      <c r="CW42" s="967"/>
      <c r="CX42" s="967"/>
      <c r="CY42" s="967"/>
      <c r="CZ42" s="2961"/>
      <c r="DA42" s="2959"/>
      <c r="DB42" s="967"/>
      <c r="DC42" s="967"/>
      <c r="DD42" s="967"/>
      <c r="DE42" s="967"/>
      <c r="DF42" s="967"/>
      <c r="DG42" s="967"/>
      <c r="DH42" s="967"/>
      <c r="DI42" s="967"/>
      <c r="DJ42" s="967"/>
      <c r="DK42" s="968"/>
      <c r="DL42" s="50"/>
    </row>
    <row r="43" spans="1:117" ht="7.5" customHeigh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54"/>
      <c r="BH43" s="48"/>
      <c r="BI43" s="835" t="s">
        <v>570</v>
      </c>
      <c r="BJ43" s="836"/>
      <c r="BK43" s="836"/>
      <c r="BL43" s="836"/>
      <c r="BM43" s="837"/>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902" t="s">
        <v>569</v>
      </c>
      <c r="CL43" s="836"/>
      <c r="CM43" s="836"/>
      <c r="CN43" s="836"/>
      <c r="CO43" s="837"/>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row>
    <row r="44" spans="1:117"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G44" s="125"/>
      <c r="BI44" s="986"/>
      <c r="BJ44" s="987"/>
      <c r="BK44" s="987"/>
      <c r="BL44" s="987"/>
      <c r="BM44" s="9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995"/>
      <c r="CL44" s="987"/>
      <c r="CM44" s="987"/>
      <c r="CN44" s="987"/>
      <c r="CO44" s="9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row>
    <row r="45" spans="1:117" ht="7.5" customHeight="1" thickTop="1">
      <c r="A45" s="48"/>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c r="AS45" s="2298"/>
      <c r="AT45" s="2298"/>
      <c r="AU45" s="2298"/>
      <c r="AV45" s="2298"/>
      <c r="AW45" s="2298"/>
      <c r="AX45" s="2298"/>
      <c r="AY45" s="2298"/>
      <c r="AZ45" s="2298"/>
      <c r="BA45" s="2298"/>
      <c r="BB45" s="2298"/>
      <c r="BC45" s="2298"/>
      <c r="BD45" s="2298"/>
      <c r="BG45" s="48"/>
      <c r="BH45" s="48"/>
      <c r="DC45" s="334"/>
      <c r="DD45" s="334"/>
      <c r="DE45" s="334"/>
      <c r="DF45" s="334"/>
      <c r="DG45" s="334"/>
      <c r="DH45" s="334"/>
      <c r="DI45" s="334"/>
      <c r="DJ45" s="334"/>
      <c r="DK45" s="334"/>
      <c r="DL45" s="52"/>
    </row>
    <row r="46" spans="1:117" ht="7.5" customHeight="1" thickBot="1">
      <c r="A46" s="48"/>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c r="AS46" s="2298"/>
      <c r="AT46" s="2298"/>
      <c r="AU46" s="2298"/>
      <c r="AV46" s="2298"/>
      <c r="AW46" s="2298"/>
      <c r="AX46" s="2298"/>
      <c r="AY46" s="2298"/>
      <c r="AZ46" s="2298"/>
      <c r="BA46" s="2298"/>
      <c r="BB46" s="2298"/>
      <c r="BC46" s="2298"/>
      <c r="BD46" s="2298"/>
      <c r="BG46" s="48"/>
      <c r="BH46" s="48"/>
      <c r="DC46" s="334"/>
      <c r="DD46" s="334"/>
      <c r="DE46" s="334"/>
      <c r="DF46" s="334"/>
      <c r="DG46" s="334"/>
      <c r="DH46" s="334"/>
      <c r="DI46" s="334"/>
      <c r="DJ46" s="334"/>
      <c r="DK46" s="334"/>
      <c r="DL46" s="52"/>
    </row>
    <row r="47" spans="1:117" ht="7.5" customHeight="1" thickTop="1" thickBot="1">
      <c r="A47" s="48"/>
      <c r="B47" s="783" t="s">
        <v>793</v>
      </c>
      <c r="C47" s="784"/>
      <c r="D47" s="784"/>
      <c r="E47" s="784"/>
      <c r="F47" s="784"/>
      <c r="G47" s="784"/>
      <c r="H47" s="784"/>
      <c r="I47" s="784"/>
      <c r="J47" s="784"/>
      <c r="K47" s="784"/>
      <c r="L47" s="784"/>
      <c r="M47" s="784"/>
      <c r="N47" s="784"/>
      <c r="O47" s="784"/>
      <c r="P47" s="784"/>
      <c r="Q47" s="784"/>
      <c r="R47" s="784"/>
      <c r="S47" s="784"/>
      <c r="T47" s="784"/>
      <c r="U47" s="784"/>
      <c r="V47" s="784"/>
      <c r="W47" s="784"/>
      <c r="X47" s="784"/>
      <c r="Y47" s="784"/>
      <c r="Z47" s="784"/>
      <c r="AA47" s="784"/>
      <c r="AB47" s="784"/>
      <c r="AC47" s="784"/>
      <c r="AD47" s="784"/>
      <c r="AE47" s="784"/>
      <c r="AF47" s="784"/>
      <c r="AG47" s="784"/>
      <c r="AH47" s="784"/>
      <c r="AI47" s="784"/>
      <c r="AJ47" s="784"/>
      <c r="AK47" s="784"/>
      <c r="AL47" s="2851"/>
      <c r="AM47" s="2852"/>
      <c r="AN47" s="2852"/>
      <c r="AO47" s="2852"/>
      <c r="AP47" s="2852"/>
      <c r="AQ47" s="2852"/>
      <c r="AR47" s="2852"/>
      <c r="AS47" s="2852"/>
      <c r="AT47" s="2852"/>
      <c r="AU47" s="2852"/>
      <c r="AV47" s="2852"/>
      <c r="AW47" s="2852"/>
      <c r="AX47" s="2852"/>
      <c r="AY47" s="2852"/>
      <c r="AZ47" s="2852"/>
      <c r="BA47" s="2852"/>
      <c r="BB47" s="2852"/>
      <c r="BC47" s="2852"/>
      <c r="BD47" s="2852"/>
      <c r="BE47" s="2852"/>
      <c r="BF47" s="2853"/>
      <c r="BG47" s="48"/>
      <c r="BH47" s="48"/>
      <c r="DC47" s="334"/>
      <c r="DD47" s="334"/>
      <c r="DE47" s="334"/>
      <c r="DF47" s="334"/>
      <c r="DG47" s="334"/>
      <c r="DH47" s="334"/>
      <c r="DI47" s="334"/>
      <c r="DJ47" s="334"/>
      <c r="DK47" s="334"/>
      <c r="DL47" s="44"/>
    </row>
    <row r="48" spans="1:117" ht="7.5" customHeight="1" thickTop="1">
      <c r="A48" s="48"/>
      <c r="B48" s="785"/>
      <c r="C48" s="786"/>
      <c r="D48" s="786"/>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c r="AI48" s="786"/>
      <c r="AJ48" s="786"/>
      <c r="AK48" s="786"/>
      <c r="AL48" s="802"/>
      <c r="AM48" s="803"/>
      <c r="AN48" s="803"/>
      <c r="AO48" s="803"/>
      <c r="AP48" s="803"/>
      <c r="AQ48" s="803"/>
      <c r="AR48" s="803"/>
      <c r="AS48" s="803"/>
      <c r="AT48" s="803"/>
      <c r="AU48" s="803"/>
      <c r="AV48" s="803"/>
      <c r="AW48" s="803"/>
      <c r="AX48" s="803"/>
      <c r="AY48" s="803"/>
      <c r="AZ48" s="803"/>
      <c r="BA48" s="803"/>
      <c r="BB48" s="803"/>
      <c r="BC48" s="803"/>
      <c r="BD48" s="803"/>
      <c r="BE48" s="803"/>
      <c r="BF48" s="2854"/>
      <c r="BG48" s="48"/>
      <c r="BH48" s="48"/>
      <c r="BI48" s="1075" t="s">
        <v>572</v>
      </c>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7"/>
      <c r="DC48" s="1081" t="s">
        <v>263</v>
      </c>
      <c r="DD48" s="1082"/>
      <c r="DE48" s="1082"/>
      <c r="DF48" s="1082"/>
      <c r="DG48" s="1082"/>
      <c r="DH48" s="1082"/>
      <c r="DI48" s="1082"/>
      <c r="DJ48" s="1082"/>
      <c r="DK48" s="1083"/>
      <c r="DL48" s="44"/>
    </row>
    <row r="49" spans="1:149" ht="7.5" customHeight="1">
      <c r="A49" s="48"/>
      <c r="B49" s="866" t="s">
        <v>72</v>
      </c>
      <c r="C49" s="867"/>
      <c r="D49" s="867"/>
      <c r="E49" s="867"/>
      <c r="F49" s="868"/>
      <c r="G49" s="869"/>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c r="BE49" s="870"/>
      <c r="BF49" s="871"/>
      <c r="BG49" s="48"/>
      <c r="BH49" s="48"/>
      <c r="BI49" s="1078"/>
      <c r="BJ49" s="1079"/>
      <c r="BK49" s="1079"/>
      <c r="BL49" s="1079"/>
      <c r="BM49" s="1079"/>
      <c r="BN49" s="1079"/>
      <c r="BO49" s="1079"/>
      <c r="BP49" s="1079"/>
      <c r="BQ49" s="1079"/>
      <c r="BR49" s="1079"/>
      <c r="BS49" s="1079"/>
      <c r="BT49" s="1079"/>
      <c r="BU49" s="1079"/>
      <c r="BV49" s="1079"/>
      <c r="BW49" s="1079"/>
      <c r="BX49" s="1079"/>
      <c r="BY49" s="1079"/>
      <c r="BZ49" s="1079"/>
      <c r="CA49" s="1079"/>
      <c r="CB49" s="1079"/>
      <c r="CC49" s="1079"/>
      <c r="CD49" s="1079"/>
      <c r="CE49" s="1079"/>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80"/>
      <c r="DC49" s="1084"/>
      <c r="DD49" s="1085"/>
      <c r="DE49" s="1085"/>
      <c r="DF49" s="1085"/>
      <c r="DG49" s="1085"/>
      <c r="DH49" s="1085"/>
      <c r="DI49" s="1085"/>
      <c r="DJ49" s="1085"/>
      <c r="DK49" s="1086"/>
      <c r="DL49" s="44"/>
    </row>
    <row r="50" spans="1:149" ht="7.5" customHeight="1">
      <c r="A50" s="48"/>
      <c r="B50" s="910" t="s">
        <v>794</v>
      </c>
      <c r="C50" s="911"/>
      <c r="D50" s="911"/>
      <c r="E50" s="911"/>
      <c r="F50" s="912"/>
      <c r="G50" s="1099" t="s">
        <v>1606</v>
      </c>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1100"/>
      <c r="AO50" s="1103" t="s">
        <v>1260</v>
      </c>
      <c r="AP50" s="1103"/>
      <c r="AQ50" s="1103"/>
      <c r="AR50" s="1103"/>
      <c r="AS50" s="1103"/>
      <c r="AT50" s="1103"/>
      <c r="AU50" s="1103"/>
      <c r="AV50" s="1103"/>
      <c r="AW50" s="1103"/>
      <c r="AX50" s="1103"/>
      <c r="AY50" s="1103"/>
      <c r="AZ50" s="1104"/>
      <c r="BA50" s="1107"/>
      <c r="BB50" s="1107"/>
      <c r="BC50" s="1107"/>
      <c r="BD50" s="1107"/>
      <c r="BE50" s="1107"/>
      <c r="BF50" s="1108"/>
      <c r="BG50" s="48"/>
      <c r="BH50" s="48"/>
      <c r="BI50" s="1111"/>
      <c r="BJ50" s="1112"/>
      <c r="BK50" s="1112"/>
      <c r="BL50" s="1112"/>
      <c r="BM50" s="1112"/>
      <c r="BN50" s="1112"/>
      <c r="BO50" s="1112"/>
      <c r="BP50" s="1112"/>
      <c r="BQ50" s="1112"/>
      <c r="BR50" s="1112"/>
      <c r="BS50" s="1112"/>
      <c r="BT50" s="1112"/>
      <c r="BU50" s="1112"/>
      <c r="BV50" s="1112"/>
      <c r="BW50" s="1112"/>
      <c r="BX50" s="1112"/>
      <c r="BY50" s="1112"/>
      <c r="BZ50" s="1112"/>
      <c r="CA50" s="1112"/>
      <c r="CB50" s="1112"/>
      <c r="CC50" s="1112"/>
      <c r="CD50" s="1112"/>
      <c r="CE50" s="1112"/>
      <c r="CF50" s="2904"/>
      <c r="CG50" s="2905"/>
      <c r="CH50" s="2905"/>
      <c r="CI50" s="2905"/>
      <c r="CJ50" s="2905"/>
      <c r="CK50" s="2905"/>
      <c r="CL50" s="2905"/>
      <c r="CM50" s="2905"/>
      <c r="CN50" s="2905"/>
      <c r="CO50" s="2905"/>
      <c r="CP50" s="2905"/>
      <c r="CQ50" s="2905"/>
      <c r="CR50" s="2905"/>
      <c r="CS50" s="2905"/>
      <c r="CT50" s="2905"/>
      <c r="CU50" s="2905"/>
      <c r="CV50" s="2905"/>
      <c r="CW50" s="2905"/>
      <c r="CX50" s="2905"/>
      <c r="CY50" s="2905"/>
      <c r="CZ50" s="2905"/>
      <c r="DA50" s="2905"/>
      <c r="DB50" s="2906"/>
      <c r="DC50" s="1084"/>
      <c r="DD50" s="1085"/>
      <c r="DE50" s="1085"/>
      <c r="DF50" s="1085"/>
      <c r="DG50" s="1085"/>
      <c r="DH50" s="1085"/>
      <c r="DI50" s="1085"/>
      <c r="DJ50" s="1085"/>
      <c r="DK50" s="1086"/>
      <c r="DL50" s="44"/>
      <c r="DM50" s="49"/>
      <c r="DN50" s="49"/>
      <c r="DO50" s="274"/>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row>
    <row r="51" spans="1:149" ht="7.5" customHeight="1" thickBot="1">
      <c r="A51" s="48"/>
      <c r="B51" s="913"/>
      <c r="C51" s="914"/>
      <c r="D51" s="914"/>
      <c r="E51" s="914"/>
      <c r="F51" s="915"/>
      <c r="G51" s="1101"/>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1102"/>
      <c r="AO51" s="1105"/>
      <c r="AP51" s="1105"/>
      <c r="AQ51" s="1105"/>
      <c r="AR51" s="1105"/>
      <c r="AS51" s="1105"/>
      <c r="AT51" s="1105"/>
      <c r="AU51" s="1105"/>
      <c r="AV51" s="1105"/>
      <c r="AW51" s="1105"/>
      <c r="AX51" s="1105"/>
      <c r="AY51" s="1105"/>
      <c r="AZ51" s="1106"/>
      <c r="BA51" s="1109"/>
      <c r="BB51" s="1109"/>
      <c r="BC51" s="1109"/>
      <c r="BD51" s="1109"/>
      <c r="BE51" s="1109"/>
      <c r="BF51" s="1110"/>
      <c r="BG51" s="48"/>
      <c r="BH51" s="48"/>
      <c r="BI51" s="1113"/>
      <c r="BJ51" s="1114"/>
      <c r="BK51" s="1114"/>
      <c r="BL51" s="1114"/>
      <c r="BM51" s="1114"/>
      <c r="BN51" s="1114"/>
      <c r="BO51" s="1114"/>
      <c r="BP51" s="1114"/>
      <c r="BQ51" s="1114"/>
      <c r="BR51" s="1114"/>
      <c r="BS51" s="1114"/>
      <c r="BT51" s="1114"/>
      <c r="BU51" s="1114"/>
      <c r="BV51" s="1114"/>
      <c r="BW51" s="1114"/>
      <c r="BX51" s="1114"/>
      <c r="BY51" s="1114"/>
      <c r="BZ51" s="1114"/>
      <c r="CA51" s="1114"/>
      <c r="CB51" s="1114"/>
      <c r="CC51" s="1114"/>
      <c r="CD51" s="1114"/>
      <c r="CE51" s="1114"/>
      <c r="CF51" s="2907"/>
      <c r="CG51" s="2908"/>
      <c r="CH51" s="2908"/>
      <c r="CI51" s="2908"/>
      <c r="CJ51" s="2908"/>
      <c r="CK51" s="2908"/>
      <c r="CL51" s="2908"/>
      <c r="CM51" s="2908"/>
      <c r="CN51" s="2908"/>
      <c r="CO51" s="2908"/>
      <c r="CP51" s="2908"/>
      <c r="CQ51" s="2908"/>
      <c r="CR51" s="2908"/>
      <c r="CS51" s="2908"/>
      <c r="CT51" s="2908"/>
      <c r="CU51" s="2908"/>
      <c r="CV51" s="2908"/>
      <c r="CW51" s="2908"/>
      <c r="CX51" s="2908"/>
      <c r="CY51" s="2908"/>
      <c r="CZ51" s="2908"/>
      <c r="DA51" s="2908"/>
      <c r="DB51" s="2909"/>
      <c r="DC51" s="1087"/>
      <c r="DD51" s="1088"/>
      <c r="DE51" s="1088"/>
      <c r="DF51" s="1088"/>
      <c r="DG51" s="1088"/>
      <c r="DH51" s="1088"/>
      <c r="DI51" s="1088"/>
      <c r="DJ51" s="1088"/>
      <c r="DK51" s="1089"/>
      <c r="DL51" s="44"/>
      <c r="DM51" s="49"/>
      <c r="DN51" s="49"/>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row>
    <row r="52" spans="1:149" ht="7.5" customHeight="1">
      <c r="A52" s="48"/>
      <c r="B52" s="857" t="s">
        <v>75</v>
      </c>
      <c r="C52" s="858"/>
      <c r="D52" s="858"/>
      <c r="E52" s="858"/>
      <c r="F52" s="859"/>
      <c r="G52" s="799" t="s">
        <v>73</v>
      </c>
      <c r="H52" s="800"/>
      <c r="I52" s="800"/>
      <c r="J52" s="800"/>
      <c r="K52" s="800"/>
      <c r="L52" s="801"/>
      <c r="M52" s="793" t="s">
        <v>1608</v>
      </c>
      <c r="N52" s="794"/>
      <c r="O52" s="794"/>
      <c r="P52" s="794"/>
      <c r="Q52" s="794"/>
      <c r="R52" s="794"/>
      <c r="S52" s="794"/>
      <c r="T52" s="794"/>
      <c r="U52" s="794"/>
      <c r="V52" s="794"/>
      <c r="W52" s="795"/>
      <c r="X52" s="799" t="s">
        <v>11</v>
      </c>
      <c r="Y52" s="800"/>
      <c r="Z52" s="800"/>
      <c r="AA52" s="800"/>
      <c r="AB52" s="800"/>
      <c r="AC52" s="801"/>
      <c r="AD52" s="793" t="s">
        <v>313</v>
      </c>
      <c r="AE52" s="794"/>
      <c r="AF52" s="794"/>
      <c r="AG52" s="794"/>
      <c r="AH52" s="794"/>
      <c r="AI52" s="794"/>
      <c r="AJ52" s="794"/>
      <c r="AK52" s="794"/>
      <c r="AL52" s="794"/>
      <c r="AM52" s="794"/>
      <c r="AN52" s="795"/>
      <c r="AO52" s="799" t="s">
        <v>74</v>
      </c>
      <c r="AP52" s="800"/>
      <c r="AQ52" s="800"/>
      <c r="AR52" s="800"/>
      <c r="AS52" s="800"/>
      <c r="AT52" s="801"/>
      <c r="AU52" s="793" t="s">
        <v>1610</v>
      </c>
      <c r="AV52" s="794"/>
      <c r="AW52" s="794"/>
      <c r="AX52" s="794"/>
      <c r="AY52" s="794"/>
      <c r="AZ52" s="794"/>
      <c r="BA52" s="794"/>
      <c r="BB52" s="794"/>
      <c r="BC52" s="794"/>
      <c r="BD52" s="794"/>
      <c r="BE52" s="794"/>
      <c r="BF52" s="805"/>
      <c r="BG52" s="48"/>
      <c r="BH52" s="48"/>
      <c r="BI52" s="1126" t="s">
        <v>664</v>
      </c>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c r="CK52" s="1127"/>
      <c r="CL52" s="1127"/>
      <c r="CM52" s="1127"/>
      <c r="CN52" s="1127"/>
      <c r="CO52" s="1127"/>
      <c r="CP52" s="1127"/>
      <c r="CQ52" s="1127"/>
      <c r="CR52" s="1127"/>
      <c r="CS52" s="1127"/>
      <c r="CT52" s="1127"/>
      <c r="CU52" s="1127"/>
      <c r="CV52" s="1127"/>
      <c r="CW52" s="1127"/>
      <c r="CX52" s="1127"/>
      <c r="CY52" s="1127"/>
      <c r="CZ52" s="1127"/>
      <c r="DA52" s="1127"/>
      <c r="DB52" s="1128"/>
      <c r="DC52" s="1132"/>
      <c r="DD52" s="1133"/>
      <c r="DE52" s="1133"/>
      <c r="DF52" s="1133"/>
      <c r="DG52" s="1133"/>
      <c r="DH52" s="1133"/>
      <c r="DI52" s="1133"/>
      <c r="DJ52" s="1133"/>
      <c r="DK52" s="1134"/>
      <c r="DL52" s="50"/>
      <c r="DM52" s="49"/>
      <c r="DN52" s="49"/>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row>
    <row r="53" spans="1:149" ht="7.5" customHeight="1">
      <c r="A53" s="48"/>
      <c r="B53" s="860"/>
      <c r="C53" s="861"/>
      <c r="D53" s="861"/>
      <c r="E53" s="861"/>
      <c r="F53" s="862"/>
      <c r="G53" s="802"/>
      <c r="H53" s="803"/>
      <c r="I53" s="803"/>
      <c r="J53" s="803"/>
      <c r="K53" s="803"/>
      <c r="L53" s="804"/>
      <c r="M53" s="796"/>
      <c r="N53" s="797"/>
      <c r="O53" s="797"/>
      <c r="P53" s="797"/>
      <c r="Q53" s="797"/>
      <c r="R53" s="797"/>
      <c r="S53" s="797"/>
      <c r="T53" s="797"/>
      <c r="U53" s="797"/>
      <c r="V53" s="797"/>
      <c r="W53" s="798"/>
      <c r="X53" s="802"/>
      <c r="Y53" s="803"/>
      <c r="Z53" s="803"/>
      <c r="AA53" s="803"/>
      <c r="AB53" s="803"/>
      <c r="AC53" s="804"/>
      <c r="AD53" s="796"/>
      <c r="AE53" s="797"/>
      <c r="AF53" s="797"/>
      <c r="AG53" s="797"/>
      <c r="AH53" s="797"/>
      <c r="AI53" s="797"/>
      <c r="AJ53" s="797"/>
      <c r="AK53" s="797"/>
      <c r="AL53" s="797"/>
      <c r="AM53" s="797"/>
      <c r="AN53" s="798"/>
      <c r="AO53" s="802"/>
      <c r="AP53" s="803"/>
      <c r="AQ53" s="803"/>
      <c r="AR53" s="803"/>
      <c r="AS53" s="803"/>
      <c r="AT53" s="804"/>
      <c r="AU53" s="796"/>
      <c r="AV53" s="797"/>
      <c r="AW53" s="797"/>
      <c r="AX53" s="797"/>
      <c r="AY53" s="797"/>
      <c r="AZ53" s="797"/>
      <c r="BA53" s="797"/>
      <c r="BB53" s="797"/>
      <c r="BC53" s="797"/>
      <c r="BD53" s="797"/>
      <c r="BE53" s="797"/>
      <c r="BF53" s="806"/>
      <c r="BG53" s="48"/>
      <c r="BH53" s="48"/>
      <c r="BI53" s="1129"/>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1"/>
      <c r="DC53" s="1132"/>
      <c r="DD53" s="1133"/>
      <c r="DE53" s="1133"/>
      <c r="DF53" s="1133"/>
      <c r="DG53" s="1133"/>
      <c r="DH53" s="1133"/>
      <c r="DI53" s="1133"/>
      <c r="DJ53" s="1133"/>
      <c r="DK53" s="1134"/>
      <c r="DL53" s="50"/>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row>
    <row r="54" spans="1:149" ht="7.5" customHeight="1">
      <c r="A54" s="48"/>
      <c r="B54" s="860"/>
      <c r="C54" s="861"/>
      <c r="D54" s="861"/>
      <c r="E54" s="861"/>
      <c r="F54" s="862"/>
      <c r="G54" s="799" t="s">
        <v>76</v>
      </c>
      <c r="H54" s="800"/>
      <c r="I54" s="800"/>
      <c r="J54" s="800"/>
      <c r="K54" s="800"/>
      <c r="L54" s="801"/>
      <c r="M54" s="793" t="s">
        <v>1612</v>
      </c>
      <c r="N54" s="794"/>
      <c r="O54" s="794"/>
      <c r="P54" s="794"/>
      <c r="Q54" s="794"/>
      <c r="R54" s="794"/>
      <c r="S54" s="794"/>
      <c r="T54" s="794"/>
      <c r="U54" s="794"/>
      <c r="V54" s="794"/>
      <c r="W54" s="794"/>
      <c r="X54" s="794"/>
      <c r="Y54" s="794"/>
      <c r="Z54" s="794"/>
      <c r="AA54" s="794"/>
      <c r="AB54" s="794"/>
      <c r="AC54" s="794"/>
      <c r="AD54" s="794"/>
      <c r="AE54" s="794"/>
      <c r="AF54" s="795"/>
      <c r="AG54" s="799" t="s">
        <v>77</v>
      </c>
      <c r="AH54" s="800"/>
      <c r="AI54" s="800"/>
      <c r="AJ54" s="800"/>
      <c r="AK54" s="800"/>
      <c r="AL54" s="801"/>
      <c r="AM54" s="928" t="s">
        <v>1614</v>
      </c>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1184"/>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2871"/>
      <c r="CG54" s="2871"/>
      <c r="CH54" s="2871"/>
      <c r="CI54" s="2871"/>
      <c r="CJ54" s="2871"/>
      <c r="CK54" s="2871"/>
      <c r="CL54" s="2871"/>
      <c r="CM54" s="2871"/>
      <c r="CN54" s="2871"/>
      <c r="CO54" s="2871"/>
      <c r="CP54" s="2871"/>
      <c r="CQ54" s="2871"/>
      <c r="CR54" s="2871"/>
      <c r="CS54" s="2871"/>
      <c r="CT54" s="2871"/>
      <c r="CU54" s="2871"/>
      <c r="CV54" s="2871"/>
      <c r="CW54" s="2871"/>
      <c r="CX54" s="2871"/>
      <c r="CY54" s="2871"/>
      <c r="CZ54" s="2871"/>
      <c r="DA54" s="2871"/>
      <c r="DB54" s="2872"/>
      <c r="DC54" s="1132"/>
      <c r="DD54" s="1133"/>
      <c r="DE54" s="1133"/>
      <c r="DF54" s="1133"/>
      <c r="DG54" s="1133"/>
      <c r="DH54" s="1133"/>
      <c r="DI54" s="1133"/>
      <c r="DJ54" s="1133"/>
      <c r="DK54" s="1134"/>
      <c r="DL54" s="52"/>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row>
    <row r="55" spans="1:149" ht="7.5" customHeight="1">
      <c r="A55" s="48"/>
      <c r="B55" s="863"/>
      <c r="C55" s="864"/>
      <c r="D55" s="864"/>
      <c r="E55" s="864"/>
      <c r="F55" s="865"/>
      <c r="G55" s="802"/>
      <c r="H55" s="803"/>
      <c r="I55" s="803"/>
      <c r="J55" s="803"/>
      <c r="K55" s="803"/>
      <c r="L55" s="804"/>
      <c r="M55" s="796"/>
      <c r="N55" s="797"/>
      <c r="O55" s="797"/>
      <c r="P55" s="797"/>
      <c r="Q55" s="797"/>
      <c r="R55" s="797"/>
      <c r="S55" s="797"/>
      <c r="T55" s="797"/>
      <c r="U55" s="797"/>
      <c r="V55" s="797"/>
      <c r="W55" s="797"/>
      <c r="X55" s="797"/>
      <c r="Y55" s="797"/>
      <c r="Z55" s="797"/>
      <c r="AA55" s="797"/>
      <c r="AB55" s="797"/>
      <c r="AC55" s="797"/>
      <c r="AD55" s="797"/>
      <c r="AE55" s="797"/>
      <c r="AF55" s="798"/>
      <c r="AG55" s="802"/>
      <c r="AH55" s="803"/>
      <c r="AI55" s="803"/>
      <c r="AJ55" s="803"/>
      <c r="AK55" s="803"/>
      <c r="AL55" s="804"/>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184"/>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2871"/>
      <c r="CG55" s="2871"/>
      <c r="CH55" s="2871"/>
      <c r="CI55" s="2871"/>
      <c r="CJ55" s="2871"/>
      <c r="CK55" s="2871"/>
      <c r="CL55" s="2871"/>
      <c r="CM55" s="2871"/>
      <c r="CN55" s="2871"/>
      <c r="CO55" s="2871"/>
      <c r="CP55" s="2871"/>
      <c r="CQ55" s="2871"/>
      <c r="CR55" s="2871"/>
      <c r="CS55" s="2871"/>
      <c r="CT55" s="2871"/>
      <c r="CU55" s="2871"/>
      <c r="CV55" s="2871"/>
      <c r="CW55" s="2871"/>
      <c r="CX55" s="2871"/>
      <c r="CY55" s="2871"/>
      <c r="CZ55" s="2871"/>
      <c r="DA55" s="2871"/>
      <c r="DB55" s="2872"/>
      <c r="DC55" s="1132"/>
      <c r="DD55" s="1133"/>
      <c r="DE55" s="1133"/>
      <c r="DF55" s="1133"/>
      <c r="DG55" s="1133"/>
      <c r="DH55" s="1133"/>
      <c r="DI55" s="1133"/>
      <c r="DJ55" s="1133"/>
      <c r="DK55" s="1134"/>
      <c r="DL55" s="52"/>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row>
    <row r="56" spans="1:149" ht="7.5" customHeight="1">
      <c r="A56" s="48"/>
      <c r="B56" s="1012" t="s">
        <v>795</v>
      </c>
      <c r="C56" s="1013"/>
      <c r="D56" s="1013"/>
      <c r="E56" s="1013"/>
      <c r="F56" s="1014"/>
      <c r="G56" s="1021" t="s">
        <v>1617</v>
      </c>
      <c r="H56" s="1022"/>
      <c r="I56" s="1022"/>
      <c r="J56" s="1022"/>
      <c r="K56" s="1022"/>
      <c r="L56" s="1022"/>
      <c r="M56" s="1022"/>
      <c r="N56" s="1022"/>
      <c r="O56" s="1022"/>
      <c r="P56" s="1022"/>
      <c r="Q56" s="1022"/>
      <c r="R56" s="1022"/>
      <c r="S56" s="1022"/>
      <c r="T56" s="1022"/>
      <c r="U56" s="1022"/>
      <c r="V56" s="1022"/>
      <c r="W56" s="1022"/>
      <c r="X56" s="1022"/>
      <c r="Y56" s="1022"/>
      <c r="Z56" s="1022"/>
      <c r="AA56" s="1023"/>
      <c r="AB56" s="1201" t="s">
        <v>72</v>
      </c>
      <c r="AC56" s="1030"/>
      <c r="AD56" s="1030"/>
      <c r="AE56" s="1030"/>
      <c r="AF56" s="1031"/>
      <c r="AG56" s="1032"/>
      <c r="AH56" s="1033"/>
      <c r="AI56" s="1033"/>
      <c r="AJ56" s="1033"/>
      <c r="AK56" s="1033"/>
      <c r="AL56" s="1033"/>
      <c r="AM56" s="1033"/>
      <c r="AN56" s="1033"/>
      <c r="AO56" s="1033"/>
      <c r="AP56" s="1033"/>
      <c r="AQ56" s="1033"/>
      <c r="AR56" s="1033"/>
      <c r="AS56" s="1202"/>
      <c r="AT56" s="1050"/>
      <c r="AU56" s="1033"/>
      <c r="AV56" s="1033"/>
      <c r="AW56" s="1033"/>
      <c r="AX56" s="1033"/>
      <c r="AY56" s="1033"/>
      <c r="AZ56" s="1033"/>
      <c r="BA56" s="1033"/>
      <c r="BB56" s="1033"/>
      <c r="BC56" s="1033"/>
      <c r="BD56" s="1033"/>
      <c r="BE56" s="1033"/>
      <c r="BF56" s="1051"/>
      <c r="BG56" s="48"/>
      <c r="BH56" s="48"/>
      <c r="BI56" s="2260"/>
      <c r="BJ56" s="2261"/>
      <c r="BK56" s="2261"/>
      <c r="BL56" s="2261"/>
      <c r="BM56" s="2261"/>
      <c r="BN56" s="2261"/>
      <c r="BO56" s="2261"/>
      <c r="BP56" s="2261"/>
      <c r="BQ56" s="2261"/>
      <c r="BR56" s="2261"/>
      <c r="BS56" s="2261"/>
      <c r="BT56" s="2261"/>
      <c r="BU56" s="2261"/>
      <c r="BV56" s="2261"/>
      <c r="BW56" s="2261"/>
      <c r="BX56" s="2261"/>
      <c r="BY56" s="2261"/>
      <c r="BZ56" s="2261"/>
      <c r="CA56" s="2261"/>
      <c r="CB56" s="2261"/>
      <c r="CC56" s="2261"/>
      <c r="CD56" s="2261"/>
      <c r="CE56" s="2261"/>
      <c r="CF56" s="1192"/>
      <c r="CG56" s="1192"/>
      <c r="CH56" s="1192"/>
      <c r="CI56" s="1192"/>
      <c r="CJ56" s="1192"/>
      <c r="CK56" s="1192"/>
      <c r="CL56" s="1192"/>
      <c r="CM56" s="1192"/>
      <c r="CN56" s="1192"/>
      <c r="CO56" s="1192"/>
      <c r="CP56" s="1192"/>
      <c r="CQ56" s="1192"/>
      <c r="CR56" s="1192"/>
      <c r="CS56" s="1192"/>
      <c r="CT56" s="1192"/>
      <c r="CU56" s="1192"/>
      <c r="CV56" s="1192"/>
      <c r="CW56" s="1192"/>
      <c r="CX56" s="1192"/>
      <c r="CY56" s="1192"/>
      <c r="CZ56" s="1192"/>
      <c r="DA56" s="1192"/>
      <c r="DB56" s="1193"/>
      <c r="DC56" s="1132"/>
      <c r="DD56" s="1133"/>
      <c r="DE56" s="1133"/>
      <c r="DF56" s="1133"/>
      <c r="DG56" s="1133"/>
      <c r="DH56" s="1133"/>
      <c r="DI56" s="1133"/>
      <c r="DJ56" s="1133"/>
      <c r="DK56" s="1134"/>
      <c r="DL56" s="52"/>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row>
    <row r="57" spans="1:149" ht="7.5" customHeight="1">
      <c r="A57" s="48"/>
      <c r="B57" s="1015"/>
      <c r="C57" s="1016"/>
      <c r="D57" s="1016"/>
      <c r="E57" s="1016"/>
      <c r="F57" s="1017"/>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1052" t="s">
        <v>797</v>
      </c>
      <c r="AC57" s="1053"/>
      <c r="AD57" s="1053"/>
      <c r="AE57" s="1053"/>
      <c r="AF57" s="1054"/>
      <c r="AG57" s="1194" t="s">
        <v>1619</v>
      </c>
      <c r="AH57" s="1057"/>
      <c r="AI57" s="1057"/>
      <c r="AJ57" s="1057"/>
      <c r="AK57" s="1057"/>
      <c r="AL57" s="1057"/>
      <c r="AM57" s="1057"/>
      <c r="AN57" s="1057"/>
      <c r="AO57" s="1057"/>
      <c r="AP57" s="1057"/>
      <c r="AQ57" s="1057"/>
      <c r="AR57" s="1057"/>
      <c r="AS57" s="1195"/>
      <c r="AT57" s="1056"/>
      <c r="AU57" s="1057"/>
      <c r="AV57" s="1057"/>
      <c r="AW57" s="1057"/>
      <c r="AX57" s="1057"/>
      <c r="AY57" s="1057"/>
      <c r="AZ57" s="1057"/>
      <c r="BA57" s="1057"/>
      <c r="BB57" s="1057"/>
      <c r="BC57" s="1057"/>
      <c r="BD57" s="1057"/>
      <c r="BE57" s="1057"/>
      <c r="BF57" s="1058"/>
      <c r="BG57" s="48"/>
      <c r="BH57" s="48"/>
      <c r="BI57" s="2260"/>
      <c r="BJ57" s="2261"/>
      <c r="BK57" s="2261"/>
      <c r="BL57" s="2261"/>
      <c r="BM57" s="2261"/>
      <c r="BN57" s="2261"/>
      <c r="BO57" s="2261"/>
      <c r="BP57" s="2261"/>
      <c r="BQ57" s="2261"/>
      <c r="BR57" s="2261"/>
      <c r="BS57" s="2261"/>
      <c r="BT57" s="2261"/>
      <c r="BU57" s="2261"/>
      <c r="BV57" s="2261"/>
      <c r="BW57" s="2261"/>
      <c r="BX57" s="2261"/>
      <c r="BY57" s="2261"/>
      <c r="BZ57" s="2261"/>
      <c r="CA57" s="2261"/>
      <c r="CB57" s="2261"/>
      <c r="CC57" s="2261"/>
      <c r="CD57" s="2261"/>
      <c r="CE57" s="2261"/>
      <c r="CF57" s="1192"/>
      <c r="CG57" s="1192"/>
      <c r="CH57" s="1192"/>
      <c r="CI57" s="1192"/>
      <c r="CJ57" s="1192"/>
      <c r="CK57" s="1192"/>
      <c r="CL57" s="1192"/>
      <c r="CM57" s="1192"/>
      <c r="CN57" s="1192"/>
      <c r="CO57" s="1192"/>
      <c r="CP57" s="1192"/>
      <c r="CQ57" s="1192"/>
      <c r="CR57" s="1192"/>
      <c r="CS57" s="1192"/>
      <c r="CT57" s="1192"/>
      <c r="CU57" s="1192"/>
      <c r="CV57" s="1192"/>
      <c r="CW57" s="1192"/>
      <c r="CX57" s="1192"/>
      <c r="CY57" s="1192"/>
      <c r="CZ57" s="1192"/>
      <c r="DA57" s="1192"/>
      <c r="DB57" s="1193"/>
      <c r="DC57" s="1132"/>
      <c r="DD57" s="1133"/>
      <c r="DE57" s="1133"/>
      <c r="DF57" s="1133"/>
      <c r="DG57" s="1133"/>
      <c r="DH57" s="1133"/>
      <c r="DI57" s="1133"/>
      <c r="DJ57" s="1133"/>
      <c r="DK57" s="1134"/>
      <c r="DL57" s="48"/>
    </row>
    <row r="58" spans="1:149" ht="7.5" customHeight="1">
      <c r="A58" s="48"/>
      <c r="B58" s="1018"/>
      <c r="C58" s="1019"/>
      <c r="D58" s="1019"/>
      <c r="E58" s="1019"/>
      <c r="F58" s="1020"/>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1055"/>
      <c r="AC58" s="1019"/>
      <c r="AD58" s="1019"/>
      <c r="AE58" s="1019"/>
      <c r="AF58" s="1020"/>
      <c r="AG58" s="1027"/>
      <c r="AH58" s="1028"/>
      <c r="AI58" s="1028"/>
      <c r="AJ58" s="1028"/>
      <c r="AK58" s="1028"/>
      <c r="AL58" s="1028"/>
      <c r="AM58" s="1028"/>
      <c r="AN58" s="1028"/>
      <c r="AO58" s="1028"/>
      <c r="AP58" s="1028"/>
      <c r="AQ58" s="1028"/>
      <c r="AR58" s="1028"/>
      <c r="AS58" s="1196"/>
      <c r="AT58" s="1059"/>
      <c r="AU58" s="1028"/>
      <c r="AV58" s="1028"/>
      <c r="AW58" s="1028"/>
      <c r="AX58" s="1028"/>
      <c r="AY58" s="1028"/>
      <c r="AZ58" s="1028"/>
      <c r="BA58" s="1028"/>
      <c r="BB58" s="1028"/>
      <c r="BC58" s="1028"/>
      <c r="BD58" s="1028"/>
      <c r="BE58" s="1028"/>
      <c r="BF58" s="1060"/>
      <c r="BG58" s="48"/>
      <c r="BH58" s="48"/>
      <c r="BI58" s="2260"/>
      <c r="BJ58" s="2261"/>
      <c r="BK58" s="2261"/>
      <c r="BL58" s="2261"/>
      <c r="BM58" s="2261"/>
      <c r="BN58" s="2261"/>
      <c r="BO58" s="2261"/>
      <c r="BP58" s="2261"/>
      <c r="BQ58" s="2261"/>
      <c r="BR58" s="2261"/>
      <c r="BS58" s="2261"/>
      <c r="BT58" s="2261"/>
      <c r="BU58" s="2261"/>
      <c r="BV58" s="2261"/>
      <c r="BW58" s="2261"/>
      <c r="BX58" s="2261"/>
      <c r="BY58" s="2261"/>
      <c r="BZ58" s="2261"/>
      <c r="CA58" s="2261"/>
      <c r="CB58" s="2261"/>
      <c r="CC58" s="2261"/>
      <c r="CD58" s="2261"/>
      <c r="CE58" s="2261"/>
      <c r="CF58" s="1200"/>
      <c r="CG58" s="1192"/>
      <c r="CH58" s="1192"/>
      <c r="CI58" s="1192"/>
      <c r="CJ58" s="1192"/>
      <c r="CK58" s="1192"/>
      <c r="CL58" s="1192"/>
      <c r="CM58" s="1192"/>
      <c r="CN58" s="1192"/>
      <c r="CO58" s="1192"/>
      <c r="CP58" s="1192"/>
      <c r="CQ58" s="1192"/>
      <c r="CR58" s="1192"/>
      <c r="CS58" s="1192"/>
      <c r="CT58" s="1192"/>
      <c r="CU58" s="1192"/>
      <c r="CV58" s="1192"/>
      <c r="CW58" s="1192"/>
      <c r="CX58" s="1192"/>
      <c r="CY58" s="1192"/>
      <c r="CZ58" s="1192"/>
      <c r="DA58" s="1192"/>
      <c r="DB58" s="1193"/>
      <c r="DC58" s="1132"/>
      <c r="DD58" s="1133"/>
      <c r="DE58" s="1133"/>
      <c r="DF58" s="1133"/>
      <c r="DG58" s="1133"/>
      <c r="DH58" s="1133"/>
      <c r="DI58" s="1133"/>
      <c r="DJ58" s="1133"/>
      <c r="DK58" s="1134"/>
      <c r="DL58" s="44"/>
    </row>
    <row r="59" spans="1:149" ht="7.5" customHeight="1">
      <c r="A59" s="48"/>
      <c r="B59" s="1012" t="s">
        <v>570</v>
      </c>
      <c r="C59" s="1013"/>
      <c r="D59" s="1013"/>
      <c r="E59" s="1013"/>
      <c r="F59" s="1014"/>
      <c r="G59" s="1037"/>
      <c r="H59" s="1038"/>
      <c r="I59" s="1038"/>
      <c r="J59" s="1038"/>
      <c r="K59" s="1038"/>
      <c r="L59" s="1038"/>
      <c r="M59" s="1038"/>
      <c r="N59" s="1038"/>
      <c r="O59" s="1038"/>
      <c r="P59" s="1038"/>
      <c r="Q59" s="1038"/>
      <c r="R59" s="1038"/>
      <c r="S59" s="1038"/>
      <c r="T59" s="1038"/>
      <c r="U59" s="1038"/>
      <c r="V59" s="1038"/>
      <c r="W59" s="1038"/>
      <c r="X59" s="1038"/>
      <c r="Y59" s="1038"/>
      <c r="Z59" s="1038"/>
      <c r="AA59" s="1039"/>
      <c r="AB59" s="799" t="s">
        <v>569</v>
      </c>
      <c r="AC59" s="1013"/>
      <c r="AD59" s="1013"/>
      <c r="AE59" s="1013"/>
      <c r="AF59" s="1014"/>
      <c r="AG59" s="1044" t="s">
        <v>1621</v>
      </c>
      <c r="AH59" s="1045"/>
      <c r="AI59" s="1045"/>
      <c r="AJ59" s="1045"/>
      <c r="AK59" s="1045"/>
      <c r="AL59" s="1045"/>
      <c r="AM59" s="1045"/>
      <c r="AN59" s="1045"/>
      <c r="AO59" s="1045"/>
      <c r="AP59" s="1045"/>
      <c r="AQ59" s="1045"/>
      <c r="AR59" s="1045"/>
      <c r="AS59" s="1045"/>
      <c r="AT59" s="1045"/>
      <c r="AU59" s="1045"/>
      <c r="AV59" s="1045"/>
      <c r="AW59" s="1045"/>
      <c r="AX59" s="1045"/>
      <c r="AY59" s="1045"/>
      <c r="AZ59" s="1045"/>
      <c r="BA59" s="1045"/>
      <c r="BB59" s="1045"/>
      <c r="BC59" s="1045"/>
      <c r="BD59" s="1045"/>
      <c r="BE59" s="1045"/>
      <c r="BF59" s="1046"/>
      <c r="BG59" s="48"/>
      <c r="BH59" s="48"/>
      <c r="BI59" s="2260"/>
      <c r="BJ59" s="2261"/>
      <c r="BK59" s="2261"/>
      <c r="BL59" s="2261"/>
      <c r="BM59" s="2261"/>
      <c r="BN59" s="2261"/>
      <c r="BO59" s="2261"/>
      <c r="BP59" s="2261"/>
      <c r="BQ59" s="2261"/>
      <c r="BR59" s="2261"/>
      <c r="BS59" s="2261"/>
      <c r="BT59" s="2261"/>
      <c r="BU59" s="2261"/>
      <c r="BV59" s="2261"/>
      <c r="BW59" s="2261"/>
      <c r="BX59" s="2261"/>
      <c r="BY59" s="2261"/>
      <c r="BZ59" s="2261"/>
      <c r="CA59" s="2261"/>
      <c r="CB59" s="2261"/>
      <c r="CC59" s="2261"/>
      <c r="CD59" s="2261"/>
      <c r="CE59" s="2261"/>
      <c r="CF59" s="1192"/>
      <c r="CG59" s="1192"/>
      <c r="CH59" s="1192"/>
      <c r="CI59" s="1192"/>
      <c r="CJ59" s="1192"/>
      <c r="CK59" s="1192"/>
      <c r="CL59" s="1192"/>
      <c r="CM59" s="1192"/>
      <c r="CN59" s="1192"/>
      <c r="CO59" s="1192"/>
      <c r="CP59" s="1192"/>
      <c r="CQ59" s="1192"/>
      <c r="CR59" s="1192"/>
      <c r="CS59" s="1192"/>
      <c r="CT59" s="1192"/>
      <c r="CU59" s="1192"/>
      <c r="CV59" s="1192"/>
      <c r="CW59" s="1192"/>
      <c r="CX59" s="1192"/>
      <c r="CY59" s="1192"/>
      <c r="CZ59" s="1192"/>
      <c r="DA59" s="1192"/>
      <c r="DB59" s="1193"/>
      <c r="DC59" s="1132"/>
      <c r="DD59" s="1133"/>
      <c r="DE59" s="1133"/>
      <c r="DF59" s="1133"/>
      <c r="DG59" s="1133"/>
      <c r="DH59" s="1133"/>
      <c r="DI59" s="1133"/>
      <c r="DJ59" s="1133"/>
      <c r="DK59" s="1134"/>
      <c r="DL59" s="44"/>
    </row>
    <row r="60" spans="1:149" ht="7.5" customHeight="1" thickBot="1">
      <c r="A60" s="48"/>
      <c r="B60" s="1015"/>
      <c r="C60" s="1016"/>
      <c r="D60" s="1016"/>
      <c r="E60" s="1016"/>
      <c r="F60" s="1017"/>
      <c r="G60" s="1203"/>
      <c r="H60" s="1204"/>
      <c r="I60" s="1204"/>
      <c r="J60" s="1204"/>
      <c r="K60" s="1204"/>
      <c r="L60" s="1204"/>
      <c r="M60" s="1204"/>
      <c r="N60" s="1204"/>
      <c r="O60" s="1204"/>
      <c r="P60" s="1204"/>
      <c r="Q60" s="1204"/>
      <c r="R60" s="1204"/>
      <c r="S60" s="1204"/>
      <c r="T60" s="1204"/>
      <c r="U60" s="1204"/>
      <c r="V60" s="1204"/>
      <c r="W60" s="1204"/>
      <c r="X60" s="1204"/>
      <c r="Y60" s="1204"/>
      <c r="Z60" s="1204"/>
      <c r="AA60" s="1205"/>
      <c r="AB60" s="1206"/>
      <c r="AC60" s="1016"/>
      <c r="AD60" s="1016"/>
      <c r="AE60" s="1016"/>
      <c r="AF60" s="1017"/>
      <c r="AG60" s="1207"/>
      <c r="AH60" s="1208"/>
      <c r="AI60" s="1208"/>
      <c r="AJ60" s="1208"/>
      <c r="AK60" s="1208"/>
      <c r="AL60" s="1208"/>
      <c r="AM60" s="1208"/>
      <c r="AN60" s="1208"/>
      <c r="AO60" s="1208"/>
      <c r="AP60" s="1208"/>
      <c r="AQ60" s="1208"/>
      <c r="AR60" s="1208"/>
      <c r="AS60" s="1208"/>
      <c r="AT60" s="1208"/>
      <c r="AU60" s="1208"/>
      <c r="AV60" s="1208"/>
      <c r="AW60" s="1208"/>
      <c r="AX60" s="1208"/>
      <c r="AY60" s="1208"/>
      <c r="AZ60" s="1208"/>
      <c r="BA60" s="1208"/>
      <c r="BB60" s="1208"/>
      <c r="BC60" s="1208"/>
      <c r="BD60" s="1208"/>
      <c r="BE60" s="1208"/>
      <c r="BF60" s="1209"/>
      <c r="BG60" s="48"/>
      <c r="BH60" s="48"/>
      <c r="BI60" s="2260"/>
      <c r="BJ60" s="2261"/>
      <c r="BK60" s="2261"/>
      <c r="BL60" s="2261"/>
      <c r="BM60" s="2261"/>
      <c r="BN60" s="2261"/>
      <c r="BO60" s="2261"/>
      <c r="BP60" s="2261"/>
      <c r="BQ60" s="2261"/>
      <c r="BR60" s="2261"/>
      <c r="BS60" s="2261"/>
      <c r="BT60" s="2261"/>
      <c r="BU60" s="2261"/>
      <c r="BV60" s="2261"/>
      <c r="BW60" s="2261"/>
      <c r="BX60" s="2261"/>
      <c r="BY60" s="2261"/>
      <c r="BZ60" s="2261"/>
      <c r="CA60" s="2261"/>
      <c r="CB60" s="2261"/>
      <c r="CC60" s="2261"/>
      <c r="CD60" s="2261"/>
      <c r="CE60" s="2261"/>
      <c r="CF60" s="1192"/>
      <c r="CG60" s="1192"/>
      <c r="CH60" s="1192"/>
      <c r="CI60" s="1192"/>
      <c r="CJ60" s="1192"/>
      <c r="CK60" s="1192"/>
      <c r="CL60" s="1192"/>
      <c r="CM60" s="1192"/>
      <c r="CN60" s="1192"/>
      <c r="CO60" s="1192"/>
      <c r="CP60" s="1192"/>
      <c r="CQ60" s="1192"/>
      <c r="CR60" s="1192"/>
      <c r="CS60" s="1192"/>
      <c r="CT60" s="1192"/>
      <c r="CU60" s="1192"/>
      <c r="CV60" s="1192"/>
      <c r="CW60" s="1192"/>
      <c r="CX60" s="1192"/>
      <c r="CY60" s="1192"/>
      <c r="CZ60" s="1192"/>
      <c r="DA60" s="1192"/>
      <c r="DB60" s="1193"/>
      <c r="DC60" s="1132"/>
      <c r="DD60" s="1133"/>
      <c r="DE60" s="1133"/>
      <c r="DF60" s="1133"/>
      <c r="DG60" s="1133"/>
      <c r="DH60" s="1133"/>
      <c r="DI60" s="1133"/>
      <c r="DJ60" s="1133"/>
      <c r="DK60" s="1134"/>
      <c r="DL60" s="44"/>
    </row>
    <row r="61" spans="1:149" ht="7.5" customHeight="1" thickTop="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2260"/>
      <c r="BJ61" s="2261"/>
      <c r="BK61" s="2261"/>
      <c r="BL61" s="2261"/>
      <c r="BM61" s="2261"/>
      <c r="BN61" s="2261"/>
      <c r="BO61" s="2261"/>
      <c r="BP61" s="2261"/>
      <c r="BQ61" s="2261"/>
      <c r="BR61" s="2261"/>
      <c r="BS61" s="2261"/>
      <c r="BT61" s="2261"/>
      <c r="BU61" s="2261"/>
      <c r="BV61" s="2261"/>
      <c r="BW61" s="2261"/>
      <c r="BX61" s="2261"/>
      <c r="BY61" s="2261"/>
      <c r="BZ61" s="2261"/>
      <c r="CA61" s="2261"/>
      <c r="CB61" s="2261"/>
      <c r="CC61" s="2261"/>
      <c r="CD61" s="2261"/>
      <c r="CE61" s="2261"/>
      <c r="CF61" s="1192"/>
      <c r="CG61" s="1192"/>
      <c r="CH61" s="1192"/>
      <c r="CI61" s="1192"/>
      <c r="CJ61" s="1192"/>
      <c r="CK61" s="1192"/>
      <c r="CL61" s="1192"/>
      <c r="CM61" s="1192"/>
      <c r="CN61" s="1192"/>
      <c r="CO61" s="1192"/>
      <c r="CP61" s="1192"/>
      <c r="CQ61" s="1192"/>
      <c r="CR61" s="1192"/>
      <c r="CS61" s="1192"/>
      <c r="CT61" s="1192"/>
      <c r="CU61" s="1192"/>
      <c r="CV61" s="1192"/>
      <c r="CW61" s="1192"/>
      <c r="CX61" s="1192"/>
      <c r="CY61" s="1192"/>
      <c r="CZ61" s="1192"/>
      <c r="DA61" s="1192"/>
      <c r="DB61" s="1193"/>
      <c r="DC61" s="1132"/>
      <c r="DD61" s="1133"/>
      <c r="DE61" s="1133"/>
      <c r="DF61" s="1133"/>
      <c r="DG61" s="1133"/>
      <c r="DH61" s="1133"/>
      <c r="DI61" s="1133"/>
      <c r="DJ61" s="1133"/>
      <c r="DK61" s="1134"/>
      <c r="DL61" s="44"/>
    </row>
    <row r="62" spans="1:149"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2260"/>
      <c r="BJ62" s="2261"/>
      <c r="BK62" s="2261"/>
      <c r="BL62" s="2261"/>
      <c r="BM62" s="2261"/>
      <c r="BN62" s="2261"/>
      <c r="BO62" s="2261"/>
      <c r="BP62" s="2261"/>
      <c r="BQ62" s="2261"/>
      <c r="BR62" s="2261"/>
      <c r="BS62" s="2261"/>
      <c r="BT62" s="2261"/>
      <c r="BU62" s="2261"/>
      <c r="BV62" s="2261"/>
      <c r="BW62" s="2261"/>
      <c r="BX62" s="2261"/>
      <c r="BY62" s="2261"/>
      <c r="BZ62" s="2261"/>
      <c r="CA62" s="2261"/>
      <c r="CB62" s="2261"/>
      <c r="CC62" s="2261"/>
      <c r="CD62" s="2261"/>
      <c r="CE62" s="2261"/>
      <c r="CF62" s="1192"/>
      <c r="CG62" s="1192"/>
      <c r="CH62" s="1192"/>
      <c r="CI62" s="1192"/>
      <c r="CJ62" s="1192"/>
      <c r="CK62" s="1192"/>
      <c r="CL62" s="1192"/>
      <c r="CM62" s="1192"/>
      <c r="CN62" s="1192"/>
      <c r="CO62" s="1192"/>
      <c r="CP62" s="1192"/>
      <c r="CQ62" s="1192"/>
      <c r="CR62" s="1192"/>
      <c r="CS62" s="1192"/>
      <c r="CT62" s="1192"/>
      <c r="CU62" s="1192"/>
      <c r="CV62" s="1192"/>
      <c r="CW62" s="1192"/>
      <c r="CX62" s="1192"/>
      <c r="CY62" s="1192"/>
      <c r="CZ62" s="1192"/>
      <c r="DA62" s="1192"/>
      <c r="DB62" s="1193"/>
      <c r="DC62" s="1132"/>
      <c r="DD62" s="1133"/>
      <c r="DE62" s="1133"/>
      <c r="DF62" s="1133"/>
      <c r="DG62" s="1133"/>
      <c r="DH62" s="1133"/>
      <c r="DI62" s="1133"/>
      <c r="DJ62" s="1133"/>
      <c r="DK62" s="1134"/>
      <c r="DL62" s="53"/>
    </row>
    <row r="63" spans="1:149"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2862"/>
      <c r="BJ63" s="2863"/>
      <c r="BK63" s="2863"/>
      <c r="BL63" s="2863"/>
      <c r="BM63" s="2863"/>
      <c r="BN63" s="2863"/>
      <c r="BO63" s="2863"/>
      <c r="BP63" s="2863"/>
      <c r="BQ63" s="2863"/>
      <c r="BR63" s="2863"/>
      <c r="BS63" s="2863"/>
      <c r="BT63" s="2863"/>
      <c r="BU63" s="2863"/>
      <c r="BV63" s="2863"/>
      <c r="BW63" s="2863"/>
      <c r="BX63" s="2863"/>
      <c r="BY63" s="2863"/>
      <c r="BZ63" s="2863"/>
      <c r="CA63" s="2863"/>
      <c r="CB63" s="2863"/>
      <c r="CC63" s="2863"/>
      <c r="CD63" s="2863"/>
      <c r="CE63" s="2863"/>
      <c r="CF63" s="1263"/>
      <c r="CG63" s="1263"/>
      <c r="CH63" s="1263"/>
      <c r="CI63" s="1263"/>
      <c r="CJ63" s="1263"/>
      <c r="CK63" s="1263"/>
      <c r="CL63" s="1263"/>
      <c r="CM63" s="1263"/>
      <c r="CN63" s="1263"/>
      <c r="CO63" s="1263"/>
      <c r="CP63" s="1263"/>
      <c r="CQ63" s="1263"/>
      <c r="CR63" s="1263"/>
      <c r="CS63" s="1263"/>
      <c r="CT63" s="1263"/>
      <c r="CU63" s="1263"/>
      <c r="CV63" s="1263"/>
      <c r="CW63" s="1263"/>
      <c r="CX63" s="1263"/>
      <c r="CY63" s="1263"/>
      <c r="CZ63" s="1263"/>
      <c r="DA63" s="1263"/>
      <c r="DB63" s="1264"/>
      <c r="DC63" s="1135"/>
      <c r="DD63" s="1136"/>
      <c r="DE63" s="1136"/>
      <c r="DF63" s="1136"/>
      <c r="DG63" s="1136"/>
      <c r="DH63" s="1136"/>
      <c r="DI63" s="1136"/>
      <c r="DJ63" s="1136"/>
      <c r="DK63" s="1137"/>
      <c r="DL63" s="44"/>
    </row>
    <row r="64" spans="1:149" ht="11.25" customHeight="1" thickTop="1">
      <c r="A64" s="48"/>
      <c r="DC64" s="289"/>
      <c r="DD64" s="289"/>
      <c r="DE64" s="289"/>
      <c r="DF64" s="289"/>
      <c r="DG64" s="289"/>
      <c r="DH64" s="289"/>
      <c r="DI64" s="289"/>
      <c r="DJ64" s="289"/>
      <c r="DK64" s="289"/>
      <c r="DL64" s="53"/>
    </row>
    <row r="65" spans="1:122" ht="7.5" customHeight="1">
      <c r="A65" s="2868" t="s">
        <v>173</v>
      </c>
      <c r="B65" s="2868"/>
      <c r="C65" s="2868"/>
      <c r="D65" s="2868"/>
      <c r="E65" s="2868"/>
      <c r="F65" s="2868"/>
      <c r="G65" s="2868"/>
      <c r="H65" s="2868"/>
      <c r="I65" s="2868"/>
      <c r="J65" s="2868"/>
      <c r="K65" s="2868"/>
      <c r="L65" s="2868"/>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55" t="s">
        <v>560</v>
      </c>
      <c r="AK65" s="2855"/>
      <c r="AL65" s="2855"/>
      <c r="AM65" s="2855"/>
      <c r="AN65" s="2855"/>
      <c r="AO65" s="2855"/>
      <c r="AP65" s="2855"/>
      <c r="AQ65" s="2855"/>
      <c r="AR65" s="2855"/>
      <c r="AS65" s="2855"/>
      <c r="AT65" s="2855"/>
      <c r="AU65" s="2855"/>
      <c r="AV65" s="2855"/>
      <c r="AW65" s="2855"/>
      <c r="AX65" s="2855"/>
      <c r="AY65" s="2855"/>
      <c r="AZ65" s="2855"/>
      <c r="BA65" s="2855"/>
      <c r="BB65" s="2855"/>
      <c r="BC65" s="2855"/>
      <c r="BD65" s="2855"/>
      <c r="BE65" s="2855"/>
      <c r="BF65" s="2855"/>
      <c r="BG65" s="2855"/>
      <c r="BH65" s="2855"/>
      <c r="BI65" s="2855"/>
      <c r="BJ65" s="2855"/>
      <c r="BK65" s="2855"/>
      <c r="BL65" s="2855"/>
      <c r="BM65" s="2855"/>
      <c r="BN65" s="2855"/>
      <c r="BO65" s="2855"/>
      <c r="BP65" s="2855"/>
      <c r="BQ65" s="2855"/>
      <c r="BR65" s="2855"/>
      <c r="BS65" s="2855"/>
      <c r="BT65" s="2855"/>
      <c r="BU65" s="2855"/>
      <c r="BV65" s="2855"/>
      <c r="BW65" s="2855"/>
      <c r="BX65" s="2855"/>
      <c r="BY65" s="2855"/>
      <c r="BZ65" s="2855"/>
      <c r="CA65" s="2855"/>
      <c r="CB65" s="2855"/>
      <c r="CC65" s="2855"/>
      <c r="CD65" s="2855"/>
      <c r="CE65" s="2855"/>
      <c r="CF65" s="2855"/>
      <c r="CG65" s="2855"/>
      <c r="CH65" s="2855"/>
      <c r="CI65" s="2855"/>
      <c r="CJ65" s="2855"/>
      <c r="CK65" s="2855"/>
      <c r="CL65" s="2855"/>
      <c r="CM65" s="2855"/>
      <c r="CN65" s="2855"/>
      <c r="CO65" s="2855"/>
      <c r="CP65" s="2855"/>
      <c r="CQ65" s="2855"/>
      <c r="CR65" s="2855"/>
      <c r="CS65" s="2855"/>
      <c r="CT65" s="2855"/>
      <c r="CU65" s="2855"/>
      <c r="CV65" s="2855"/>
      <c r="CW65" s="2855"/>
      <c r="CX65" s="2855"/>
      <c r="CY65" s="2855"/>
      <c r="CZ65" s="2855"/>
      <c r="DA65" s="2855"/>
      <c r="DB65" s="2855"/>
      <c r="DC65" s="2855"/>
      <c r="DD65" s="2855"/>
      <c r="DE65" s="2855"/>
      <c r="DF65" s="2855"/>
      <c r="DG65" s="2855"/>
      <c r="DH65" s="2855"/>
      <c r="DI65" s="2855"/>
      <c r="DJ65" s="2855"/>
      <c r="DK65" s="2855"/>
      <c r="DL65" s="2855"/>
    </row>
    <row r="66" spans="1:122" ht="7.5" customHeight="1">
      <c r="A66" s="2868"/>
      <c r="B66" s="2868"/>
      <c r="C66" s="2868"/>
      <c r="D66" s="2868"/>
      <c r="E66" s="2868"/>
      <c r="F66" s="2868"/>
      <c r="G66" s="2868"/>
      <c r="H66" s="2868"/>
      <c r="I66" s="2868"/>
      <c r="J66" s="2868"/>
      <c r="K66" s="2868"/>
      <c r="L66" s="2868"/>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55"/>
      <c r="AK66" s="2855"/>
      <c r="AL66" s="2855"/>
      <c r="AM66" s="2855"/>
      <c r="AN66" s="2855"/>
      <c r="AO66" s="2855"/>
      <c r="AP66" s="2855"/>
      <c r="AQ66" s="2855"/>
      <c r="AR66" s="2855"/>
      <c r="AS66" s="2855"/>
      <c r="AT66" s="2855"/>
      <c r="AU66" s="2855"/>
      <c r="AV66" s="2855"/>
      <c r="AW66" s="2855"/>
      <c r="AX66" s="2855"/>
      <c r="AY66" s="2855"/>
      <c r="AZ66" s="2855"/>
      <c r="BA66" s="2855"/>
      <c r="BB66" s="2855"/>
      <c r="BC66" s="2855"/>
      <c r="BD66" s="2855"/>
      <c r="BE66" s="2855"/>
      <c r="BF66" s="2855"/>
      <c r="BG66" s="2855"/>
      <c r="BH66" s="2855"/>
      <c r="BI66" s="2855"/>
      <c r="BJ66" s="2855"/>
      <c r="BK66" s="2855"/>
      <c r="BL66" s="2855"/>
      <c r="BM66" s="2855"/>
      <c r="BN66" s="2855"/>
      <c r="BO66" s="2855"/>
      <c r="BP66" s="2855"/>
      <c r="BQ66" s="2855"/>
      <c r="BR66" s="2855"/>
      <c r="BS66" s="2855"/>
      <c r="BT66" s="2855"/>
      <c r="BU66" s="2855"/>
      <c r="BV66" s="2855"/>
      <c r="BW66" s="2855"/>
      <c r="BX66" s="2855"/>
      <c r="BY66" s="2855"/>
      <c r="BZ66" s="2855"/>
      <c r="CA66" s="2855"/>
      <c r="CB66" s="2855"/>
      <c r="CC66" s="2855"/>
      <c r="CD66" s="2855"/>
      <c r="CE66" s="2855"/>
      <c r="CF66" s="2855"/>
      <c r="CG66" s="2855"/>
      <c r="CH66" s="2855"/>
      <c r="CI66" s="2855"/>
      <c r="CJ66" s="2855"/>
      <c r="CK66" s="2855"/>
      <c r="CL66" s="2855"/>
      <c r="CM66" s="2855"/>
      <c r="CN66" s="2855"/>
      <c r="CO66" s="2855"/>
      <c r="CP66" s="2855"/>
      <c r="CQ66" s="2855"/>
      <c r="CR66" s="2855"/>
      <c r="CS66" s="2855"/>
      <c r="CT66" s="2855"/>
      <c r="CU66" s="2855"/>
      <c r="CV66" s="2855"/>
      <c r="CW66" s="2855"/>
      <c r="CX66" s="2855"/>
      <c r="CY66" s="2855"/>
      <c r="CZ66" s="2855"/>
      <c r="DA66" s="2855"/>
      <c r="DB66" s="2855"/>
      <c r="DC66" s="2855"/>
      <c r="DD66" s="2855"/>
      <c r="DE66" s="2855"/>
      <c r="DF66" s="2855"/>
      <c r="DG66" s="2855"/>
      <c r="DH66" s="2855"/>
      <c r="DI66" s="2855"/>
      <c r="DJ66" s="2855"/>
      <c r="DK66" s="2855"/>
      <c r="DL66" s="2855"/>
    </row>
    <row r="67" spans="1:122" ht="7.5" customHeight="1">
      <c r="A67" s="2868"/>
      <c r="B67" s="2868"/>
      <c r="C67" s="2868"/>
      <c r="D67" s="2868"/>
      <c r="E67" s="2868"/>
      <c r="F67" s="2868"/>
      <c r="G67" s="2868"/>
      <c r="H67" s="2868"/>
      <c r="I67" s="2868"/>
      <c r="J67" s="2868"/>
      <c r="K67" s="2868"/>
      <c r="L67" s="2868"/>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55"/>
      <c r="AK67" s="2855"/>
      <c r="AL67" s="2855"/>
      <c r="AM67" s="2855"/>
      <c r="AN67" s="2855"/>
      <c r="AO67" s="2855"/>
      <c r="AP67" s="2855"/>
      <c r="AQ67" s="2855"/>
      <c r="AR67" s="2855"/>
      <c r="AS67" s="2855"/>
      <c r="AT67" s="2855"/>
      <c r="AU67" s="2855"/>
      <c r="AV67" s="2855"/>
      <c r="AW67" s="2855"/>
      <c r="AX67" s="2855"/>
      <c r="AY67" s="2855"/>
      <c r="AZ67" s="2855"/>
      <c r="BA67" s="2855"/>
      <c r="BB67" s="2855"/>
      <c r="BC67" s="2855"/>
      <c r="BD67" s="2855"/>
      <c r="BE67" s="2855"/>
      <c r="BF67" s="2855"/>
      <c r="BG67" s="2855"/>
      <c r="BH67" s="2855"/>
      <c r="BI67" s="2855"/>
      <c r="BJ67" s="2855"/>
      <c r="BK67" s="2855"/>
      <c r="BL67" s="2855"/>
      <c r="BM67" s="2855"/>
      <c r="BN67" s="2855"/>
      <c r="BO67" s="2855"/>
      <c r="BP67" s="2855"/>
      <c r="BQ67" s="2855"/>
      <c r="BR67" s="2855"/>
      <c r="BS67" s="2855"/>
      <c r="BT67" s="2855"/>
      <c r="BU67" s="2855"/>
      <c r="BV67" s="2855"/>
      <c r="BW67" s="2855"/>
      <c r="BX67" s="2855"/>
      <c r="BY67" s="2855"/>
      <c r="BZ67" s="2855"/>
      <c r="CA67" s="2855"/>
      <c r="CB67" s="2855"/>
      <c r="CC67" s="2855"/>
      <c r="CD67" s="2855"/>
      <c r="CE67" s="2855"/>
      <c r="CF67" s="2855"/>
      <c r="CG67" s="2855"/>
      <c r="CH67" s="2855"/>
      <c r="CI67" s="2855"/>
      <c r="CJ67" s="2855"/>
      <c r="CK67" s="2855"/>
      <c r="CL67" s="2855"/>
      <c r="CM67" s="2855"/>
      <c r="CN67" s="2855"/>
      <c r="CO67" s="2855"/>
      <c r="CP67" s="2855"/>
      <c r="CQ67" s="2855"/>
      <c r="CR67" s="2855"/>
      <c r="CS67" s="2855"/>
      <c r="CT67" s="2855"/>
      <c r="CU67" s="2855"/>
      <c r="CV67" s="2855"/>
      <c r="CW67" s="2855"/>
      <c r="CX67" s="2855"/>
      <c r="CY67" s="2855"/>
      <c r="CZ67" s="2855"/>
      <c r="DA67" s="2855"/>
      <c r="DB67" s="2855"/>
      <c r="DC67" s="2855"/>
      <c r="DD67" s="2855"/>
      <c r="DE67" s="2855"/>
      <c r="DF67" s="2855"/>
      <c r="DG67" s="2855"/>
      <c r="DH67" s="2855"/>
      <c r="DI67" s="2855"/>
      <c r="DJ67" s="2855"/>
      <c r="DK67" s="2855"/>
      <c r="DL67" s="2855"/>
    </row>
    <row r="68" spans="1:122" ht="7.5" customHeight="1">
      <c r="A68" s="271"/>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855"/>
      <c r="AK68" s="2855"/>
      <c r="AL68" s="2855"/>
      <c r="AM68" s="2855"/>
      <c r="AN68" s="2855"/>
      <c r="AO68" s="2855"/>
      <c r="AP68" s="2855"/>
      <c r="AQ68" s="2855"/>
      <c r="AR68" s="2855"/>
      <c r="AS68" s="2855"/>
      <c r="AT68" s="2855"/>
      <c r="AU68" s="2855"/>
      <c r="AV68" s="2855"/>
      <c r="AW68" s="2855"/>
      <c r="AX68" s="2855"/>
      <c r="AY68" s="2855"/>
      <c r="AZ68" s="2855"/>
      <c r="BA68" s="2855"/>
      <c r="BB68" s="2855"/>
      <c r="BC68" s="2855"/>
      <c r="BD68" s="2855"/>
      <c r="BE68" s="2855"/>
      <c r="BF68" s="2855"/>
      <c r="BG68" s="2855"/>
      <c r="BH68" s="2855"/>
      <c r="BI68" s="2855"/>
      <c r="BJ68" s="2855"/>
      <c r="BK68" s="2855"/>
      <c r="BL68" s="2855"/>
      <c r="BM68" s="2855"/>
      <c r="BN68" s="2855"/>
      <c r="BO68" s="2855"/>
      <c r="BP68" s="2855"/>
      <c r="BQ68" s="2855"/>
      <c r="BR68" s="2855"/>
      <c r="BS68" s="2855"/>
      <c r="BT68" s="2855"/>
      <c r="BU68" s="2855"/>
      <c r="BV68" s="2855"/>
      <c r="BW68" s="2855"/>
      <c r="BX68" s="2855"/>
      <c r="BY68" s="2855"/>
      <c r="BZ68" s="2855"/>
      <c r="CA68" s="2855"/>
      <c r="CB68" s="2855"/>
      <c r="CC68" s="2855"/>
      <c r="CD68" s="2855"/>
      <c r="CE68" s="2855"/>
      <c r="CF68" s="2855"/>
      <c r="CG68" s="2855"/>
      <c r="CH68" s="2855"/>
      <c r="CI68" s="2855"/>
      <c r="CJ68" s="2855"/>
      <c r="CK68" s="2855"/>
      <c r="CL68" s="2855"/>
      <c r="CM68" s="2855"/>
      <c r="CN68" s="2855"/>
      <c r="CO68" s="2855"/>
      <c r="CP68" s="2855"/>
      <c r="CQ68" s="2855"/>
      <c r="CR68" s="2855"/>
      <c r="CS68" s="2855"/>
      <c r="CT68" s="2855"/>
      <c r="CU68" s="2855"/>
      <c r="CV68" s="2855"/>
      <c r="CW68" s="2855"/>
      <c r="CX68" s="2855"/>
      <c r="CY68" s="2855"/>
      <c r="CZ68" s="2855"/>
      <c r="DA68" s="2855"/>
      <c r="DB68" s="2855"/>
      <c r="DC68" s="2855"/>
      <c r="DD68" s="2855"/>
      <c r="DE68" s="2855"/>
      <c r="DF68" s="2855"/>
      <c r="DG68" s="2855"/>
      <c r="DH68" s="2855"/>
      <c r="DI68" s="2855"/>
      <c r="DJ68" s="2855"/>
      <c r="DK68" s="2855"/>
      <c r="DL68" s="2855"/>
    </row>
    <row r="69" spans="1:122" ht="7.5" customHeight="1" thickBot="1">
      <c r="A69" s="44"/>
      <c r="B69" s="54"/>
      <c r="C69" s="54"/>
      <c r="D69" s="54"/>
      <c r="E69" s="54"/>
      <c r="F69" s="54"/>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48"/>
      <c r="CL69" s="48"/>
      <c r="CM69" s="48"/>
      <c r="CN69" s="48"/>
      <c r="CO69" s="48"/>
      <c r="CP69" s="57"/>
      <c r="CQ69" s="57"/>
      <c r="CR69" s="57"/>
      <c r="CS69" s="57"/>
      <c r="CT69" s="57"/>
      <c r="CU69" s="57"/>
      <c r="CV69" s="57"/>
      <c r="CW69" s="57"/>
      <c r="CX69" s="57"/>
      <c r="CY69" s="57"/>
      <c r="CZ69" s="57"/>
      <c r="DA69" s="57"/>
      <c r="DB69" s="57"/>
      <c r="DC69" s="57"/>
      <c r="DD69" s="57"/>
      <c r="DE69" s="57"/>
      <c r="DF69" s="57"/>
      <c r="DG69" s="57"/>
      <c r="DH69" s="57"/>
      <c r="DI69" s="57"/>
      <c r="DJ69" s="57"/>
      <c r="DK69" s="57"/>
      <c r="DL69" s="57"/>
    </row>
    <row r="70" spans="1:122" ht="8.25" customHeight="1">
      <c r="A70" s="44"/>
      <c r="B70" s="2864" t="s">
        <v>188</v>
      </c>
      <c r="C70" s="2865"/>
      <c r="D70" s="2865"/>
      <c r="E70" s="2865"/>
      <c r="F70" s="2865"/>
      <c r="G70" s="2865"/>
      <c r="H70" s="2865"/>
      <c r="I70" s="2865"/>
      <c r="J70" s="2865"/>
      <c r="K70" s="2865"/>
      <c r="L70" s="2865"/>
      <c r="M70" s="2865"/>
      <c r="N70" s="2865"/>
      <c r="O70" s="2865"/>
      <c r="P70" s="2865"/>
      <c r="Q70" s="2865"/>
      <c r="R70" s="2865"/>
      <c r="S70" s="2865"/>
      <c r="T70" s="2865"/>
      <c r="U70" s="2865"/>
      <c r="V70" s="2865"/>
      <c r="W70" s="2865"/>
      <c r="X70" s="2865"/>
      <c r="Y70" s="2865"/>
      <c r="Z70" s="2634" t="s">
        <v>256</v>
      </c>
      <c r="AA70" s="2634"/>
      <c r="AB70" s="2634"/>
      <c r="AC70" s="2634"/>
      <c r="AD70" s="2634"/>
      <c r="AE70" s="2634"/>
      <c r="AF70" s="2634"/>
      <c r="AG70" s="2634"/>
      <c r="AH70" s="2634"/>
      <c r="AI70" s="2634"/>
      <c r="AJ70" s="2634"/>
      <c r="AK70" s="2634"/>
      <c r="AL70" s="2634"/>
      <c r="AM70" s="2634"/>
      <c r="AN70" s="2634"/>
      <c r="AO70" s="2634"/>
      <c r="AP70" s="2634"/>
      <c r="AQ70" s="2634"/>
      <c r="AR70" s="2634"/>
      <c r="AS70" s="2634"/>
      <c r="AT70" s="2634"/>
      <c r="AU70" s="2634"/>
      <c r="AV70" s="2634"/>
      <c r="AW70" s="2634"/>
      <c r="AX70" s="2634"/>
      <c r="AY70" s="2634"/>
      <c r="AZ70" s="2634"/>
      <c r="BA70" s="2634"/>
      <c r="BB70" s="2634"/>
      <c r="BC70" s="2634"/>
      <c r="BD70" s="2634"/>
      <c r="BE70" s="2634"/>
      <c r="BF70" s="2634"/>
      <c r="BG70" s="2634"/>
      <c r="BH70" s="2634"/>
      <c r="BI70" s="2634"/>
      <c r="BJ70" s="2634"/>
      <c r="BK70" s="2634"/>
      <c r="BL70" s="2634"/>
      <c r="BM70" s="2634"/>
      <c r="BN70" s="2634"/>
      <c r="BO70" s="2634"/>
      <c r="BP70" s="2634"/>
      <c r="BQ70" s="2634"/>
      <c r="BR70" s="2634"/>
      <c r="BS70" s="2634"/>
      <c r="BT70" s="2634"/>
      <c r="BU70" s="2634"/>
      <c r="BV70" s="2634"/>
      <c r="BW70" s="2634"/>
      <c r="BX70" s="2634"/>
      <c r="BY70" s="2634"/>
      <c r="BZ70" s="2634"/>
      <c r="CA70" s="2634"/>
      <c r="CB70" s="2634"/>
      <c r="CC70" s="2634"/>
      <c r="CD70" s="2634"/>
      <c r="CE70" s="2634"/>
      <c r="CF70" s="2634"/>
      <c r="CG70" s="2634"/>
      <c r="CH70" s="2634"/>
      <c r="CI70" s="2634"/>
      <c r="CJ70" s="2634"/>
      <c r="CK70" s="2634"/>
      <c r="CL70" s="2634"/>
      <c r="CM70" s="2634"/>
      <c r="CN70" s="2634"/>
      <c r="CO70" s="2634"/>
      <c r="CP70" s="2634"/>
      <c r="CQ70" s="2634"/>
      <c r="CR70" s="2634"/>
      <c r="CS70" s="2634"/>
      <c r="CT70" s="2634"/>
      <c r="CU70" s="2634"/>
      <c r="CV70" s="2634"/>
      <c r="CW70" s="2634"/>
      <c r="CX70" s="2634"/>
      <c r="CY70" s="2634"/>
      <c r="CZ70" s="2634"/>
      <c r="DA70" s="2634"/>
      <c r="DB70" s="2634"/>
      <c r="DC70" s="2634"/>
      <c r="DD70" s="2634"/>
      <c r="DE70" s="2634"/>
      <c r="DF70" s="2634"/>
      <c r="DG70" s="2634"/>
      <c r="DH70" s="2634"/>
      <c r="DI70" s="2634"/>
      <c r="DJ70" s="2634"/>
      <c r="DK70" s="2634"/>
      <c r="DL70" s="2635"/>
    </row>
    <row r="71" spans="1:122" ht="8.25" customHeight="1" thickBot="1">
      <c r="A71" s="44"/>
      <c r="B71" s="2866"/>
      <c r="C71" s="2867"/>
      <c r="D71" s="2867"/>
      <c r="E71" s="2867"/>
      <c r="F71" s="2867"/>
      <c r="G71" s="2867"/>
      <c r="H71" s="2867"/>
      <c r="I71" s="2867"/>
      <c r="J71" s="2867"/>
      <c r="K71" s="2867"/>
      <c r="L71" s="2867"/>
      <c r="M71" s="2867"/>
      <c r="N71" s="2867"/>
      <c r="O71" s="2867"/>
      <c r="P71" s="2867"/>
      <c r="Q71" s="2867"/>
      <c r="R71" s="2867"/>
      <c r="S71" s="2867"/>
      <c r="T71" s="2867"/>
      <c r="U71" s="2867"/>
      <c r="V71" s="2867"/>
      <c r="W71" s="2867"/>
      <c r="X71" s="2867"/>
      <c r="Y71" s="2867"/>
      <c r="Z71" s="2636"/>
      <c r="AA71" s="2636"/>
      <c r="AB71" s="2636"/>
      <c r="AC71" s="2636"/>
      <c r="AD71" s="2636"/>
      <c r="AE71" s="2636"/>
      <c r="AF71" s="2636"/>
      <c r="AG71" s="2636"/>
      <c r="AH71" s="2636"/>
      <c r="AI71" s="2637"/>
      <c r="AJ71" s="2637"/>
      <c r="AK71" s="2637"/>
      <c r="AL71" s="2636"/>
      <c r="AM71" s="2636"/>
      <c r="AN71" s="2636"/>
      <c r="AO71" s="2636"/>
      <c r="AP71" s="2636"/>
      <c r="AQ71" s="2636"/>
      <c r="AR71" s="2636"/>
      <c r="AS71" s="2636"/>
      <c r="AT71" s="2636"/>
      <c r="AU71" s="2636"/>
      <c r="AV71" s="2636"/>
      <c r="AW71" s="2636"/>
      <c r="AX71" s="2636"/>
      <c r="AY71" s="2636"/>
      <c r="AZ71" s="2636"/>
      <c r="BA71" s="2636"/>
      <c r="BB71" s="2636"/>
      <c r="BC71" s="2636"/>
      <c r="BD71" s="2637"/>
      <c r="BE71" s="2637"/>
      <c r="BF71" s="2637"/>
      <c r="BG71" s="2637"/>
      <c r="BH71" s="2637"/>
      <c r="BI71" s="2637"/>
      <c r="BJ71" s="2637"/>
      <c r="BK71" s="2637"/>
      <c r="BL71" s="2637"/>
      <c r="BM71" s="2637"/>
      <c r="BN71" s="2637"/>
      <c r="BO71" s="2637"/>
      <c r="BP71" s="2637"/>
      <c r="BQ71" s="2637"/>
      <c r="BR71" s="2637"/>
      <c r="BS71" s="2637"/>
      <c r="BT71" s="2637"/>
      <c r="BU71" s="2637"/>
      <c r="BV71" s="2637"/>
      <c r="BW71" s="2637"/>
      <c r="BX71" s="2637"/>
      <c r="BY71" s="2637"/>
      <c r="BZ71" s="2637"/>
      <c r="CA71" s="2637"/>
      <c r="CB71" s="2637"/>
      <c r="CC71" s="2637"/>
      <c r="CD71" s="2637"/>
      <c r="CE71" s="2637"/>
      <c r="CF71" s="2637"/>
      <c r="CG71" s="2637"/>
      <c r="CH71" s="2637"/>
      <c r="CI71" s="2637"/>
      <c r="CJ71" s="2637"/>
      <c r="CK71" s="2637"/>
      <c r="CL71" s="2637"/>
      <c r="CM71" s="2637"/>
      <c r="CN71" s="2637"/>
      <c r="CO71" s="2637"/>
      <c r="CP71" s="2637"/>
      <c r="CQ71" s="2637"/>
      <c r="CR71" s="2637"/>
      <c r="CS71" s="2637"/>
      <c r="CT71" s="2637"/>
      <c r="CU71" s="2637"/>
      <c r="CV71" s="2637"/>
      <c r="CW71" s="2637"/>
      <c r="CX71" s="2637"/>
      <c r="CY71" s="2637"/>
      <c r="CZ71" s="2637"/>
      <c r="DA71" s="2637"/>
      <c r="DB71" s="2637"/>
      <c r="DC71" s="2637"/>
      <c r="DD71" s="2637"/>
      <c r="DE71" s="2637"/>
      <c r="DF71" s="2637"/>
      <c r="DG71" s="2637"/>
      <c r="DH71" s="2637"/>
      <c r="DI71" s="2637"/>
      <c r="DJ71" s="2637"/>
      <c r="DK71" s="2637"/>
      <c r="DL71" s="2638"/>
    </row>
    <row r="72" spans="1:122" ht="7.5" customHeight="1" thickTop="1">
      <c r="A72" s="44"/>
      <c r="B72" s="2744" t="s">
        <v>105</v>
      </c>
      <c r="C72" s="2710"/>
      <c r="D72" s="2711"/>
      <c r="E72" s="2486"/>
      <c r="F72" s="2450"/>
      <c r="G72" s="2450"/>
      <c r="H72" s="2450"/>
      <c r="I72" s="2450"/>
      <c r="J72" s="2450"/>
      <c r="K72" s="2450"/>
      <c r="L72" s="2450"/>
      <c r="M72" s="2450"/>
      <c r="N72" s="2450"/>
      <c r="O72" s="2450"/>
      <c r="P72" s="2450"/>
      <c r="Q72" s="2487"/>
      <c r="R72" s="2709" t="s">
        <v>80</v>
      </c>
      <c r="S72" s="2710"/>
      <c r="T72" s="2711"/>
      <c r="U72" s="2486"/>
      <c r="V72" s="2450"/>
      <c r="W72" s="2450"/>
      <c r="X72" s="2450"/>
      <c r="Y72" s="2450"/>
      <c r="Z72" s="2450"/>
      <c r="AA72" s="2450"/>
      <c r="AB72" s="2450"/>
      <c r="AC72" s="2450"/>
      <c r="AD72" s="2450"/>
      <c r="AE72" s="2450"/>
      <c r="AF72" s="2450"/>
      <c r="AG72" s="2450"/>
      <c r="AH72" s="2451"/>
      <c r="AI72" s="2374" t="s">
        <v>801</v>
      </c>
      <c r="AJ72" s="2374"/>
      <c r="AK72" s="2374"/>
      <c r="AL72" s="2449"/>
      <c r="AM72" s="2450"/>
      <c r="AN72" s="2450"/>
      <c r="AO72" s="2450"/>
      <c r="AP72" s="2450"/>
      <c r="AQ72" s="2450"/>
      <c r="AR72" s="2450"/>
      <c r="AS72" s="2450"/>
      <c r="AT72" s="2450"/>
      <c r="AU72" s="2450"/>
      <c r="AV72" s="2450"/>
      <c r="AW72" s="2450"/>
      <c r="AX72" s="2450"/>
      <c r="AY72" s="2450"/>
      <c r="AZ72" s="2450"/>
      <c r="BA72" s="2450"/>
      <c r="BB72" s="2450"/>
      <c r="BC72" s="2451"/>
      <c r="BD72" s="2374" t="s">
        <v>216</v>
      </c>
      <c r="BE72" s="2374"/>
      <c r="BF72" s="2374"/>
      <c r="BG72" s="2375"/>
      <c r="BH72" s="2700"/>
      <c r="BI72" s="2701"/>
      <c r="BJ72" s="2701"/>
      <c r="BK72" s="2702"/>
      <c r="BL72" s="2373" t="s">
        <v>217</v>
      </c>
      <c r="BM72" s="2374"/>
      <c r="BN72" s="2374"/>
      <c r="BO72" s="2375"/>
      <c r="BP72" s="2439"/>
      <c r="BQ72" s="2440"/>
      <c r="BR72" s="2373" t="s">
        <v>214</v>
      </c>
      <c r="BS72" s="2374"/>
      <c r="BT72" s="2375"/>
      <c r="BU72" s="2439"/>
      <c r="BV72" s="2439"/>
      <c r="BW72" s="2440"/>
      <c r="BX72" s="2373" t="s">
        <v>215</v>
      </c>
      <c r="BY72" s="2374"/>
      <c r="BZ72" s="2374"/>
      <c r="CA72" s="2374"/>
      <c r="CB72" s="2375"/>
      <c r="CC72" s="2670">
        <v>20</v>
      </c>
      <c r="CD72" s="2670"/>
      <c r="CE72" s="2670"/>
      <c r="CF72" s="2435"/>
      <c r="CG72" s="2435"/>
      <c r="CH72" s="2484" t="s">
        <v>0</v>
      </c>
      <c r="CI72" s="2484"/>
      <c r="CJ72" s="2435"/>
      <c r="CK72" s="2435"/>
      <c r="CL72" s="2484" t="s">
        <v>218</v>
      </c>
      <c r="CM72" s="2484"/>
      <c r="CN72" s="2484"/>
      <c r="CO72" s="2484"/>
      <c r="CP72" s="2373" t="s">
        <v>219</v>
      </c>
      <c r="CQ72" s="2374"/>
      <c r="CR72" s="2374"/>
      <c r="CS72" s="2375"/>
      <c r="CT72" s="2499"/>
      <c r="CU72" s="2491"/>
      <c r="CV72" s="2491"/>
      <c r="CW72" s="2491"/>
      <c r="CX72" s="2491"/>
      <c r="CY72" s="2491"/>
      <c r="CZ72" s="2491"/>
      <c r="DA72" s="2491"/>
      <c r="DB72" s="2491"/>
      <c r="DC72" s="2491"/>
      <c r="DD72" s="2491"/>
      <c r="DE72" s="2491"/>
      <c r="DF72" s="2491"/>
      <c r="DG72" s="2491"/>
      <c r="DH72" s="2491"/>
      <c r="DI72" s="2491"/>
      <c r="DJ72" s="2491"/>
      <c r="DK72" s="2491"/>
      <c r="DL72" s="2500"/>
    </row>
    <row r="73" spans="1:122" ht="7.5" customHeight="1">
      <c r="A73" s="44"/>
      <c r="B73" s="2745"/>
      <c r="C73" s="2374"/>
      <c r="D73" s="2375"/>
      <c r="E73" s="2488"/>
      <c r="F73" s="2439"/>
      <c r="G73" s="2439"/>
      <c r="H73" s="2439"/>
      <c r="I73" s="2439"/>
      <c r="J73" s="2439"/>
      <c r="K73" s="2439"/>
      <c r="L73" s="2439"/>
      <c r="M73" s="2439"/>
      <c r="N73" s="2439"/>
      <c r="O73" s="2439"/>
      <c r="P73" s="2439"/>
      <c r="Q73" s="2440"/>
      <c r="R73" s="2373"/>
      <c r="S73" s="2374"/>
      <c r="T73" s="2375"/>
      <c r="U73" s="2488"/>
      <c r="V73" s="2439"/>
      <c r="W73" s="2439"/>
      <c r="X73" s="2439"/>
      <c r="Y73" s="2439"/>
      <c r="Z73" s="2439"/>
      <c r="AA73" s="2439"/>
      <c r="AB73" s="2439"/>
      <c r="AC73" s="2439"/>
      <c r="AD73" s="2439"/>
      <c r="AE73" s="2439"/>
      <c r="AF73" s="2439"/>
      <c r="AG73" s="2439"/>
      <c r="AH73" s="2453"/>
      <c r="AI73" s="2374"/>
      <c r="AJ73" s="2374"/>
      <c r="AK73" s="2374"/>
      <c r="AL73" s="2452"/>
      <c r="AM73" s="2439"/>
      <c r="AN73" s="2439"/>
      <c r="AO73" s="2439"/>
      <c r="AP73" s="2439"/>
      <c r="AQ73" s="2439"/>
      <c r="AR73" s="2439"/>
      <c r="AS73" s="2439"/>
      <c r="AT73" s="2439"/>
      <c r="AU73" s="2439"/>
      <c r="AV73" s="2439"/>
      <c r="AW73" s="2439"/>
      <c r="AX73" s="2439"/>
      <c r="AY73" s="2439"/>
      <c r="AZ73" s="2439"/>
      <c r="BA73" s="2439"/>
      <c r="BB73" s="2439"/>
      <c r="BC73" s="2453"/>
      <c r="BD73" s="2374"/>
      <c r="BE73" s="2374"/>
      <c r="BF73" s="2374"/>
      <c r="BG73" s="2375"/>
      <c r="BH73" s="2703"/>
      <c r="BI73" s="2704"/>
      <c r="BJ73" s="2704"/>
      <c r="BK73" s="2705"/>
      <c r="BL73" s="2373"/>
      <c r="BM73" s="2374"/>
      <c r="BN73" s="2374"/>
      <c r="BO73" s="2375"/>
      <c r="BP73" s="2439"/>
      <c r="BQ73" s="2440"/>
      <c r="BR73" s="2373"/>
      <c r="BS73" s="2374"/>
      <c r="BT73" s="2375"/>
      <c r="BU73" s="2439"/>
      <c r="BV73" s="2439"/>
      <c r="BW73" s="2440"/>
      <c r="BX73" s="2373"/>
      <c r="BY73" s="2374"/>
      <c r="BZ73" s="2374"/>
      <c r="CA73" s="2374"/>
      <c r="CB73" s="2375"/>
      <c r="CC73" s="2670"/>
      <c r="CD73" s="2670"/>
      <c r="CE73" s="2670"/>
      <c r="CF73" s="2435"/>
      <c r="CG73" s="2435"/>
      <c r="CH73" s="2484"/>
      <c r="CI73" s="2484"/>
      <c r="CJ73" s="2435"/>
      <c r="CK73" s="2435"/>
      <c r="CL73" s="2484"/>
      <c r="CM73" s="2484"/>
      <c r="CN73" s="2484"/>
      <c r="CO73" s="2484"/>
      <c r="CP73" s="2373"/>
      <c r="CQ73" s="2374"/>
      <c r="CR73" s="2374"/>
      <c r="CS73" s="2375"/>
      <c r="CT73" s="2501"/>
      <c r="CU73" s="2493"/>
      <c r="CV73" s="2493"/>
      <c r="CW73" s="2493"/>
      <c r="CX73" s="2493"/>
      <c r="CY73" s="2493"/>
      <c r="CZ73" s="2493"/>
      <c r="DA73" s="2493"/>
      <c r="DB73" s="2493"/>
      <c r="DC73" s="2493"/>
      <c r="DD73" s="2493"/>
      <c r="DE73" s="2493"/>
      <c r="DF73" s="2493"/>
      <c r="DG73" s="2493"/>
      <c r="DH73" s="2493"/>
      <c r="DI73" s="2493"/>
      <c r="DJ73" s="2493"/>
      <c r="DK73" s="2493"/>
      <c r="DL73" s="2502"/>
    </row>
    <row r="74" spans="1:122" ht="7.5" customHeight="1" thickBot="1">
      <c r="A74" s="44"/>
      <c r="B74" s="2746"/>
      <c r="C74" s="2713"/>
      <c r="D74" s="2714"/>
      <c r="E74" s="2489"/>
      <c r="F74" s="2455"/>
      <c r="G74" s="2455"/>
      <c r="H74" s="2455"/>
      <c r="I74" s="2455"/>
      <c r="J74" s="2455"/>
      <c r="K74" s="2455"/>
      <c r="L74" s="2455"/>
      <c r="M74" s="2455"/>
      <c r="N74" s="2455"/>
      <c r="O74" s="2455"/>
      <c r="P74" s="2455"/>
      <c r="Q74" s="2490"/>
      <c r="R74" s="2712"/>
      <c r="S74" s="2713"/>
      <c r="T74" s="2714"/>
      <c r="U74" s="2489"/>
      <c r="V74" s="2455"/>
      <c r="W74" s="2455"/>
      <c r="X74" s="2455"/>
      <c r="Y74" s="2455"/>
      <c r="Z74" s="2455"/>
      <c r="AA74" s="2455"/>
      <c r="AB74" s="2455"/>
      <c r="AC74" s="2455"/>
      <c r="AD74" s="2455"/>
      <c r="AE74" s="2455"/>
      <c r="AF74" s="2455"/>
      <c r="AG74" s="2455"/>
      <c r="AH74" s="2456"/>
      <c r="AI74" s="2377"/>
      <c r="AJ74" s="2377"/>
      <c r="AK74" s="2377"/>
      <c r="AL74" s="2454"/>
      <c r="AM74" s="2455"/>
      <c r="AN74" s="2455"/>
      <c r="AO74" s="2455"/>
      <c r="AP74" s="2455"/>
      <c r="AQ74" s="2455"/>
      <c r="AR74" s="2455"/>
      <c r="AS74" s="2455"/>
      <c r="AT74" s="2455"/>
      <c r="AU74" s="2455"/>
      <c r="AV74" s="2455"/>
      <c r="AW74" s="2455"/>
      <c r="AX74" s="2455"/>
      <c r="AY74" s="2455"/>
      <c r="AZ74" s="2455"/>
      <c r="BA74" s="2455"/>
      <c r="BB74" s="2455"/>
      <c r="BC74" s="2456"/>
      <c r="BD74" s="2377"/>
      <c r="BE74" s="2377"/>
      <c r="BF74" s="2377"/>
      <c r="BG74" s="2378"/>
      <c r="BH74" s="2706"/>
      <c r="BI74" s="2707"/>
      <c r="BJ74" s="2707"/>
      <c r="BK74" s="2708"/>
      <c r="BL74" s="2376"/>
      <c r="BM74" s="2377"/>
      <c r="BN74" s="2377"/>
      <c r="BO74" s="2378"/>
      <c r="BP74" s="2522"/>
      <c r="BQ74" s="2523"/>
      <c r="BR74" s="2376"/>
      <c r="BS74" s="2377"/>
      <c r="BT74" s="2378"/>
      <c r="BU74" s="2522"/>
      <c r="BV74" s="2522"/>
      <c r="BW74" s="2523"/>
      <c r="BX74" s="2376"/>
      <c r="BY74" s="2377"/>
      <c r="BZ74" s="2377"/>
      <c r="CA74" s="2377"/>
      <c r="CB74" s="2378"/>
      <c r="CC74" s="2699"/>
      <c r="CD74" s="2699"/>
      <c r="CE74" s="2699"/>
      <c r="CF74" s="2482"/>
      <c r="CG74" s="2482"/>
      <c r="CH74" s="2485"/>
      <c r="CI74" s="2485"/>
      <c r="CJ74" s="2482"/>
      <c r="CK74" s="2482"/>
      <c r="CL74" s="2485"/>
      <c r="CM74" s="2485"/>
      <c r="CN74" s="2485"/>
      <c r="CO74" s="2485"/>
      <c r="CP74" s="2376"/>
      <c r="CQ74" s="2377"/>
      <c r="CR74" s="2377"/>
      <c r="CS74" s="2378"/>
      <c r="CT74" s="2503"/>
      <c r="CU74" s="2495"/>
      <c r="CV74" s="2495"/>
      <c r="CW74" s="2495"/>
      <c r="CX74" s="2495"/>
      <c r="CY74" s="2495"/>
      <c r="CZ74" s="2495"/>
      <c r="DA74" s="2495"/>
      <c r="DB74" s="2495"/>
      <c r="DC74" s="2495"/>
      <c r="DD74" s="2495"/>
      <c r="DE74" s="2495"/>
      <c r="DF74" s="2495"/>
      <c r="DG74" s="2495"/>
      <c r="DH74" s="2495"/>
      <c r="DI74" s="2495"/>
      <c r="DJ74" s="2495"/>
      <c r="DK74" s="2495"/>
      <c r="DL74" s="2504"/>
    </row>
    <row r="75" spans="1:122" ht="11.25" customHeight="1" thickTop="1">
      <c r="A75" s="48"/>
      <c r="B75" s="2715" t="s">
        <v>143</v>
      </c>
      <c r="C75" s="2716"/>
      <c r="D75" s="2716"/>
      <c r="E75" s="2716"/>
      <c r="F75" s="2716"/>
      <c r="G75" s="2716"/>
      <c r="H75" s="2716"/>
      <c r="I75" s="2716"/>
      <c r="J75" s="2716"/>
      <c r="K75" s="2716"/>
      <c r="L75" s="2716"/>
      <c r="M75" s="2716"/>
      <c r="N75" s="2716"/>
      <c r="O75" s="2716"/>
      <c r="P75" s="2716"/>
      <c r="Q75" s="2716"/>
      <c r="R75" s="2716"/>
      <c r="S75" s="2721"/>
      <c r="T75" s="2721"/>
      <c r="U75" s="2721"/>
      <c r="V75" s="2721"/>
      <c r="W75" s="2721"/>
      <c r="X75" s="2721"/>
      <c r="Y75" s="2721"/>
      <c r="Z75" s="2721"/>
      <c r="AA75" s="2721"/>
      <c r="AB75" s="2721"/>
      <c r="AC75" s="2721"/>
      <c r="AD75" s="2721"/>
      <c r="AE75" s="2721"/>
      <c r="AF75" s="2721"/>
      <c r="AG75" s="2721"/>
      <c r="AH75" s="2721"/>
      <c r="AI75" s="2722"/>
      <c r="AJ75" s="2722"/>
      <c r="AK75" s="2722"/>
      <c r="AL75" s="2721"/>
      <c r="AM75" s="2721"/>
      <c r="AN75" s="2721"/>
      <c r="AO75" s="2721"/>
      <c r="AP75" s="2721"/>
      <c r="AQ75" s="2721"/>
      <c r="AR75" s="2721"/>
      <c r="AS75" s="2721"/>
      <c r="AT75" s="2721"/>
      <c r="AU75" s="2721"/>
      <c r="AV75" s="2721"/>
      <c r="AW75" s="2721"/>
      <c r="AX75" s="2721"/>
      <c r="AY75" s="2721"/>
      <c r="AZ75" s="2721"/>
      <c r="BA75" s="2721"/>
      <c r="BB75" s="2721"/>
      <c r="BC75" s="2721"/>
      <c r="BD75" s="2722"/>
      <c r="BE75" s="2722"/>
      <c r="BF75" s="2722"/>
      <c r="BG75" s="2722"/>
      <c r="BH75" s="2722"/>
      <c r="BI75" s="2722"/>
      <c r="BJ75" s="2722"/>
      <c r="BK75" s="2722"/>
      <c r="BL75" s="2722"/>
      <c r="BM75" s="2722"/>
      <c r="BN75" s="2722"/>
      <c r="BO75" s="2722"/>
      <c r="BP75" s="2722"/>
      <c r="BQ75" s="2722"/>
      <c r="BR75" s="2722"/>
      <c r="BS75" s="2722"/>
      <c r="BT75" s="2722"/>
      <c r="BU75" s="2722"/>
      <c r="BV75" s="2722"/>
      <c r="BW75" s="2722"/>
      <c r="BX75" s="2722"/>
      <c r="BY75" s="2722"/>
      <c r="BZ75" s="2722"/>
      <c r="CA75" s="2722"/>
      <c r="CB75" s="2722"/>
      <c r="CC75" s="2722"/>
      <c r="CD75" s="2722"/>
      <c r="CE75" s="2722"/>
      <c r="CF75" s="2722"/>
      <c r="CG75" s="2722"/>
      <c r="CH75" s="2722"/>
      <c r="CI75" s="2722"/>
      <c r="CJ75" s="2722"/>
      <c r="CK75" s="2722"/>
      <c r="CL75" s="2722"/>
      <c r="CM75" s="2722"/>
      <c r="CN75" s="2722"/>
      <c r="CO75" s="2722"/>
      <c r="CP75" s="2722"/>
      <c r="CQ75" s="2722"/>
      <c r="CR75" s="2722"/>
      <c r="CS75" s="2722"/>
      <c r="CT75" s="2722"/>
      <c r="CU75" s="2722"/>
      <c r="CV75" s="2722"/>
      <c r="CW75" s="2722"/>
      <c r="CX75" s="2722"/>
      <c r="CY75" s="2722"/>
      <c r="CZ75" s="2722"/>
      <c r="DA75" s="2722"/>
      <c r="DB75" s="2722"/>
      <c r="DC75" s="2722"/>
      <c r="DD75" s="2722"/>
      <c r="DE75" s="2722"/>
      <c r="DF75" s="2722"/>
      <c r="DG75" s="2722"/>
      <c r="DH75" s="2722"/>
      <c r="DI75" s="2722"/>
      <c r="DJ75" s="2722"/>
      <c r="DK75" s="2722"/>
      <c r="DL75" s="2723"/>
      <c r="DR75" s="109"/>
    </row>
    <row r="76" spans="1:122" ht="9.75" customHeight="1">
      <c r="A76" s="44"/>
      <c r="B76" s="2509" t="s">
        <v>220</v>
      </c>
      <c r="C76" s="2374"/>
      <c r="D76" s="2374"/>
      <c r="E76" s="2374"/>
      <c r="F76" s="2374"/>
      <c r="G76" s="2375"/>
      <c r="H76" s="2561"/>
      <c r="I76" s="2750"/>
      <c r="J76" s="2374" t="s">
        <v>221</v>
      </c>
      <c r="K76" s="2374"/>
      <c r="L76" s="2374"/>
      <c r="M76" s="2375"/>
      <c r="N76" s="2734"/>
      <c r="O76" s="2734"/>
      <c r="P76" s="2734"/>
      <c r="Q76" s="2735"/>
      <c r="R76" s="2742" t="s">
        <v>222</v>
      </c>
      <c r="S76" s="2374"/>
      <c r="T76" s="2374"/>
      <c r="U76" s="2374"/>
      <c r="V76" s="2375"/>
      <c r="W76" s="2561"/>
      <c r="X76" s="2750"/>
      <c r="Y76" s="2686" t="s">
        <v>151</v>
      </c>
      <c r="Z76" s="2686"/>
      <c r="AA76" s="2687"/>
      <c r="AB76" s="2738"/>
      <c r="AC76" s="2738"/>
      <c r="AD76" s="2738"/>
      <c r="AE76" s="2738"/>
      <c r="AF76" s="2738"/>
      <c r="AG76" s="2738"/>
      <c r="AH76" s="2738"/>
      <c r="AI76" s="2739"/>
      <c r="AJ76" s="2684" t="s">
        <v>223</v>
      </c>
      <c r="AK76" s="2341"/>
      <c r="AL76" s="2341"/>
      <c r="AM76" s="2341"/>
      <c r="AN76" s="2341"/>
      <c r="AO76" s="2341"/>
      <c r="AP76" s="2641"/>
      <c r="AQ76" s="2562"/>
      <c r="AR76" s="2562"/>
      <c r="AS76" s="2562"/>
      <c r="AT76" s="2562"/>
      <c r="AU76" s="2718"/>
      <c r="AV76" s="2684" t="s">
        <v>224</v>
      </c>
      <c r="AW76" s="2341"/>
      <c r="AX76" s="2341"/>
      <c r="AY76" s="2341"/>
      <c r="AZ76" s="2341"/>
      <c r="BA76" s="2641"/>
      <c r="BB76" s="2562"/>
      <c r="BC76" s="2718"/>
      <c r="BD76" s="2693" t="s">
        <v>225</v>
      </c>
      <c r="BE76" s="2694"/>
      <c r="BF76" s="2694"/>
      <c r="BG76" s="2695"/>
      <c r="BH76" s="2559"/>
      <c r="BI76" s="2560"/>
      <c r="BJ76" s="2747" t="s">
        <v>800</v>
      </c>
      <c r="BK76" s="2747"/>
      <c r="BL76" s="2747"/>
      <c r="BM76" s="2747"/>
      <c r="BN76" s="2747"/>
      <c r="BO76" s="2747"/>
      <c r="BP76" s="2747"/>
      <c r="BQ76" s="2747"/>
      <c r="BR76" s="2690"/>
      <c r="BS76" s="2690"/>
      <c r="BT76" s="2747" t="s">
        <v>827</v>
      </c>
      <c r="BU76" s="2747"/>
      <c r="BV76" s="2747"/>
      <c r="BW76" s="2747"/>
      <c r="BX76" s="2747"/>
      <c r="BY76" s="2747"/>
      <c r="BZ76" s="2747"/>
      <c r="CA76" s="2747"/>
      <c r="CB76" s="2690"/>
      <c r="CC76" s="2690"/>
      <c r="CD76" s="2755"/>
      <c r="CE76" s="2756"/>
      <c r="CF76" s="2756"/>
      <c r="CG76" s="2756"/>
      <c r="CH76" s="2756"/>
      <c r="CI76" s="2756"/>
      <c r="CJ76" s="2756"/>
      <c r="CK76" s="2756"/>
      <c r="CL76" s="2756"/>
      <c r="CM76" s="2752"/>
      <c r="CN76" s="2856" t="s">
        <v>234</v>
      </c>
      <c r="CO76" s="2857"/>
      <c r="CP76" s="2857"/>
      <c r="CQ76" s="2857"/>
      <c r="CR76" s="2857"/>
      <c r="CS76" s="2857"/>
      <c r="CT76" s="2857"/>
      <c r="CU76" s="2833" t="s">
        <v>226</v>
      </c>
      <c r="CV76" s="2639"/>
      <c r="CW76" s="2639"/>
      <c r="CX76" s="2639"/>
      <c r="CY76" s="2640"/>
      <c r="CZ76" s="2690"/>
      <c r="DA76" s="2690"/>
      <c r="DB76" s="2870" t="s">
        <v>227</v>
      </c>
      <c r="DC76" s="2639"/>
      <c r="DD76" s="2639"/>
      <c r="DE76" s="2639"/>
      <c r="DF76" s="2640"/>
      <c r="DG76" s="2690"/>
      <c r="DH76" s="2690"/>
      <c r="DI76" s="2724"/>
      <c r="DJ76" s="2725"/>
      <c r="DK76" s="2725"/>
      <c r="DL76" s="2726"/>
    </row>
    <row r="77" spans="1:122" ht="7.5" customHeight="1">
      <c r="A77" s="44"/>
      <c r="B77" s="2509"/>
      <c r="C77" s="2374"/>
      <c r="D77" s="2374"/>
      <c r="E77" s="2374"/>
      <c r="F77" s="2374"/>
      <c r="G77" s="2375"/>
      <c r="H77" s="2561"/>
      <c r="I77" s="2750"/>
      <c r="J77" s="2374"/>
      <c r="K77" s="2374"/>
      <c r="L77" s="2374"/>
      <c r="M77" s="2375"/>
      <c r="N77" s="2734"/>
      <c r="O77" s="2734"/>
      <c r="P77" s="2734"/>
      <c r="Q77" s="2735"/>
      <c r="R77" s="2742"/>
      <c r="S77" s="2374"/>
      <c r="T77" s="2374"/>
      <c r="U77" s="2374"/>
      <c r="V77" s="2375"/>
      <c r="W77" s="2561"/>
      <c r="X77" s="2750"/>
      <c r="Y77" s="2686"/>
      <c r="Z77" s="2686"/>
      <c r="AA77" s="2687"/>
      <c r="AB77" s="2738"/>
      <c r="AC77" s="2738"/>
      <c r="AD77" s="2738"/>
      <c r="AE77" s="2738"/>
      <c r="AF77" s="2738"/>
      <c r="AG77" s="2738"/>
      <c r="AH77" s="2738"/>
      <c r="AI77" s="2739"/>
      <c r="AJ77" s="2684"/>
      <c r="AK77" s="2341"/>
      <c r="AL77" s="2341"/>
      <c r="AM77" s="2341"/>
      <c r="AN77" s="2341"/>
      <c r="AO77" s="2341"/>
      <c r="AP77" s="2641"/>
      <c r="AQ77" s="2562"/>
      <c r="AR77" s="2562"/>
      <c r="AS77" s="2562"/>
      <c r="AT77" s="2562"/>
      <c r="AU77" s="2718"/>
      <c r="AV77" s="2684"/>
      <c r="AW77" s="2341"/>
      <c r="AX77" s="2341"/>
      <c r="AY77" s="2341"/>
      <c r="AZ77" s="2341"/>
      <c r="BA77" s="2641"/>
      <c r="BB77" s="2562"/>
      <c r="BC77" s="2718"/>
      <c r="BD77" s="2693"/>
      <c r="BE77" s="2694"/>
      <c r="BF77" s="2694"/>
      <c r="BG77" s="2695"/>
      <c r="BH77" s="2561"/>
      <c r="BI77" s="2562"/>
      <c r="BJ77" s="2748"/>
      <c r="BK77" s="2748"/>
      <c r="BL77" s="2748"/>
      <c r="BM77" s="2748"/>
      <c r="BN77" s="2748"/>
      <c r="BO77" s="2748"/>
      <c r="BP77" s="2748"/>
      <c r="BQ77" s="2748"/>
      <c r="BR77" s="2691"/>
      <c r="BS77" s="2691"/>
      <c r="BT77" s="2748"/>
      <c r="BU77" s="2748"/>
      <c r="BV77" s="2748"/>
      <c r="BW77" s="2748"/>
      <c r="BX77" s="2748"/>
      <c r="BY77" s="2748"/>
      <c r="BZ77" s="2748"/>
      <c r="CA77" s="2748"/>
      <c r="CB77" s="2691"/>
      <c r="CC77" s="2691"/>
      <c r="CD77" s="2757"/>
      <c r="CE77" s="1446"/>
      <c r="CF77" s="1446"/>
      <c r="CG77" s="1446"/>
      <c r="CH77" s="1446"/>
      <c r="CI77" s="1446"/>
      <c r="CJ77" s="1446"/>
      <c r="CK77" s="1446"/>
      <c r="CL77" s="1446"/>
      <c r="CM77" s="2753"/>
      <c r="CN77" s="2858"/>
      <c r="CO77" s="2859"/>
      <c r="CP77" s="2859"/>
      <c r="CQ77" s="2859"/>
      <c r="CR77" s="2859"/>
      <c r="CS77" s="2859"/>
      <c r="CT77" s="2859"/>
      <c r="CU77" s="2340"/>
      <c r="CV77" s="2341"/>
      <c r="CW77" s="2341"/>
      <c r="CX77" s="2341"/>
      <c r="CY77" s="2641"/>
      <c r="CZ77" s="2691"/>
      <c r="DA77" s="2691"/>
      <c r="DB77" s="2684"/>
      <c r="DC77" s="2341"/>
      <c r="DD77" s="2341"/>
      <c r="DE77" s="2341"/>
      <c r="DF77" s="2641"/>
      <c r="DG77" s="2691"/>
      <c r="DH77" s="2691"/>
      <c r="DI77" s="2727"/>
      <c r="DJ77" s="2728"/>
      <c r="DK77" s="2728"/>
      <c r="DL77" s="2729"/>
    </row>
    <row r="78" spans="1:122" ht="7.5" customHeight="1" thickBot="1">
      <c r="A78" s="44"/>
      <c r="B78" s="2717"/>
      <c r="C78" s="2447"/>
      <c r="D78" s="2447"/>
      <c r="E78" s="2447"/>
      <c r="F78" s="2447"/>
      <c r="G78" s="2448"/>
      <c r="H78" s="2733"/>
      <c r="I78" s="2751"/>
      <c r="J78" s="2447"/>
      <c r="K78" s="2447"/>
      <c r="L78" s="2447"/>
      <c r="M78" s="2448"/>
      <c r="N78" s="2736"/>
      <c r="O78" s="2736"/>
      <c r="P78" s="2736"/>
      <c r="Q78" s="2737"/>
      <c r="R78" s="2743"/>
      <c r="S78" s="2447"/>
      <c r="T78" s="2447"/>
      <c r="U78" s="2447"/>
      <c r="V78" s="2448"/>
      <c r="W78" s="2733"/>
      <c r="X78" s="2751"/>
      <c r="Y78" s="2688"/>
      <c r="Z78" s="2688"/>
      <c r="AA78" s="2689"/>
      <c r="AB78" s="2740"/>
      <c r="AC78" s="2740"/>
      <c r="AD78" s="2740"/>
      <c r="AE78" s="2740"/>
      <c r="AF78" s="2740"/>
      <c r="AG78" s="2740"/>
      <c r="AH78" s="2740"/>
      <c r="AI78" s="2741"/>
      <c r="AJ78" s="2685"/>
      <c r="AK78" s="2642"/>
      <c r="AL78" s="2642"/>
      <c r="AM78" s="2642"/>
      <c r="AN78" s="2642"/>
      <c r="AO78" s="2642"/>
      <c r="AP78" s="2643"/>
      <c r="AQ78" s="2719"/>
      <c r="AR78" s="2719"/>
      <c r="AS78" s="2719"/>
      <c r="AT78" s="2719"/>
      <c r="AU78" s="2720"/>
      <c r="AV78" s="2685"/>
      <c r="AW78" s="2642"/>
      <c r="AX78" s="2642"/>
      <c r="AY78" s="2642"/>
      <c r="AZ78" s="2642"/>
      <c r="BA78" s="2643"/>
      <c r="BB78" s="2719"/>
      <c r="BC78" s="2720"/>
      <c r="BD78" s="2696"/>
      <c r="BE78" s="2697"/>
      <c r="BF78" s="2697"/>
      <c r="BG78" s="2698"/>
      <c r="BH78" s="2733"/>
      <c r="BI78" s="2719"/>
      <c r="BJ78" s="2749"/>
      <c r="BK78" s="2749"/>
      <c r="BL78" s="2749"/>
      <c r="BM78" s="2749"/>
      <c r="BN78" s="2749"/>
      <c r="BO78" s="2749"/>
      <c r="BP78" s="2749"/>
      <c r="BQ78" s="2749"/>
      <c r="BR78" s="2692"/>
      <c r="BS78" s="2692"/>
      <c r="BT78" s="2749"/>
      <c r="BU78" s="2749"/>
      <c r="BV78" s="2749"/>
      <c r="BW78" s="2749"/>
      <c r="BX78" s="2749"/>
      <c r="BY78" s="2749"/>
      <c r="BZ78" s="2749"/>
      <c r="CA78" s="2749"/>
      <c r="CB78" s="2692"/>
      <c r="CC78" s="2692"/>
      <c r="CD78" s="2758"/>
      <c r="CE78" s="2759"/>
      <c r="CF78" s="2759"/>
      <c r="CG78" s="2759"/>
      <c r="CH78" s="2759"/>
      <c r="CI78" s="2759"/>
      <c r="CJ78" s="2759"/>
      <c r="CK78" s="2759"/>
      <c r="CL78" s="2759"/>
      <c r="CM78" s="2754"/>
      <c r="CN78" s="2860"/>
      <c r="CO78" s="2861"/>
      <c r="CP78" s="2861"/>
      <c r="CQ78" s="2861"/>
      <c r="CR78" s="2861"/>
      <c r="CS78" s="2861"/>
      <c r="CT78" s="2861"/>
      <c r="CU78" s="2869"/>
      <c r="CV78" s="2642"/>
      <c r="CW78" s="2642"/>
      <c r="CX78" s="2642"/>
      <c r="CY78" s="2643"/>
      <c r="CZ78" s="2692"/>
      <c r="DA78" s="2692"/>
      <c r="DB78" s="2685"/>
      <c r="DC78" s="2642"/>
      <c r="DD78" s="2642"/>
      <c r="DE78" s="2642"/>
      <c r="DF78" s="2643"/>
      <c r="DG78" s="2692"/>
      <c r="DH78" s="2692"/>
      <c r="DI78" s="2730"/>
      <c r="DJ78" s="2731"/>
      <c r="DK78" s="2731"/>
      <c r="DL78" s="2732"/>
    </row>
    <row r="79" spans="1:122" ht="7.5" customHeight="1">
      <c r="A79" s="44"/>
      <c r="B79" s="2476" t="s">
        <v>1220</v>
      </c>
      <c r="C79" s="2457"/>
      <c r="D79" s="2457"/>
      <c r="E79" s="2457"/>
      <c r="F79" s="2457"/>
      <c r="G79" s="2457"/>
      <c r="H79" s="2457"/>
      <c r="I79" s="2457"/>
      <c r="J79" s="2479"/>
      <c r="K79" s="2479"/>
      <c r="L79" s="2457" t="s">
        <v>1397</v>
      </c>
      <c r="M79" s="2457"/>
      <c r="N79" s="2457"/>
      <c r="O79" s="2457"/>
      <c r="P79" s="2457"/>
      <c r="Q79" s="2457"/>
      <c r="R79" s="2457"/>
      <c r="S79" s="2457"/>
      <c r="T79" s="2457"/>
      <c r="U79" s="2457"/>
      <c r="V79" s="2457"/>
      <c r="W79" s="2459"/>
      <c r="X79" s="2459"/>
      <c r="Y79" s="2459"/>
      <c r="Z79" s="2459"/>
      <c r="AA79" s="2459"/>
      <c r="AB79" s="2459"/>
      <c r="AC79" s="2459"/>
      <c r="AD79" s="2459"/>
      <c r="AE79" s="2459"/>
      <c r="AF79" s="2459"/>
      <c r="AG79" s="2459"/>
      <c r="AH79" s="2459"/>
      <c r="AI79" s="2459"/>
      <c r="AJ79" s="2457" t="s">
        <v>1398</v>
      </c>
      <c r="AK79" s="2457"/>
      <c r="AL79" s="2457"/>
      <c r="AM79" s="2457"/>
      <c r="AN79" s="2457"/>
      <c r="AO79" s="2457"/>
      <c r="AP79" s="2457"/>
      <c r="AQ79" s="2457"/>
      <c r="AR79" s="2457"/>
      <c r="AS79" s="2457"/>
      <c r="AT79" s="2457"/>
      <c r="AU79" s="2457"/>
      <c r="AV79" s="2462"/>
      <c r="AW79" s="2462"/>
      <c r="AX79" s="2462"/>
      <c r="AY79" s="2462"/>
      <c r="AZ79" s="2462"/>
      <c r="BA79" s="2462"/>
      <c r="BB79" s="2462"/>
      <c r="BC79" s="2462"/>
      <c r="BD79" s="2462"/>
      <c r="BE79" s="2462"/>
      <c r="BF79" s="2462"/>
      <c r="BG79" s="2462"/>
      <c r="BH79" s="2462"/>
      <c r="BI79" s="2462"/>
      <c r="BJ79" s="2462"/>
      <c r="BK79" s="2462"/>
      <c r="BL79" s="2462"/>
      <c r="BM79" s="2462"/>
      <c r="BN79" s="2462"/>
      <c r="BO79" s="2462"/>
      <c r="BP79" s="2462"/>
      <c r="BQ79" s="2462"/>
      <c r="BR79" s="2462"/>
      <c r="BS79" s="2462"/>
      <c r="BT79" s="2457" t="s">
        <v>1399</v>
      </c>
      <c r="BU79" s="2457"/>
      <c r="BV79" s="2457"/>
      <c r="BW79" s="2457"/>
      <c r="BX79" s="2457"/>
      <c r="BY79" s="2457"/>
      <c r="BZ79" s="2457"/>
      <c r="CA79" s="2457"/>
      <c r="CB79" s="2457"/>
      <c r="CC79" s="2457"/>
      <c r="CD79" s="2465"/>
      <c r="CE79" s="2466"/>
      <c r="CF79" s="2466"/>
      <c r="CG79" s="2466"/>
      <c r="CH79" s="2466"/>
      <c r="CI79" s="2466"/>
      <c r="CJ79" s="2466"/>
      <c r="CK79" s="2466"/>
      <c r="CL79" s="2466"/>
      <c r="CM79" s="2466"/>
      <c r="CN79" s="2466"/>
      <c r="CO79" s="2466"/>
      <c r="CP79" s="2466"/>
      <c r="CQ79" s="2466"/>
      <c r="CR79" s="2466"/>
      <c r="CS79" s="2466"/>
      <c r="CT79" s="2466"/>
      <c r="CU79" s="2466"/>
      <c r="CV79" s="2466"/>
      <c r="CW79" s="2466"/>
      <c r="CX79" s="2466"/>
      <c r="CY79" s="2466"/>
      <c r="CZ79" s="2466"/>
      <c r="DA79" s="2466"/>
      <c r="DB79" s="626"/>
      <c r="DC79" s="626"/>
      <c r="DD79" s="626"/>
      <c r="DE79" s="626"/>
      <c r="DF79" s="626"/>
      <c r="DG79" s="626"/>
      <c r="DH79" s="626"/>
      <c r="DI79" s="626"/>
      <c r="DJ79" s="626"/>
      <c r="DK79" s="626"/>
      <c r="DL79" s="626"/>
    </row>
    <row r="80" spans="1:122" ht="7.5" customHeight="1">
      <c r="A80" s="44"/>
      <c r="B80" s="2477"/>
      <c r="C80" s="2374"/>
      <c r="D80" s="2374"/>
      <c r="E80" s="2374"/>
      <c r="F80" s="2374"/>
      <c r="G80" s="2374"/>
      <c r="H80" s="2374"/>
      <c r="I80" s="2374"/>
      <c r="J80" s="2480"/>
      <c r="K80" s="2480"/>
      <c r="L80" s="2374"/>
      <c r="M80" s="2374"/>
      <c r="N80" s="2374"/>
      <c r="O80" s="2374"/>
      <c r="P80" s="2374"/>
      <c r="Q80" s="2374"/>
      <c r="R80" s="2374"/>
      <c r="S80" s="2374"/>
      <c r="T80" s="2374"/>
      <c r="U80" s="2374"/>
      <c r="V80" s="2374"/>
      <c r="W80" s="2460"/>
      <c r="X80" s="2460"/>
      <c r="Y80" s="2460"/>
      <c r="Z80" s="2460"/>
      <c r="AA80" s="2460"/>
      <c r="AB80" s="2460"/>
      <c r="AC80" s="2460"/>
      <c r="AD80" s="2460"/>
      <c r="AE80" s="2460"/>
      <c r="AF80" s="2460"/>
      <c r="AG80" s="2460"/>
      <c r="AH80" s="2460"/>
      <c r="AI80" s="2460"/>
      <c r="AJ80" s="2374"/>
      <c r="AK80" s="2374"/>
      <c r="AL80" s="2374"/>
      <c r="AM80" s="2374"/>
      <c r="AN80" s="2374"/>
      <c r="AO80" s="2374"/>
      <c r="AP80" s="2374"/>
      <c r="AQ80" s="2374"/>
      <c r="AR80" s="2374"/>
      <c r="AS80" s="2374"/>
      <c r="AT80" s="2374"/>
      <c r="AU80" s="2374"/>
      <c r="AV80" s="2463"/>
      <c r="AW80" s="2463"/>
      <c r="AX80" s="2463"/>
      <c r="AY80" s="2463"/>
      <c r="AZ80" s="2463"/>
      <c r="BA80" s="2463"/>
      <c r="BB80" s="2463"/>
      <c r="BC80" s="2463"/>
      <c r="BD80" s="2463"/>
      <c r="BE80" s="2463"/>
      <c r="BF80" s="2463"/>
      <c r="BG80" s="2463"/>
      <c r="BH80" s="2463"/>
      <c r="BI80" s="2463"/>
      <c r="BJ80" s="2463"/>
      <c r="BK80" s="2463"/>
      <c r="BL80" s="2463"/>
      <c r="BM80" s="2463"/>
      <c r="BN80" s="2463"/>
      <c r="BO80" s="2463"/>
      <c r="BP80" s="2463"/>
      <c r="BQ80" s="2463"/>
      <c r="BR80" s="2463"/>
      <c r="BS80" s="2463"/>
      <c r="BT80" s="2374"/>
      <c r="BU80" s="2374"/>
      <c r="BV80" s="2374"/>
      <c r="BW80" s="2374"/>
      <c r="BX80" s="2374"/>
      <c r="BY80" s="2374"/>
      <c r="BZ80" s="2374"/>
      <c r="CA80" s="2374"/>
      <c r="CB80" s="2374"/>
      <c r="CC80" s="2374"/>
      <c r="CD80" s="2467"/>
      <c r="CE80" s="2467"/>
      <c r="CF80" s="2467"/>
      <c r="CG80" s="2467"/>
      <c r="CH80" s="2467"/>
      <c r="CI80" s="2467"/>
      <c r="CJ80" s="2467"/>
      <c r="CK80" s="2467"/>
      <c r="CL80" s="2467"/>
      <c r="CM80" s="2467"/>
      <c r="CN80" s="2467"/>
      <c r="CO80" s="2467"/>
      <c r="CP80" s="2467"/>
      <c r="CQ80" s="2467"/>
      <c r="CR80" s="2467"/>
      <c r="CS80" s="2467"/>
      <c r="CT80" s="2467"/>
      <c r="CU80" s="2467"/>
      <c r="CV80" s="2467"/>
      <c r="CW80" s="2467"/>
      <c r="CX80" s="2467"/>
      <c r="CY80" s="2467"/>
      <c r="CZ80" s="2467"/>
      <c r="DA80" s="2467"/>
      <c r="DB80" s="627"/>
      <c r="DC80" s="627"/>
      <c r="DD80" s="627"/>
      <c r="DE80" s="627"/>
      <c r="DF80" s="627"/>
      <c r="DG80" s="627"/>
      <c r="DH80" s="627"/>
      <c r="DI80" s="627"/>
      <c r="DJ80" s="627"/>
      <c r="DK80" s="627"/>
      <c r="DL80" s="627"/>
    </row>
    <row r="81" spans="1:123" ht="7.5" customHeight="1" thickBot="1">
      <c r="A81" s="44"/>
      <c r="B81" s="2478"/>
      <c r="C81" s="2458"/>
      <c r="D81" s="2458"/>
      <c r="E81" s="2458"/>
      <c r="F81" s="2458"/>
      <c r="G81" s="2458"/>
      <c r="H81" s="2458"/>
      <c r="I81" s="2458"/>
      <c r="J81" s="2481"/>
      <c r="K81" s="2481"/>
      <c r="L81" s="2458"/>
      <c r="M81" s="2458"/>
      <c r="N81" s="2458"/>
      <c r="O81" s="2458"/>
      <c r="P81" s="2458"/>
      <c r="Q81" s="2458"/>
      <c r="R81" s="2458"/>
      <c r="S81" s="2458"/>
      <c r="T81" s="2458"/>
      <c r="U81" s="2458"/>
      <c r="V81" s="2458"/>
      <c r="W81" s="2461"/>
      <c r="X81" s="2461"/>
      <c r="Y81" s="2461"/>
      <c r="Z81" s="2461"/>
      <c r="AA81" s="2461"/>
      <c r="AB81" s="2461"/>
      <c r="AC81" s="2461"/>
      <c r="AD81" s="2461"/>
      <c r="AE81" s="2461"/>
      <c r="AF81" s="2461"/>
      <c r="AG81" s="2461"/>
      <c r="AH81" s="2461"/>
      <c r="AI81" s="2461"/>
      <c r="AJ81" s="2458"/>
      <c r="AK81" s="2458"/>
      <c r="AL81" s="2458"/>
      <c r="AM81" s="2458"/>
      <c r="AN81" s="2458"/>
      <c r="AO81" s="2458"/>
      <c r="AP81" s="2458"/>
      <c r="AQ81" s="2458"/>
      <c r="AR81" s="2458"/>
      <c r="AS81" s="2458"/>
      <c r="AT81" s="2458"/>
      <c r="AU81" s="2458"/>
      <c r="AV81" s="2464"/>
      <c r="AW81" s="2464"/>
      <c r="AX81" s="2464"/>
      <c r="AY81" s="2464"/>
      <c r="AZ81" s="2464"/>
      <c r="BA81" s="2464"/>
      <c r="BB81" s="2464"/>
      <c r="BC81" s="2464"/>
      <c r="BD81" s="2464"/>
      <c r="BE81" s="2464"/>
      <c r="BF81" s="2464"/>
      <c r="BG81" s="2464"/>
      <c r="BH81" s="2464"/>
      <c r="BI81" s="2464"/>
      <c r="BJ81" s="2464"/>
      <c r="BK81" s="2464"/>
      <c r="BL81" s="2464"/>
      <c r="BM81" s="2464"/>
      <c r="BN81" s="2464"/>
      <c r="BO81" s="2464"/>
      <c r="BP81" s="2464"/>
      <c r="BQ81" s="2464"/>
      <c r="BR81" s="2464"/>
      <c r="BS81" s="2464"/>
      <c r="BT81" s="2458"/>
      <c r="BU81" s="2458"/>
      <c r="BV81" s="2458"/>
      <c r="BW81" s="2458"/>
      <c r="BX81" s="2458"/>
      <c r="BY81" s="2458"/>
      <c r="BZ81" s="2458"/>
      <c r="CA81" s="2458"/>
      <c r="CB81" s="2458"/>
      <c r="CC81" s="2458"/>
      <c r="CD81" s="2468"/>
      <c r="CE81" s="2468"/>
      <c r="CF81" s="2468"/>
      <c r="CG81" s="2468"/>
      <c r="CH81" s="2468"/>
      <c r="CI81" s="2468"/>
      <c r="CJ81" s="2468"/>
      <c r="CK81" s="2468"/>
      <c r="CL81" s="2468"/>
      <c r="CM81" s="2468"/>
      <c r="CN81" s="2468"/>
      <c r="CO81" s="2468"/>
      <c r="CP81" s="2468"/>
      <c r="CQ81" s="2468"/>
      <c r="CR81" s="2468"/>
      <c r="CS81" s="2468"/>
      <c r="CT81" s="2468"/>
      <c r="CU81" s="2468"/>
      <c r="CV81" s="2468"/>
      <c r="CW81" s="2468"/>
      <c r="CX81" s="2468"/>
      <c r="CY81" s="2468"/>
      <c r="CZ81" s="2468"/>
      <c r="DA81" s="2468"/>
      <c r="DB81" s="628"/>
      <c r="DC81" s="628"/>
      <c r="DD81" s="628"/>
      <c r="DE81" s="628"/>
      <c r="DF81" s="628"/>
      <c r="DG81" s="628"/>
      <c r="DH81" s="628"/>
      <c r="DI81" s="628"/>
      <c r="DJ81" s="628"/>
      <c r="DK81" s="628"/>
      <c r="DL81" s="628"/>
    </row>
    <row r="82" spans="1:123" ht="6" customHeight="1" thickBot="1">
      <c r="A82" s="48"/>
      <c r="B82" s="54"/>
      <c r="C82" s="54"/>
      <c r="D82" s="54"/>
      <c r="E82" s="54"/>
      <c r="F82" s="54"/>
      <c r="G82" s="55"/>
      <c r="H82" s="55"/>
      <c r="I82" s="55"/>
      <c r="J82" s="103"/>
      <c r="K82" s="103"/>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4"/>
      <c r="DK82" s="44"/>
      <c r="DL82" s="44"/>
      <c r="DR82" s="109"/>
    </row>
    <row r="83" spans="1:123" ht="16" customHeight="1" thickTop="1">
      <c r="A83" s="48"/>
      <c r="B83" s="2999" t="s">
        <v>196</v>
      </c>
      <c r="C83" s="3000"/>
      <c r="D83" s="3000"/>
      <c r="E83" s="3000"/>
      <c r="F83" s="3000"/>
      <c r="G83" s="3000"/>
      <c r="H83" s="3000"/>
      <c r="I83" s="3000"/>
      <c r="J83" s="3000"/>
      <c r="K83" s="3000"/>
      <c r="L83" s="3000"/>
      <c r="M83" s="3000"/>
      <c r="N83" s="3000"/>
      <c r="O83" s="3000"/>
      <c r="P83" s="3000"/>
      <c r="Q83" s="3000"/>
      <c r="R83" s="3000"/>
      <c r="S83" s="3000"/>
      <c r="T83" s="3000"/>
      <c r="U83" s="3000"/>
      <c r="V83" s="3000"/>
      <c r="W83" s="3000"/>
      <c r="X83" s="3001"/>
      <c r="Y83" s="2990" t="s">
        <v>1431</v>
      </c>
      <c r="Z83" s="2990"/>
      <c r="AA83" s="2990"/>
      <c r="AB83" s="2990"/>
      <c r="AC83" s="2990"/>
      <c r="AD83" s="2990"/>
      <c r="AE83" s="2990"/>
      <c r="AF83" s="2990"/>
      <c r="AG83" s="2990"/>
      <c r="AH83" s="2990"/>
      <c r="AI83" s="2990"/>
      <c r="AJ83" s="2990"/>
      <c r="AK83" s="2990"/>
      <c r="AL83" s="2990"/>
      <c r="AM83" s="2990"/>
      <c r="AN83" s="2990"/>
      <c r="AO83" s="2990"/>
      <c r="AP83" s="2990"/>
      <c r="AQ83" s="2990"/>
      <c r="AR83" s="2990"/>
      <c r="AS83" s="2990"/>
      <c r="AT83" s="2990"/>
      <c r="AU83" s="2990"/>
      <c r="AV83" s="2990"/>
      <c r="AW83" s="2990"/>
      <c r="AX83" s="3012"/>
      <c r="AY83" s="3013"/>
      <c r="AZ83" s="3013"/>
      <c r="BA83" s="3013"/>
      <c r="BB83" s="3013"/>
      <c r="BC83" s="3013"/>
      <c r="BD83" s="3013"/>
      <c r="BE83" s="3013"/>
      <c r="BF83" s="3013"/>
      <c r="BG83" s="3013"/>
      <c r="BH83" s="3013"/>
      <c r="BI83" s="3013"/>
      <c r="BJ83" s="3013"/>
      <c r="BK83" s="3013"/>
      <c r="BL83" s="3014"/>
      <c r="BM83" s="3018" t="s">
        <v>1347</v>
      </c>
      <c r="BN83" s="3019"/>
      <c r="BO83" s="3019"/>
      <c r="BP83" s="3020"/>
      <c r="BQ83" s="3024"/>
      <c r="BR83" s="3025"/>
      <c r="BS83" s="3025"/>
      <c r="BT83" s="3025"/>
      <c r="BU83" s="3025"/>
      <c r="BV83" s="3025"/>
      <c r="BW83" s="3025"/>
      <c r="BX83" s="3025"/>
      <c r="BY83" s="3025"/>
      <c r="BZ83" s="3025"/>
      <c r="CA83" s="3025"/>
      <c r="CB83" s="3025"/>
      <c r="CC83" s="3025"/>
      <c r="CD83" s="3025"/>
      <c r="CE83" s="3025"/>
      <c r="CF83" s="3025"/>
      <c r="CG83" s="3025"/>
      <c r="CH83" s="3025"/>
      <c r="CI83" s="3025"/>
      <c r="CJ83" s="3025"/>
      <c r="CK83" s="3025"/>
      <c r="CL83" s="3025"/>
      <c r="CM83" s="3025"/>
      <c r="CN83" s="3025"/>
      <c r="CO83" s="3026"/>
      <c r="CP83" s="2930" t="s">
        <v>641</v>
      </c>
      <c r="CQ83" s="2931"/>
      <c r="CR83" s="2931"/>
      <c r="CS83" s="2931"/>
      <c r="CT83" s="2931"/>
      <c r="CU83" s="2931"/>
      <c r="CV83" s="2931"/>
      <c r="CW83" s="2931"/>
      <c r="CX83" s="2931"/>
      <c r="CY83" s="2931"/>
      <c r="CZ83" s="2931"/>
      <c r="DA83" s="2931"/>
      <c r="DB83" s="2931"/>
      <c r="DC83" s="2931"/>
      <c r="DD83" s="2931"/>
      <c r="DE83" s="2931"/>
      <c r="DF83" s="2931"/>
      <c r="DG83" s="2931"/>
      <c r="DH83" s="2931"/>
      <c r="DI83" s="2931"/>
      <c r="DJ83" s="2931"/>
      <c r="DK83" s="2931"/>
      <c r="DL83" s="2932"/>
      <c r="DS83" s="109"/>
    </row>
    <row r="84" spans="1:123" ht="16" customHeight="1">
      <c r="A84" s="48"/>
      <c r="B84" s="3002"/>
      <c r="C84" s="3003"/>
      <c r="D84" s="3003"/>
      <c r="E84" s="3003"/>
      <c r="F84" s="3003"/>
      <c r="G84" s="3003"/>
      <c r="H84" s="3003"/>
      <c r="I84" s="3003"/>
      <c r="J84" s="3003"/>
      <c r="K84" s="3003"/>
      <c r="L84" s="3003"/>
      <c r="M84" s="3003"/>
      <c r="N84" s="3003"/>
      <c r="O84" s="3003"/>
      <c r="P84" s="3003"/>
      <c r="Q84" s="3003"/>
      <c r="R84" s="3003"/>
      <c r="S84" s="3003"/>
      <c r="T84" s="3003"/>
      <c r="U84" s="3003"/>
      <c r="V84" s="3003"/>
      <c r="W84" s="3003"/>
      <c r="X84" s="3004"/>
      <c r="Y84" s="2991"/>
      <c r="Z84" s="2991"/>
      <c r="AA84" s="2991"/>
      <c r="AB84" s="2991"/>
      <c r="AC84" s="2991"/>
      <c r="AD84" s="2991"/>
      <c r="AE84" s="2991"/>
      <c r="AF84" s="2991"/>
      <c r="AG84" s="2991"/>
      <c r="AH84" s="2991"/>
      <c r="AI84" s="2991"/>
      <c r="AJ84" s="2991"/>
      <c r="AK84" s="2991"/>
      <c r="AL84" s="2991"/>
      <c r="AM84" s="2991"/>
      <c r="AN84" s="2991"/>
      <c r="AO84" s="2991"/>
      <c r="AP84" s="2991"/>
      <c r="AQ84" s="2991"/>
      <c r="AR84" s="2991"/>
      <c r="AS84" s="2991"/>
      <c r="AT84" s="2991"/>
      <c r="AU84" s="2991"/>
      <c r="AV84" s="2991"/>
      <c r="AW84" s="2991"/>
      <c r="AX84" s="3015"/>
      <c r="AY84" s="3016"/>
      <c r="AZ84" s="3016"/>
      <c r="BA84" s="3016"/>
      <c r="BB84" s="3016"/>
      <c r="BC84" s="3016"/>
      <c r="BD84" s="3016"/>
      <c r="BE84" s="3016"/>
      <c r="BF84" s="3016"/>
      <c r="BG84" s="3016"/>
      <c r="BH84" s="3016"/>
      <c r="BI84" s="3016"/>
      <c r="BJ84" s="3016"/>
      <c r="BK84" s="3016"/>
      <c r="BL84" s="3017"/>
      <c r="BM84" s="3021"/>
      <c r="BN84" s="3022"/>
      <c r="BO84" s="3022"/>
      <c r="BP84" s="3023"/>
      <c r="BQ84" s="3027"/>
      <c r="BR84" s="3028"/>
      <c r="BS84" s="3028"/>
      <c r="BT84" s="3028"/>
      <c r="BU84" s="3028"/>
      <c r="BV84" s="3028"/>
      <c r="BW84" s="3028"/>
      <c r="BX84" s="3028"/>
      <c r="BY84" s="3028"/>
      <c r="BZ84" s="3028"/>
      <c r="CA84" s="3028"/>
      <c r="CB84" s="3028"/>
      <c r="CC84" s="3028"/>
      <c r="CD84" s="3028"/>
      <c r="CE84" s="3028"/>
      <c r="CF84" s="3028"/>
      <c r="CG84" s="3028"/>
      <c r="CH84" s="3028"/>
      <c r="CI84" s="3028"/>
      <c r="CJ84" s="3028"/>
      <c r="CK84" s="3028"/>
      <c r="CL84" s="3028"/>
      <c r="CM84" s="3028"/>
      <c r="CN84" s="3028"/>
      <c r="CO84" s="3029"/>
      <c r="CP84" s="2933"/>
      <c r="CQ84" s="2291"/>
      <c r="CR84" s="2291"/>
      <c r="CS84" s="2291"/>
      <c r="CT84" s="2291"/>
      <c r="CU84" s="2291"/>
      <c r="CV84" s="2291"/>
      <c r="CW84" s="2291"/>
      <c r="CX84" s="2291"/>
      <c r="CY84" s="2291"/>
      <c r="CZ84" s="2291"/>
      <c r="DA84" s="2291"/>
      <c r="DB84" s="2291"/>
      <c r="DC84" s="2291"/>
      <c r="DD84" s="2291"/>
      <c r="DE84" s="2291"/>
      <c r="DF84" s="2291"/>
      <c r="DG84" s="2291"/>
      <c r="DH84" s="2291"/>
      <c r="DI84" s="2291"/>
      <c r="DJ84" s="2291"/>
      <c r="DK84" s="2291"/>
      <c r="DL84" s="2292"/>
      <c r="DS84" s="109"/>
    </row>
    <row r="85" spans="1:123" ht="16" customHeight="1">
      <c r="A85" s="572"/>
      <c r="B85" s="2962" t="s">
        <v>1249</v>
      </c>
      <c r="C85" s="2963"/>
      <c r="D85" s="2963"/>
      <c r="E85" s="2963"/>
      <c r="F85" s="2963"/>
      <c r="G85" s="2963"/>
      <c r="H85" s="2963"/>
      <c r="I85" s="2963"/>
      <c r="J85" s="2966" t="s">
        <v>577</v>
      </c>
      <c r="K85" s="2967"/>
      <c r="L85" s="2967"/>
      <c r="M85" s="2967"/>
      <c r="N85" s="2967"/>
      <c r="O85" s="2967"/>
      <c r="P85" s="2967"/>
      <c r="Q85" s="2967"/>
      <c r="R85" s="2967"/>
      <c r="S85" s="2967"/>
      <c r="T85" s="2967"/>
      <c r="U85" s="2967"/>
      <c r="V85" s="2967"/>
      <c r="W85" s="2967"/>
      <c r="X85" s="2967"/>
      <c r="Y85" s="2991"/>
      <c r="Z85" s="2991"/>
      <c r="AA85" s="2991"/>
      <c r="AB85" s="2991"/>
      <c r="AC85" s="2991"/>
      <c r="AD85" s="2991"/>
      <c r="AE85" s="2991"/>
      <c r="AF85" s="2991"/>
      <c r="AG85" s="2991"/>
      <c r="AH85" s="2991"/>
      <c r="AI85" s="2991"/>
      <c r="AJ85" s="2991"/>
      <c r="AK85" s="2991"/>
      <c r="AL85" s="2991"/>
      <c r="AM85" s="2991"/>
      <c r="AN85" s="2991"/>
      <c r="AO85" s="2991"/>
      <c r="AP85" s="2991"/>
      <c r="AQ85" s="2991"/>
      <c r="AR85" s="2991"/>
      <c r="AS85" s="2991"/>
      <c r="AT85" s="2991"/>
      <c r="AU85" s="2991"/>
      <c r="AV85" s="2991"/>
      <c r="AW85" s="2991"/>
      <c r="AX85" s="2950"/>
      <c r="AY85" s="2951"/>
      <c r="AZ85" s="2951"/>
      <c r="BA85" s="2951"/>
      <c r="BB85" s="2951"/>
      <c r="BC85" s="2951"/>
      <c r="BD85" s="2951"/>
      <c r="BE85" s="2951"/>
      <c r="BF85" s="2951"/>
      <c r="BG85" s="2951"/>
      <c r="BH85" s="2951"/>
      <c r="BI85" s="2951"/>
      <c r="BJ85" s="2951"/>
      <c r="BK85" s="2951"/>
      <c r="BL85" s="2952"/>
      <c r="BM85" s="2993" t="s">
        <v>1347</v>
      </c>
      <c r="BN85" s="2994"/>
      <c r="BO85" s="2994"/>
      <c r="BP85" s="2995"/>
      <c r="BQ85" s="3030"/>
      <c r="BR85" s="3031"/>
      <c r="BS85" s="3031"/>
      <c r="BT85" s="3031"/>
      <c r="BU85" s="3031"/>
      <c r="BV85" s="3031"/>
      <c r="BW85" s="3031"/>
      <c r="BX85" s="3031"/>
      <c r="BY85" s="3031"/>
      <c r="BZ85" s="3031"/>
      <c r="CA85" s="3031"/>
      <c r="CB85" s="3031"/>
      <c r="CC85" s="3031"/>
      <c r="CD85" s="3031"/>
      <c r="CE85" s="3031"/>
      <c r="CF85" s="3031"/>
      <c r="CG85" s="3031"/>
      <c r="CH85" s="3031"/>
      <c r="CI85" s="3031"/>
      <c r="CJ85" s="3031"/>
      <c r="CK85" s="3031"/>
      <c r="CL85" s="3031"/>
      <c r="CM85" s="3031"/>
      <c r="CN85" s="3031"/>
      <c r="CO85" s="3032"/>
      <c r="CP85" s="2229" t="s">
        <v>1250</v>
      </c>
      <c r="CQ85" s="2230"/>
      <c r="CR85" s="2230"/>
      <c r="CS85" s="2230"/>
      <c r="CT85" s="2230"/>
      <c r="CU85" s="2230"/>
      <c r="CV85" s="2230"/>
      <c r="CW85" s="2230"/>
      <c r="CX85" s="2230"/>
      <c r="CY85" s="2230"/>
      <c r="CZ85" s="2230"/>
      <c r="DA85" s="2230"/>
      <c r="DB85" s="2230"/>
      <c r="DC85" s="2230"/>
      <c r="DD85" s="2230"/>
      <c r="DE85" s="2230"/>
      <c r="DF85" s="2230"/>
      <c r="DG85" s="2230"/>
      <c r="DH85" s="2230"/>
      <c r="DI85" s="2230"/>
      <c r="DJ85" s="2230"/>
      <c r="DK85" s="2230"/>
      <c r="DL85" s="2231"/>
      <c r="DS85" s="109"/>
    </row>
    <row r="86" spans="1:123" ht="16" customHeight="1" thickBot="1">
      <c r="A86" s="572"/>
      <c r="B86" s="2964"/>
      <c r="C86" s="2965"/>
      <c r="D86" s="2965"/>
      <c r="E86" s="2965"/>
      <c r="F86" s="2965"/>
      <c r="G86" s="2965"/>
      <c r="H86" s="2965"/>
      <c r="I86" s="2965"/>
      <c r="J86" s="2967"/>
      <c r="K86" s="2967"/>
      <c r="L86" s="2967"/>
      <c r="M86" s="2967"/>
      <c r="N86" s="2967"/>
      <c r="O86" s="2967"/>
      <c r="P86" s="2967"/>
      <c r="Q86" s="2967"/>
      <c r="R86" s="2967"/>
      <c r="S86" s="2967"/>
      <c r="T86" s="2967"/>
      <c r="U86" s="2967"/>
      <c r="V86" s="2967"/>
      <c r="W86" s="2967"/>
      <c r="X86" s="2967"/>
      <c r="Y86" s="2992"/>
      <c r="Z86" s="2992"/>
      <c r="AA86" s="2992"/>
      <c r="AB86" s="2992"/>
      <c r="AC86" s="2992"/>
      <c r="AD86" s="2992"/>
      <c r="AE86" s="2992"/>
      <c r="AF86" s="2992"/>
      <c r="AG86" s="2992"/>
      <c r="AH86" s="2992"/>
      <c r="AI86" s="2992"/>
      <c r="AJ86" s="2992"/>
      <c r="AK86" s="2992"/>
      <c r="AL86" s="2992"/>
      <c r="AM86" s="2992"/>
      <c r="AN86" s="2992"/>
      <c r="AO86" s="2992"/>
      <c r="AP86" s="2992"/>
      <c r="AQ86" s="2992"/>
      <c r="AR86" s="2992"/>
      <c r="AS86" s="2992"/>
      <c r="AT86" s="2992"/>
      <c r="AU86" s="2992"/>
      <c r="AV86" s="2992"/>
      <c r="AW86" s="2992"/>
      <c r="AX86" s="2953"/>
      <c r="AY86" s="2954"/>
      <c r="AZ86" s="2954"/>
      <c r="BA86" s="2954"/>
      <c r="BB86" s="2954"/>
      <c r="BC86" s="2954"/>
      <c r="BD86" s="2954"/>
      <c r="BE86" s="2954"/>
      <c r="BF86" s="2954"/>
      <c r="BG86" s="2954"/>
      <c r="BH86" s="2954"/>
      <c r="BI86" s="2954"/>
      <c r="BJ86" s="2954"/>
      <c r="BK86" s="2954"/>
      <c r="BL86" s="2955"/>
      <c r="BM86" s="2996"/>
      <c r="BN86" s="2997"/>
      <c r="BO86" s="2997"/>
      <c r="BP86" s="2998"/>
      <c r="BQ86" s="3033"/>
      <c r="BR86" s="3034"/>
      <c r="BS86" s="3034"/>
      <c r="BT86" s="3034"/>
      <c r="BU86" s="3034"/>
      <c r="BV86" s="3034"/>
      <c r="BW86" s="3034"/>
      <c r="BX86" s="3034"/>
      <c r="BY86" s="3034"/>
      <c r="BZ86" s="3034"/>
      <c r="CA86" s="3034"/>
      <c r="CB86" s="3034"/>
      <c r="CC86" s="3034"/>
      <c r="CD86" s="3034"/>
      <c r="CE86" s="3034"/>
      <c r="CF86" s="3034"/>
      <c r="CG86" s="3034"/>
      <c r="CH86" s="3034"/>
      <c r="CI86" s="3034"/>
      <c r="CJ86" s="3034"/>
      <c r="CK86" s="3034"/>
      <c r="CL86" s="3034"/>
      <c r="CM86" s="3034"/>
      <c r="CN86" s="3034"/>
      <c r="CO86" s="3035"/>
      <c r="CP86" s="2232"/>
      <c r="CQ86" s="2233"/>
      <c r="CR86" s="2233"/>
      <c r="CS86" s="2233"/>
      <c r="CT86" s="2233"/>
      <c r="CU86" s="2233"/>
      <c r="CV86" s="2233"/>
      <c r="CW86" s="2233"/>
      <c r="CX86" s="2233"/>
      <c r="CY86" s="2233"/>
      <c r="CZ86" s="2233"/>
      <c r="DA86" s="2233"/>
      <c r="DB86" s="2233"/>
      <c r="DC86" s="2233"/>
      <c r="DD86" s="2233"/>
      <c r="DE86" s="2233"/>
      <c r="DF86" s="2233"/>
      <c r="DG86" s="2233"/>
      <c r="DH86" s="2233"/>
      <c r="DI86" s="2233"/>
      <c r="DJ86" s="2233"/>
      <c r="DK86" s="2233"/>
      <c r="DL86" s="2234"/>
      <c r="DS86" s="109"/>
    </row>
    <row r="87" spans="1:123" ht="6" customHeight="1" thickTop="1" thickBot="1">
      <c r="A87" s="48"/>
      <c r="B87" s="573"/>
      <c r="C87" s="573"/>
      <c r="D87" s="573"/>
      <c r="E87" s="573"/>
      <c r="F87" s="54"/>
      <c r="G87" s="55"/>
      <c r="H87" s="55"/>
      <c r="I87" s="55"/>
      <c r="J87" s="574"/>
      <c r="K87" s="574"/>
      <c r="L87" s="574"/>
      <c r="M87" s="574"/>
      <c r="N87" s="574"/>
      <c r="O87" s="574"/>
      <c r="P87" s="574"/>
      <c r="Q87" s="574"/>
      <c r="R87" s="574"/>
      <c r="S87" s="574"/>
      <c r="T87" s="574"/>
      <c r="U87" s="574"/>
      <c r="V87" s="574"/>
      <c r="W87" s="574"/>
      <c r="X87" s="574"/>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75"/>
      <c r="AY87" s="575"/>
      <c r="AZ87" s="575"/>
      <c r="BA87" s="575"/>
      <c r="BB87" s="575"/>
      <c r="BC87" s="575"/>
      <c r="BD87" s="575"/>
      <c r="BE87" s="575"/>
      <c r="BF87" s="55"/>
      <c r="BG87" s="576"/>
      <c r="BH87" s="576"/>
      <c r="BI87" s="576"/>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4"/>
      <c r="DK87" s="44"/>
      <c r="DL87" s="44"/>
      <c r="DR87" s="109"/>
    </row>
    <row r="88" spans="1:123" ht="8.25" customHeight="1">
      <c r="A88" s="48"/>
      <c r="B88" s="2647" t="s">
        <v>187</v>
      </c>
      <c r="C88" s="2648"/>
      <c r="D88" s="2648"/>
      <c r="E88" s="2648"/>
      <c r="F88" s="2648"/>
      <c r="G88" s="2648"/>
      <c r="H88" s="2648"/>
      <c r="I88" s="2648"/>
      <c r="J88" s="2648"/>
      <c r="K88" s="2648"/>
      <c r="L88" s="2648"/>
      <c r="M88" s="2648"/>
      <c r="N88" s="2648"/>
      <c r="O88" s="2648"/>
      <c r="P88" s="2648"/>
      <c r="Q88" s="2648"/>
      <c r="R88" s="2648"/>
      <c r="S88" s="2648"/>
      <c r="T88" s="2648"/>
      <c r="U88" s="2648"/>
      <c r="V88" s="2648"/>
      <c r="W88" s="2648"/>
      <c r="X88" s="2648"/>
      <c r="Y88" s="2648"/>
      <c r="Z88" s="2985" t="s">
        <v>257</v>
      </c>
      <c r="AA88" s="2985"/>
      <c r="AB88" s="2985"/>
      <c r="AC88" s="2985"/>
      <c r="AD88" s="2985"/>
      <c r="AE88" s="2985"/>
      <c r="AF88" s="2985"/>
      <c r="AG88" s="2985"/>
      <c r="AH88" s="2985"/>
      <c r="AI88" s="2985"/>
      <c r="AJ88" s="2985"/>
      <c r="AK88" s="2985"/>
      <c r="AL88" s="2985"/>
      <c r="AM88" s="2985"/>
      <c r="AN88" s="2985"/>
      <c r="AO88" s="2985"/>
      <c r="AP88" s="2985"/>
      <c r="AQ88" s="2985"/>
      <c r="AR88" s="2985"/>
      <c r="AS88" s="2985"/>
      <c r="AT88" s="2985"/>
      <c r="AU88" s="2985"/>
      <c r="AV88" s="2985"/>
      <c r="AW88" s="2985"/>
      <c r="AX88" s="2985"/>
      <c r="AY88" s="2985"/>
      <c r="AZ88" s="2985"/>
      <c r="BA88" s="2985"/>
      <c r="BB88" s="2985"/>
      <c r="BC88" s="2985"/>
      <c r="BD88" s="2985"/>
      <c r="BE88" s="2985"/>
      <c r="BF88" s="2985"/>
      <c r="BG88" s="2985"/>
      <c r="BH88" s="2985"/>
      <c r="BI88" s="2985"/>
      <c r="BJ88" s="2985"/>
      <c r="BK88" s="2985"/>
      <c r="BL88" s="2985"/>
      <c r="BM88" s="2985"/>
      <c r="BN88" s="2985"/>
      <c r="BO88" s="2985"/>
      <c r="BP88" s="2985"/>
      <c r="BQ88" s="2985"/>
      <c r="BR88" s="2985"/>
      <c r="BS88" s="2985"/>
      <c r="BT88" s="2985"/>
      <c r="BU88" s="2985"/>
      <c r="BV88" s="2985"/>
      <c r="BW88" s="2985"/>
      <c r="BX88" s="2985"/>
      <c r="BY88" s="2985"/>
      <c r="BZ88" s="2985"/>
      <c r="CA88" s="2985"/>
      <c r="CB88" s="2985"/>
      <c r="CC88" s="2985"/>
      <c r="CD88" s="2985"/>
      <c r="CE88" s="2985"/>
      <c r="CF88" s="2985"/>
      <c r="CG88" s="2985"/>
      <c r="CH88" s="2985"/>
      <c r="CI88" s="2985"/>
      <c r="CJ88" s="2985"/>
      <c r="CK88" s="2985"/>
      <c r="CL88" s="2985"/>
      <c r="CM88" s="2985"/>
      <c r="CN88" s="2985"/>
      <c r="CO88" s="2985"/>
      <c r="CP88" s="2985"/>
      <c r="CQ88" s="2985"/>
      <c r="CR88" s="2985"/>
      <c r="CS88" s="2985"/>
      <c r="CT88" s="2985"/>
      <c r="CU88" s="2985"/>
      <c r="CV88" s="2985"/>
      <c r="CW88" s="2985"/>
      <c r="CX88" s="2985"/>
      <c r="CY88" s="2985"/>
      <c r="CZ88" s="2985"/>
      <c r="DA88" s="2985"/>
      <c r="DB88" s="2985"/>
      <c r="DC88" s="2985"/>
      <c r="DD88" s="2985"/>
      <c r="DE88" s="2985"/>
      <c r="DF88" s="2985"/>
      <c r="DG88" s="2985"/>
      <c r="DH88" s="2985"/>
      <c r="DI88" s="2985"/>
      <c r="DJ88" s="2985"/>
      <c r="DK88" s="2985"/>
      <c r="DL88" s="2986"/>
      <c r="DP88" s="109"/>
    </row>
    <row r="89" spans="1:123" ht="8.25" customHeight="1" thickBot="1">
      <c r="A89" s="48"/>
      <c r="B89" s="2984"/>
      <c r="C89" s="2652"/>
      <c r="D89" s="2652"/>
      <c r="E89" s="2652"/>
      <c r="F89" s="2652"/>
      <c r="G89" s="2652"/>
      <c r="H89" s="2652"/>
      <c r="I89" s="2652"/>
      <c r="J89" s="2652"/>
      <c r="K89" s="2652"/>
      <c r="L89" s="2652"/>
      <c r="M89" s="2652"/>
      <c r="N89" s="2652"/>
      <c r="O89" s="2652"/>
      <c r="P89" s="2652"/>
      <c r="Q89" s="2652"/>
      <c r="R89" s="2652"/>
      <c r="S89" s="2652"/>
      <c r="T89" s="2652"/>
      <c r="U89" s="2652"/>
      <c r="V89" s="2652"/>
      <c r="W89" s="2652"/>
      <c r="X89" s="2652"/>
      <c r="Y89" s="2652"/>
      <c r="Z89" s="2987"/>
      <c r="AA89" s="2987"/>
      <c r="AB89" s="2987"/>
      <c r="AC89" s="2987"/>
      <c r="AD89" s="2987"/>
      <c r="AE89" s="2987"/>
      <c r="AF89" s="2987"/>
      <c r="AG89" s="2987"/>
      <c r="AH89" s="2987"/>
      <c r="AI89" s="2988"/>
      <c r="AJ89" s="2988"/>
      <c r="AK89" s="2988"/>
      <c r="AL89" s="2987"/>
      <c r="AM89" s="2987"/>
      <c r="AN89" s="2987"/>
      <c r="AO89" s="2987"/>
      <c r="AP89" s="2987"/>
      <c r="AQ89" s="2987"/>
      <c r="AR89" s="2987"/>
      <c r="AS89" s="2987"/>
      <c r="AT89" s="2987"/>
      <c r="AU89" s="2987"/>
      <c r="AV89" s="2987"/>
      <c r="AW89" s="2987"/>
      <c r="AX89" s="2987"/>
      <c r="AY89" s="2987"/>
      <c r="AZ89" s="2987"/>
      <c r="BA89" s="2987"/>
      <c r="BB89" s="2987"/>
      <c r="BC89" s="2987"/>
      <c r="BD89" s="2988"/>
      <c r="BE89" s="2988"/>
      <c r="BF89" s="2988"/>
      <c r="BG89" s="2988"/>
      <c r="BH89" s="2988"/>
      <c r="BI89" s="2988"/>
      <c r="BJ89" s="2988"/>
      <c r="BK89" s="2988"/>
      <c r="BL89" s="2988"/>
      <c r="BM89" s="2988"/>
      <c r="BN89" s="2988"/>
      <c r="BO89" s="2988"/>
      <c r="BP89" s="2988"/>
      <c r="BQ89" s="2988"/>
      <c r="BR89" s="2988"/>
      <c r="BS89" s="2988"/>
      <c r="BT89" s="2988"/>
      <c r="BU89" s="2988"/>
      <c r="BV89" s="2988"/>
      <c r="BW89" s="2988"/>
      <c r="BX89" s="2988"/>
      <c r="BY89" s="2988"/>
      <c r="BZ89" s="2988"/>
      <c r="CA89" s="2988"/>
      <c r="CB89" s="2988"/>
      <c r="CC89" s="2988"/>
      <c r="CD89" s="2988"/>
      <c r="CE89" s="2988"/>
      <c r="CF89" s="2988"/>
      <c r="CG89" s="2988"/>
      <c r="CH89" s="2988"/>
      <c r="CI89" s="2988"/>
      <c r="CJ89" s="2988"/>
      <c r="CK89" s="2988"/>
      <c r="CL89" s="2988"/>
      <c r="CM89" s="2988"/>
      <c r="CN89" s="2988"/>
      <c r="CO89" s="2988"/>
      <c r="CP89" s="2988"/>
      <c r="CQ89" s="2988"/>
      <c r="CR89" s="2988"/>
      <c r="CS89" s="2988"/>
      <c r="CT89" s="2988"/>
      <c r="CU89" s="2988"/>
      <c r="CV89" s="2988"/>
      <c r="CW89" s="2988"/>
      <c r="CX89" s="2988"/>
      <c r="CY89" s="2988"/>
      <c r="CZ89" s="2988"/>
      <c r="DA89" s="2988"/>
      <c r="DB89" s="2988"/>
      <c r="DC89" s="2988"/>
      <c r="DD89" s="2988"/>
      <c r="DE89" s="2988"/>
      <c r="DF89" s="2988"/>
      <c r="DG89" s="2988"/>
      <c r="DH89" s="2988"/>
      <c r="DI89" s="2988"/>
      <c r="DJ89" s="2988"/>
      <c r="DK89" s="2988"/>
      <c r="DL89" s="2989"/>
      <c r="DP89" s="109"/>
    </row>
    <row r="90" spans="1:123" ht="7.5" customHeight="1" thickTop="1">
      <c r="A90" s="48"/>
      <c r="B90" s="2744" t="s">
        <v>105</v>
      </c>
      <c r="C90" s="2710"/>
      <c r="D90" s="2711"/>
      <c r="E90" s="2486"/>
      <c r="F90" s="2450"/>
      <c r="G90" s="2450"/>
      <c r="H90" s="2450"/>
      <c r="I90" s="2450"/>
      <c r="J90" s="2450"/>
      <c r="K90" s="2450"/>
      <c r="L90" s="2450"/>
      <c r="M90" s="2450"/>
      <c r="N90" s="2450"/>
      <c r="O90" s="2450"/>
      <c r="P90" s="2450"/>
      <c r="Q90" s="2450"/>
      <c r="R90" s="2450"/>
      <c r="S90" s="2450"/>
      <c r="T90" s="2450"/>
      <c r="U90" s="2450"/>
      <c r="V90" s="2487"/>
      <c r="W90" s="2709" t="s">
        <v>1305</v>
      </c>
      <c r="X90" s="2710"/>
      <c r="Y90" s="2711"/>
      <c r="Z90" s="2486"/>
      <c r="AA90" s="2450"/>
      <c r="AB90" s="2450"/>
      <c r="AC90" s="2450"/>
      <c r="AD90" s="2450"/>
      <c r="AE90" s="2450"/>
      <c r="AF90" s="2450"/>
      <c r="AG90" s="2450"/>
      <c r="AH90" s="2451"/>
      <c r="AI90" s="2444" t="s">
        <v>801</v>
      </c>
      <c r="AJ90" s="2444"/>
      <c r="AK90" s="2444"/>
      <c r="AL90" s="2970"/>
      <c r="AM90" s="2971"/>
      <c r="AN90" s="2971"/>
      <c r="AO90" s="2971"/>
      <c r="AP90" s="2971"/>
      <c r="AQ90" s="2971"/>
      <c r="AR90" s="2971"/>
      <c r="AS90" s="2971"/>
      <c r="AT90" s="2971"/>
      <c r="AU90" s="2971"/>
      <c r="AV90" s="2971"/>
      <c r="AW90" s="2971"/>
      <c r="AX90" s="2971"/>
      <c r="AY90" s="2971"/>
      <c r="AZ90" s="2971"/>
      <c r="BA90" s="2971"/>
      <c r="BB90" s="2971"/>
      <c r="BC90" s="2972"/>
      <c r="BD90" s="2444" t="s">
        <v>228</v>
      </c>
      <c r="BE90" s="3059"/>
      <c r="BF90" s="3059"/>
      <c r="BG90" s="3060"/>
      <c r="BH90" s="3064"/>
      <c r="BI90" s="2676"/>
      <c r="BJ90" s="2676"/>
      <c r="BK90" s="3065"/>
      <c r="BL90" s="2443" t="s">
        <v>217</v>
      </c>
      <c r="BM90" s="2444"/>
      <c r="BN90" s="2444"/>
      <c r="BO90" s="2445"/>
      <c r="BP90" s="2491"/>
      <c r="BQ90" s="2492"/>
      <c r="BR90" s="2443" t="s">
        <v>142</v>
      </c>
      <c r="BS90" s="2444"/>
      <c r="BT90" s="2445"/>
      <c r="BU90" s="2437"/>
      <c r="BV90" s="2437"/>
      <c r="BW90" s="2438"/>
      <c r="BX90" s="2443" t="s">
        <v>215</v>
      </c>
      <c r="BY90" s="2444"/>
      <c r="BZ90" s="2444"/>
      <c r="CA90" s="2444"/>
      <c r="CB90" s="2445"/>
      <c r="CC90" s="2669">
        <v>20</v>
      </c>
      <c r="CD90" s="2669"/>
      <c r="CE90" s="2669"/>
      <c r="CF90" s="2434"/>
      <c r="CG90" s="2434"/>
      <c r="CH90" s="2483" t="s">
        <v>0</v>
      </c>
      <c r="CI90" s="2483"/>
      <c r="CJ90" s="2434"/>
      <c r="CK90" s="2434"/>
      <c r="CL90" s="2483" t="s">
        <v>218</v>
      </c>
      <c r="CM90" s="2483"/>
      <c r="CN90" s="2483"/>
      <c r="CO90" s="2483"/>
      <c r="CP90" s="2443" t="s">
        <v>219</v>
      </c>
      <c r="CQ90" s="2444"/>
      <c r="CR90" s="2444"/>
      <c r="CS90" s="2445"/>
      <c r="CT90" s="2499"/>
      <c r="CU90" s="2491"/>
      <c r="CV90" s="2491"/>
      <c r="CW90" s="2491"/>
      <c r="CX90" s="2491"/>
      <c r="CY90" s="2491"/>
      <c r="CZ90" s="2491"/>
      <c r="DA90" s="2491"/>
      <c r="DB90" s="2491"/>
      <c r="DC90" s="2491"/>
      <c r="DD90" s="2491"/>
      <c r="DE90" s="2491"/>
      <c r="DF90" s="2491"/>
      <c r="DG90" s="2491"/>
      <c r="DH90" s="2491"/>
      <c r="DI90" s="2491"/>
      <c r="DJ90" s="2491"/>
      <c r="DK90" s="2491"/>
      <c r="DL90" s="2500"/>
    </row>
    <row r="91" spans="1:123" ht="7.5" customHeight="1">
      <c r="A91" s="48"/>
      <c r="B91" s="2745"/>
      <c r="C91" s="2374"/>
      <c r="D91" s="2375"/>
      <c r="E91" s="2488"/>
      <c r="F91" s="2439"/>
      <c r="G91" s="2439"/>
      <c r="H91" s="2439"/>
      <c r="I91" s="2439"/>
      <c r="J91" s="2439"/>
      <c r="K91" s="2439"/>
      <c r="L91" s="2439"/>
      <c r="M91" s="2439"/>
      <c r="N91" s="2439"/>
      <c r="O91" s="2439"/>
      <c r="P91" s="2439"/>
      <c r="Q91" s="2439"/>
      <c r="R91" s="2439"/>
      <c r="S91" s="2439"/>
      <c r="T91" s="2439"/>
      <c r="U91" s="2439"/>
      <c r="V91" s="2440"/>
      <c r="W91" s="2373"/>
      <c r="X91" s="2374"/>
      <c r="Y91" s="2375"/>
      <c r="Z91" s="2488"/>
      <c r="AA91" s="2439"/>
      <c r="AB91" s="2439"/>
      <c r="AC91" s="2439"/>
      <c r="AD91" s="2439"/>
      <c r="AE91" s="2439"/>
      <c r="AF91" s="2439"/>
      <c r="AG91" s="2439"/>
      <c r="AH91" s="2453"/>
      <c r="AI91" s="2374"/>
      <c r="AJ91" s="2374"/>
      <c r="AK91" s="2374"/>
      <c r="AL91" s="2973"/>
      <c r="AM91" s="2439"/>
      <c r="AN91" s="2439"/>
      <c r="AO91" s="2439"/>
      <c r="AP91" s="2439"/>
      <c r="AQ91" s="2439"/>
      <c r="AR91" s="2439"/>
      <c r="AS91" s="2439"/>
      <c r="AT91" s="2439"/>
      <c r="AU91" s="2439"/>
      <c r="AV91" s="2439"/>
      <c r="AW91" s="2439"/>
      <c r="AX91" s="2439"/>
      <c r="AY91" s="2439"/>
      <c r="AZ91" s="2439"/>
      <c r="BA91" s="2439"/>
      <c r="BB91" s="2439"/>
      <c r="BC91" s="2974"/>
      <c r="BD91" s="2583"/>
      <c r="BE91" s="2583"/>
      <c r="BF91" s="2583"/>
      <c r="BG91" s="3061"/>
      <c r="BH91" s="2628"/>
      <c r="BI91" s="2629"/>
      <c r="BJ91" s="2629"/>
      <c r="BK91" s="2630"/>
      <c r="BL91" s="2373"/>
      <c r="BM91" s="2374"/>
      <c r="BN91" s="2374"/>
      <c r="BO91" s="2375"/>
      <c r="BP91" s="2493"/>
      <c r="BQ91" s="2494"/>
      <c r="BR91" s="2373"/>
      <c r="BS91" s="2374"/>
      <c r="BT91" s="2375"/>
      <c r="BU91" s="2439"/>
      <c r="BV91" s="2439"/>
      <c r="BW91" s="2440"/>
      <c r="BX91" s="2373"/>
      <c r="BY91" s="2374"/>
      <c r="BZ91" s="2374"/>
      <c r="CA91" s="2374"/>
      <c r="CB91" s="2375"/>
      <c r="CC91" s="2670"/>
      <c r="CD91" s="2670"/>
      <c r="CE91" s="2670"/>
      <c r="CF91" s="2435"/>
      <c r="CG91" s="2435"/>
      <c r="CH91" s="2484"/>
      <c r="CI91" s="2484"/>
      <c r="CJ91" s="2435"/>
      <c r="CK91" s="2435"/>
      <c r="CL91" s="2484"/>
      <c r="CM91" s="2484"/>
      <c r="CN91" s="2484"/>
      <c r="CO91" s="2484"/>
      <c r="CP91" s="2373"/>
      <c r="CQ91" s="2374"/>
      <c r="CR91" s="2374"/>
      <c r="CS91" s="2375"/>
      <c r="CT91" s="2501"/>
      <c r="CU91" s="2493"/>
      <c r="CV91" s="2493"/>
      <c r="CW91" s="2493"/>
      <c r="CX91" s="2493"/>
      <c r="CY91" s="2493"/>
      <c r="CZ91" s="2493"/>
      <c r="DA91" s="2493"/>
      <c r="DB91" s="2493"/>
      <c r="DC91" s="2493"/>
      <c r="DD91" s="2493"/>
      <c r="DE91" s="2493"/>
      <c r="DF91" s="2493"/>
      <c r="DG91" s="2493"/>
      <c r="DH91" s="2493"/>
      <c r="DI91" s="2493"/>
      <c r="DJ91" s="2493"/>
      <c r="DK91" s="2493"/>
      <c r="DL91" s="2502"/>
    </row>
    <row r="92" spans="1:123" ht="7.5" customHeight="1" thickBot="1">
      <c r="A92" s="48"/>
      <c r="B92" s="2746"/>
      <c r="C92" s="2713"/>
      <c r="D92" s="2714"/>
      <c r="E92" s="2489"/>
      <c r="F92" s="2455"/>
      <c r="G92" s="2455"/>
      <c r="H92" s="2455"/>
      <c r="I92" s="2455"/>
      <c r="J92" s="2455"/>
      <c r="K92" s="2455"/>
      <c r="L92" s="2455"/>
      <c r="M92" s="2455"/>
      <c r="N92" s="2455"/>
      <c r="O92" s="2455"/>
      <c r="P92" s="2455"/>
      <c r="Q92" s="2455"/>
      <c r="R92" s="2455"/>
      <c r="S92" s="2455"/>
      <c r="T92" s="2455"/>
      <c r="U92" s="2455"/>
      <c r="V92" s="2490"/>
      <c r="W92" s="2712"/>
      <c r="X92" s="2713"/>
      <c r="Y92" s="2714"/>
      <c r="Z92" s="2489"/>
      <c r="AA92" s="2455"/>
      <c r="AB92" s="2455"/>
      <c r="AC92" s="2455"/>
      <c r="AD92" s="2455"/>
      <c r="AE92" s="2455"/>
      <c r="AF92" s="2455"/>
      <c r="AG92" s="2455"/>
      <c r="AH92" s="2456"/>
      <c r="AI92" s="2377"/>
      <c r="AJ92" s="2377"/>
      <c r="AK92" s="2377"/>
      <c r="AL92" s="2975"/>
      <c r="AM92" s="2976"/>
      <c r="AN92" s="2976"/>
      <c r="AO92" s="2976"/>
      <c r="AP92" s="2976"/>
      <c r="AQ92" s="2976"/>
      <c r="AR92" s="2976"/>
      <c r="AS92" s="2976"/>
      <c r="AT92" s="2976"/>
      <c r="AU92" s="2976"/>
      <c r="AV92" s="2976"/>
      <c r="AW92" s="2976"/>
      <c r="AX92" s="2976"/>
      <c r="AY92" s="2976"/>
      <c r="AZ92" s="2976"/>
      <c r="BA92" s="2976"/>
      <c r="BB92" s="2976"/>
      <c r="BC92" s="2977"/>
      <c r="BD92" s="3062"/>
      <c r="BE92" s="3062"/>
      <c r="BF92" s="3062"/>
      <c r="BG92" s="3063"/>
      <c r="BH92" s="2631"/>
      <c r="BI92" s="2632"/>
      <c r="BJ92" s="2632"/>
      <c r="BK92" s="2633"/>
      <c r="BL92" s="2376"/>
      <c r="BM92" s="2377"/>
      <c r="BN92" s="2377"/>
      <c r="BO92" s="2378"/>
      <c r="BP92" s="2495"/>
      <c r="BQ92" s="2496"/>
      <c r="BR92" s="2376"/>
      <c r="BS92" s="2377"/>
      <c r="BT92" s="2378"/>
      <c r="BU92" s="2522"/>
      <c r="BV92" s="2522"/>
      <c r="BW92" s="2523"/>
      <c r="BX92" s="2376"/>
      <c r="BY92" s="2377"/>
      <c r="BZ92" s="2377"/>
      <c r="CA92" s="2377"/>
      <c r="CB92" s="2378"/>
      <c r="CC92" s="2699"/>
      <c r="CD92" s="2699"/>
      <c r="CE92" s="2699"/>
      <c r="CF92" s="2482"/>
      <c r="CG92" s="2482"/>
      <c r="CH92" s="2485"/>
      <c r="CI92" s="2485"/>
      <c r="CJ92" s="2482"/>
      <c r="CK92" s="2482"/>
      <c r="CL92" s="2485"/>
      <c r="CM92" s="2485"/>
      <c r="CN92" s="2485"/>
      <c r="CO92" s="2485"/>
      <c r="CP92" s="2376"/>
      <c r="CQ92" s="2377"/>
      <c r="CR92" s="2377"/>
      <c r="CS92" s="2378"/>
      <c r="CT92" s="2503"/>
      <c r="CU92" s="2495"/>
      <c r="CV92" s="2495"/>
      <c r="CW92" s="2495"/>
      <c r="CX92" s="2495"/>
      <c r="CY92" s="2495"/>
      <c r="CZ92" s="2495"/>
      <c r="DA92" s="2495"/>
      <c r="DB92" s="2495"/>
      <c r="DC92" s="2495"/>
      <c r="DD92" s="2495"/>
      <c r="DE92" s="2495"/>
      <c r="DF92" s="2495"/>
      <c r="DG92" s="2495"/>
      <c r="DH92" s="2495"/>
      <c r="DI92" s="2495"/>
      <c r="DJ92" s="2495"/>
      <c r="DK92" s="2495"/>
      <c r="DL92" s="2504"/>
    </row>
    <row r="93" spans="1:123" ht="11.25" customHeight="1" thickTop="1" thickBot="1">
      <c r="A93" s="44"/>
      <c r="B93" s="2946" t="s">
        <v>235</v>
      </c>
      <c r="C93" s="2947"/>
      <c r="D93" s="2947"/>
      <c r="E93" s="2947"/>
      <c r="F93" s="2947"/>
      <c r="G93" s="2947"/>
      <c r="H93" s="2947"/>
      <c r="I93" s="2947"/>
      <c r="J93" s="2947"/>
      <c r="K93" s="2947"/>
      <c r="L93" s="2947"/>
      <c r="M93" s="2947"/>
      <c r="N93" s="2947"/>
      <c r="O93" s="2947"/>
      <c r="P93" s="2947"/>
      <c r="Q93" s="2947"/>
      <c r="R93" s="2947"/>
      <c r="S93" s="2947"/>
      <c r="T93" s="2947"/>
      <c r="U93" s="2947"/>
      <c r="V93" s="2947"/>
      <c r="W93" s="2947"/>
      <c r="X93" s="2947"/>
      <c r="Y93" s="2947"/>
      <c r="Z93" s="2947"/>
      <c r="AA93" s="2947"/>
      <c r="AB93" s="2947"/>
      <c r="AC93" s="2947"/>
      <c r="AD93" s="2947"/>
      <c r="AE93" s="2947"/>
      <c r="AF93" s="2947"/>
      <c r="AG93" s="2947"/>
      <c r="AH93" s="2947"/>
      <c r="AI93" s="2948"/>
      <c r="AJ93" s="2948"/>
      <c r="AK93" s="2948"/>
      <c r="AL93" s="2947"/>
      <c r="AM93" s="2947"/>
      <c r="AN93" s="2947"/>
      <c r="AO93" s="2947"/>
      <c r="AP93" s="2947"/>
      <c r="AQ93" s="2947"/>
      <c r="AR93" s="2947"/>
      <c r="AS93" s="2947"/>
      <c r="AT93" s="2947"/>
      <c r="AU93" s="2947"/>
      <c r="AV93" s="2947"/>
      <c r="AW93" s="2947"/>
      <c r="AX93" s="2947"/>
      <c r="AY93" s="2947"/>
      <c r="AZ93" s="2947"/>
      <c r="BA93" s="2947"/>
      <c r="BB93" s="2947"/>
      <c r="BC93" s="2947"/>
      <c r="BD93" s="2948"/>
      <c r="BE93" s="2948"/>
      <c r="BF93" s="2948"/>
      <c r="BG93" s="2948"/>
      <c r="BH93" s="2948"/>
      <c r="BI93" s="2948"/>
      <c r="BJ93" s="2948"/>
      <c r="BK93" s="2948"/>
      <c r="BL93" s="2948"/>
      <c r="BM93" s="2948"/>
      <c r="BN93" s="2948"/>
      <c r="BO93" s="2948"/>
      <c r="BP93" s="2948"/>
      <c r="BQ93" s="2948"/>
      <c r="BR93" s="2948"/>
      <c r="BS93" s="2948"/>
      <c r="BT93" s="2948"/>
      <c r="BU93" s="2948"/>
      <c r="BV93" s="2948"/>
      <c r="BW93" s="2948"/>
      <c r="BX93" s="2948"/>
      <c r="BY93" s="2948"/>
      <c r="BZ93" s="2948"/>
      <c r="CA93" s="2948"/>
      <c r="CB93" s="2948"/>
      <c r="CC93" s="2948"/>
      <c r="CD93" s="2948"/>
      <c r="CE93" s="2948"/>
      <c r="CF93" s="2948"/>
      <c r="CG93" s="2948"/>
      <c r="CH93" s="2948"/>
      <c r="CI93" s="2948"/>
      <c r="CJ93" s="2948"/>
      <c r="CK93" s="2948"/>
      <c r="CL93" s="2948"/>
      <c r="CM93" s="2948"/>
      <c r="CN93" s="2948"/>
      <c r="CO93" s="2948"/>
      <c r="CP93" s="2948"/>
      <c r="CQ93" s="2948"/>
      <c r="CR93" s="2948"/>
      <c r="CS93" s="2948"/>
      <c r="CT93" s="2948"/>
      <c r="CU93" s="2948"/>
      <c r="CV93" s="2948"/>
      <c r="CW93" s="2948"/>
      <c r="CX93" s="2948"/>
      <c r="CY93" s="2948"/>
      <c r="CZ93" s="2948"/>
      <c r="DA93" s="2948"/>
      <c r="DB93" s="2948"/>
      <c r="DC93" s="2948"/>
      <c r="DD93" s="2948"/>
      <c r="DE93" s="2948"/>
      <c r="DF93" s="2948"/>
      <c r="DG93" s="2948"/>
      <c r="DH93" s="2948"/>
      <c r="DI93" s="2948"/>
      <c r="DJ93" s="2948"/>
      <c r="DK93" s="2948"/>
      <c r="DL93" s="2949"/>
      <c r="DP93" s="109"/>
    </row>
    <row r="94" spans="1:123" ht="10" customHeight="1">
      <c r="A94" s="44"/>
      <c r="B94" s="3011" t="s">
        <v>229</v>
      </c>
      <c r="C94" s="2941"/>
      <c r="D94" s="2941"/>
      <c r="E94" s="2942"/>
      <c r="F94" s="2497"/>
      <c r="G94" s="2498"/>
      <c r="H94" s="2940" t="s">
        <v>230</v>
      </c>
      <c r="I94" s="2941"/>
      <c r="J94" s="2941"/>
      <c r="K94" s="2941"/>
      <c r="L94" s="2942"/>
      <c r="M94" s="2497"/>
      <c r="N94" s="2498"/>
      <c r="O94" s="2940" t="s">
        <v>231</v>
      </c>
      <c r="P94" s="2941"/>
      <c r="Q94" s="2941"/>
      <c r="R94" s="2942"/>
      <c r="S94" s="2497"/>
      <c r="T94" s="2498"/>
      <c r="U94" s="2940" t="s">
        <v>164</v>
      </c>
      <c r="V94" s="2941"/>
      <c r="W94" s="2941"/>
      <c r="X94" s="2942"/>
      <c r="Y94" s="2497"/>
      <c r="Z94" s="2498"/>
      <c r="AA94" s="3067"/>
      <c r="AB94" s="3068"/>
      <c r="AC94" s="2443" t="s">
        <v>232</v>
      </c>
      <c r="AD94" s="2444"/>
      <c r="AE94" s="2444"/>
      <c r="AF94" s="2444"/>
      <c r="AG94" s="2444"/>
      <c r="AH94" s="2444"/>
      <c r="AI94" s="2444"/>
      <c r="AJ94" s="2445"/>
      <c r="AK94" s="3036"/>
      <c r="AL94" s="3036"/>
      <c r="AM94" s="3036"/>
      <c r="AN94" s="3036"/>
      <c r="AO94" s="3036"/>
      <c r="AP94" s="3036"/>
      <c r="AQ94" s="3036"/>
      <c r="AR94" s="3036"/>
      <c r="AS94" s="3036"/>
      <c r="AT94" s="3036"/>
      <c r="AU94" s="3036"/>
      <c r="AV94" s="3036"/>
      <c r="AW94" s="3036"/>
      <c r="AX94" s="3036"/>
      <c r="AY94" s="3036"/>
      <c r="AZ94" s="2544" t="s">
        <v>734</v>
      </c>
      <c r="BA94" s="2544"/>
      <c r="BB94" s="2544"/>
      <c r="BC94" s="2544"/>
      <c r="BD94" s="2544"/>
      <c r="BE94" s="2544"/>
      <c r="BF94" s="3101"/>
      <c r="BG94" s="3101"/>
      <c r="BH94" s="3101"/>
      <c r="BI94" s="3101"/>
      <c r="BJ94" s="2943" t="s">
        <v>233</v>
      </c>
      <c r="BK94" s="2944"/>
      <c r="BL94" s="2944"/>
      <c r="BM94" s="2944"/>
      <c r="BN94" s="2944"/>
      <c r="BO94" s="2944"/>
      <c r="BP94" s="2945"/>
      <c r="BQ94" s="2520"/>
      <c r="BR94" s="2437"/>
      <c r="BS94" s="2437"/>
      <c r="BT94" s="2437"/>
      <c r="BU94" s="2437"/>
      <c r="BV94" s="2437"/>
      <c r="BW94" s="2437"/>
      <c r="BX94" s="2437"/>
      <c r="BY94" s="2437"/>
      <c r="BZ94" s="2437"/>
      <c r="CA94" s="2437"/>
      <c r="CB94" s="2437"/>
      <c r="CC94" s="2437"/>
      <c r="CD94" s="2437"/>
      <c r="CE94" s="2437"/>
      <c r="CF94" s="2437"/>
      <c r="CG94" s="2437"/>
      <c r="CH94" s="2437"/>
      <c r="CI94" s="2443" t="s">
        <v>165</v>
      </c>
      <c r="CJ94" s="2444"/>
      <c r="CK94" s="2444"/>
      <c r="CL94" s="2444"/>
      <c r="CM94" s="2445"/>
      <c r="CN94" s="3058"/>
      <c r="CO94" s="3058"/>
      <c r="CP94" s="2443" t="s">
        <v>160</v>
      </c>
      <c r="CQ94" s="2444"/>
      <c r="CR94" s="2444"/>
      <c r="CS94" s="2444"/>
      <c r="CT94" s="2497"/>
      <c r="CU94" s="2497"/>
      <c r="CV94" s="2934" t="s">
        <v>1183</v>
      </c>
      <c r="CW94" s="2935"/>
      <c r="CX94" s="2935"/>
      <c r="CY94" s="2935"/>
      <c r="CZ94" s="2935"/>
      <c r="DA94" s="2935"/>
      <c r="DB94" s="2936"/>
      <c r="DC94" s="2968"/>
      <c r="DD94" s="2585"/>
      <c r="DE94" s="3085" t="s">
        <v>1212</v>
      </c>
      <c r="DF94" s="3085"/>
      <c r="DG94" s="3085"/>
      <c r="DH94" s="3085"/>
      <c r="DI94" s="3085"/>
      <c r="DJ94" s="3086"/>
      <c r="DK94" s="2968"/>
      <c r="DL94" s="2585"/>
    </row>
    <row r="95" spans="1:123" ht="7.5" customHeight="1">
      <c r="A95" s="44"/>
      <c r="B95" s="3011"/>
      <c r="C95" s="2941"/>
      <c r="D95" s="2941"/>
      <c r="E95" s="2942"/>
      <c r="F95" s="2497"/>
      <c r="G95" s="2498"/>
      <c r="H95" s="2940"/>
      <c r="I95" s="2941"/>
      <c r="J95" s="2941"/>
      <c r="K95" s="2941"/>
      <c r="L95" s="2942"/>
      <c r="M95" s="2497"/>
      <c r="N95" s="2498"/>
      <c r="O95" s="2940"/>
      <c r="P95" s="2941"/>
      <c r="Q95" s="2941"/>
      <c r="R95" s="2942"/>
      <c r="S95" s="2497"/>
      <c r="T95" s="2498"/>
      <c r="U95" s="2940"/>
      <c r="V95" s="2941"/>
      <c r="W95" s="2941"/>
      <c r="X95" s="2942"/>
      <c r="Y95" s="2497"/>
      <c r="Z95" s="2498"/>
      <c r="AA95" s="3067"/>
      <c r="AB95" s="3068"/>
      <c r="AC95" s="2373"/>
      <c r="AD95" s="2374"/>
      <c r="AE95" s="2374"/>
      <c r="AF95" s="2374"/>
      <c r="AG95" s="2374"/>
      <c r="AH95" s="2374"/>
      <c r="AI95" s="2374"/>
      <c r="AJ95" s="2375"/>
      <c r="AK95" s="3036"/>
      <c r="AL95" s="3036"/>
      <c r="AM95" s="3036"/>
      <c r="AN95" s="3036"/>
      <c r="AO95" s="3036"/>
      <c r="AP95" s="3036"/>
      <c r="AQ95" s="3036"/>
      <c r="AR95" s="3036"/>
      <c r="AS95" s="3036"/>
      <c r="AT95" s="3036"/>
      <c r="AU95" s="3036"/>
      <c r="AV95" s="3036"/>
      <c r="AW95" s="3036"/>
      <c r="AX95" s="3036"/>
      <c r="AY95" s="3036"/>
      <c r="AZ95" s="2545"/>
      <c r="BA95" s="2545"/>
      <c r="BB95" s="2545"/>
      <c r="BC95" s="2545"/>
      <c r="BD95" s="2545"/>
      <c r="BE95" s="2545"/>
      <c r="BF95" s="3101"/>
      <c r="BG95" s="3101"/>
      <c r="BH95" s="3101"/>
      <c r="BI95" s="3101"/>
      <c r="BJ95" s="2943"/>
      <c r="BK95" s="2944"/>
      <c r="BL95" s="2944"/>
      <c r="BM95" s="2944"/>
      <c r="BN95" s="2944"/>
      <c r="BO95" s="2944"/>
      <c r="BP95" s="2945"/>
      <c r="BQ95" s="2488"/>
      <c r="BR95" s="2439"/>
      <c r="BS95" s="2439"/>
      <c r="BT95" s="2439"/>
      <c r="BU95" s="2439"/>
      <c r="BV95" s="2439"/>
      <c r="BW95" s="2439"/>
      <c r="BX95" s="2439"/>
      <c r="BY95" s="2439"/>
      <c r="BZ95" s="2439"/>
      <c r="CA95" s="2439"/>
      <c r="CB95" s="2439"/>
      <c r="CC95" s="2439"/>
      <c r="CD95" s="2439"/>
      <c r="CE95" s="2439"/>
      <c r="CF95" s="2439"/>
      <c r="CG95" s="2439"/>
      <c r="CH95" s="2439"/>
      <c r="CI95" s="2373"/>
      <c r="CJ95" s="2374"/>
      <c r="CK95" s="2374"/>
      <c r="CL95" s="2374"/>
      <c r="CM95" s="2375"/>
      <c r="CN95" s="3058"/>
      <c r="CO95" s="3058"/>
      <c r="CP95" s="2373"/>
      <c r="CQ95" s="2374"/>
      <c r="CR95" s="2374"/>
      <c r="CS95" s="2374"/>
      <c r="CT95" s="2497"/>
      <c r="CU95" s="2497"/>
      <c r="CV95" s="2937"/>
      <c r="CW95" s="2938"/>
      <c r="CX95" s="2938"/>
      <c r="CY95" s="2938"/>
      <c r="CZ95" s="2938"/>
      <c r="DA95" s="2938"/>
      <c r="DB95" s="2939"/>
      <c r="DC95" s="2969"/>
      <c r="DD95" s="2586"/>
      <c r="DE95" s="3085"/>
      <c r="DF95" s="3085"/>
      <c r="DG95" s="3085"/>
      <c r="DH95" s="3085"/>
      <c r="DI95" s="3085"/>
      <c r="DJ95" s="3086"/>
      <c r="DK95" s="2969"/>
      <c r="DL95" s="2586"/>
    </row>
    <row r="96" spans="1:123" ht="7.5" customHeight="1">
      <c r="A96" s="44"/>
      <c r="B96" s="3011"/>
      <c r="C96" s="2941"/>
      <c r="D96" s="2941"/>
      <c r="E96" s="2942"/>
      <c r="F96" s="2497"/>
      <c r="G96" s="2498"/>
      <c r="H96" s="2940"/>
      <c r="I96" s="2941"/>
      <c r="J96" s="2941"/>
      <c r="K96" s="2941"/>
      <c r="L96" s="2942"/>
      <c r="M96" s="2497"/>
      <c r="N96" s="2498"/>
      <c r="O96" s="2940"/>
      <c r="P96" s="2941"/>
      <c r="Q96" s="2941"/>
      <c r="R96" s="2942"/>
      <c r="S96" s="2497"/>
      <c r="T96" s="2498"/>
      <c r="U96" s="2940"/>
      <c r="V96" s="2941"/>
      <c r="W96" s="2941"/>
      <c r="X96" s="2942"/>
      <c r="Y96" s="2497"/>
      <c r="Z96" s="2498"/>
      <c r="AA96" s="3067"/>
      <c r="AB96" s="3068"/>
      <c r="AC96" s="2376"/>
      <c r="AD96" s="2377"/>
      <c r="AE96" s="2377"/>
      <c r="AF96" s="2377"/>
      <c r="AG96" s="2377"/>
      <c r="AH96" s="2377"/>
      <c r="AI96" s="2377"/>
      <c r="AJ96" s="2378"/>
      <c r="AK96" s="3036"/>
      <c r="AL96" s="3036"/>
      <c r="AM96" s="3036"/>
      <c r="AN96" s="3036"/>
      <c r="AO96" s="3036"/>
      <c r="AP96" s="3036"/>
      <c r="AQ96" s="3036"/>
      <c r="AR96" s="3036"/>
      <c r="AS96" s="3036"/>
      <c r="AT96" s="3036"/>
      <c r="AU96" s="3036"/>
      <c r="AV96" s="3036"/>
      <c r="AW96" s="3036"/>
      <c r="AX96" s="3036"/>
      <c r="AY96" s="3036"/>
      <c r="AZ96" s="3057"/>
      <c r="BA96" s="3057"/>
      <c r="BB96" s="3057"/>
      <c r="BC96" s="3057"/>
      <c r="BD96" s="3057"/>
      <c r="BE96" s="3057"/>
      <c r="BF96" s="3101"/>
      <c r="BG96" s="3101"/>
      <c r="BH96" s="3101"/>
      <c r="BI96" s="3101"/>
      <c r="BJ96" s="2943"/>
      <c r="BK96" s="2944"/>
      <c r="BL96" s="2944"/>
      <c r="BM96" s="2944"/>
      <c r="BN96" s="2944"/>
      <c r="BO96" s="2944"/>
      <c r="BP96" s="2945"/>
      <c r="BQ96" s="2521"/>
      <c r="BR96" s="2522"/>
      <c r="BS96" s="2522"/>
      <c r="BT96" s="2522"/>
      <c r="BU96" s="2522"/>
      <c r="BV96" s="2522"/>
      <c r="BW96" s="2522"/>
      <c r="BX96" s="2522"/>
      <c r="BY96" s="2522"/>
      <c r="BZ96" s="2522"/>
      <c r="CA96" s="2522"/>
      <c r="CB96" s="2522"/>
      <c r="CC96" s="2522"/>
      <c r="CD96" s="2522"/>
      <c r="CE96" s="2522"/>
      <c r="CF96" s="2522"/>
      <c r="CG96" s="2522"/>
      <c r="CH96" s="2522"/>
      <c r="CI96" s="2376"/>
      <c r="CJ96" s="2377"/>
      <c r="CK96" s="2377"/>
      <c r="CL96" s="2377"/>
      <c r="CM96" s="2378"/>
      <c r="CN96" s="3058"/>
      <c r="CO96" s="3058"/>
      <c r="CP96" s="2376"/>
      <c r="CQ96" s="2377"/>
      <c r="CR96" s="2377"/>
      <c r="CS96" s="2377"/>
      <c r="CT96" s="2491"/>
      <c r="CU96" s="2491"/>
      <c r="CV96" s="2937"/>
      <c r="CW96" s="2938"/>
      <c r="CX96" s="2938"/>
      <c r="CY96" s="2938"/>
      <c r="CZ96" s="2938"/>
      <c r="DA96" s="2938"/>
      <c r="DB96" s="2939"/>
      <c r="DC96" s="2969"/>
      <c r="DD96" s="2586"/>
      <c r="DE96" s="3087"/>
      <c r="DF96" s="3087"/>
      <c r="DG96" s="3087"/>
      <c r="DH96" s="3087"/>
      <c r="DI96" s="3087"/>
      <c r="DJ96" s="3088"/>
      <c r="DK96" s="2969"/>
      <c r="DL96" s="2586"/>
    </row>
    <row r="97" spans="1:138" ht="10" customHeight="1">
      <c r="A97" s="44"/>
      <c r="B97" s="2978" t="s">
        <v>1167</v>
      </c>
      <c r="C97" s="2979"/>
      <c r="D97" s="2979"/>
      <c r="E97" s="2979"/>
      <c r="F97" s="2979"/>
      <c r="G97" s="2979"/>
      <c r="H97" s="3005"/>
      <c r="I97" s="3005"/>
      <c r="J97" s="3005"/>
      <c r="K97" s="3005"/>
      <c r="L97" s="3005"/>
      <c r="M97" s="3005"/>
      <c r="N97" s="3005"/>
      <c r="O97" s="3005"/>
      <c r="P97" s="3005"/>
      <c r="Q97" s="3005"/>
      <c r="R97" s="3005"/>
      <c r="S97" s="3005"/>
      <c r="T97" s="3006"/>
      <c r="U97" s="3104" t="s">
        <v>1197</v>
      </c>
      <c r="V97" s="2804"/>
      <c r="W97" s="2804"/>
      <c r="X97" s="2804"/>
      <c r="Y97" s="2804"/>
      <c r="Z97" s="2804"/>
      <c r="AA97" s="2804"/>
      <c r="AB97" s="2804"/>
      <c r="AC97" s="2804"/>
      <c r="AD97" s="2804"/>
      <c r="AE97" s="2804"/>
      <c r="AF97" s="3105"/>
      <c r="AG97" s="3089"/>
      <c r="AH97" s="3090"/>
      <c r="AI97" s="2935" t="s">
        <v>1170</v>
      </c>
      <c r="AJ97" s="2935"/>
      <c r="AK97" s="2935"/>
      <c r="AL97" s="2935"/>
      <c r="AM97" s="2935"/>
      <c r="AN97" s="2935"/>
      <c r="AO97" s="2935"/>
      <c r="AP97" s="2935"/>
      <c r="AQ97" s="2935"/>
      <c r="AR97" s="3102"/>
      <c r="AS97" s="3102"/>
      <c r="AT97" s="3102"/>
      <c r="AU97" s="3102"/>
      <c r="AV97" s="3102"/>
      <c r="AW97" s="3102"/>
      <c r="AX97" s="3102"/>
      <c r="AY97" s="3102"/>
      <c r="AZ97" s="3102"/>
      <c r="BA97" s="3102"/>
      <c r="BB97" s="3102"/>
      <c r="BC97" s="3102"/>
      <c r="BD97" s="3102"/>
      <c r="BE97" s="3102"/>
      <c r="BF97" s="3102"/>
      <c r="BG97" s="3102"/>
      <c r="BH97" s="3102"/>
      <c r="BI97" s="3102"/>
      <c r="BJ97" s="2943" t="s">
        <v>1577</v>
      </c>
      <c r="BK97" s="2944"/>
      <c r="BL97" s="2944"/>
      <c r="BM97" s="2944"/>
      <c r="BN97" s="2944"/>
      <c r="BO97" s="2944"/>
      <c r="BP97" s="2945"/>
      <c r="BQ97" s="3069"/>
      <c r="BR97" s="3070"/>
      <c r="BS97" s="3075"/>
      <c r="BT97" s="3076"/>
      <c r="BU97" s="3076"/>
      <c r="BV97" s="3076"/>
      <c r="BW97" s="3076"/>
      <c r="BX97" s="3076"/>
      <c r="BY97" s="3076"/>
      <c r="BZ97" s="3076"/>
      <c r="CA97" s="3076"/>
      <c r="CB97" s="3076"/>
      <c r="CC97" s="3076"/>
      <c r="CD97" s="3076"/>
      <c r="CE97" s="3076"/>
      <c r="CF97" s="3076"/>
      <c r="CG97" s="3076"/>
      <c r="CH97" s="3076"/>
      <c r="CI97" s="3076"/>
      <c r="CJ97" s="3076"/>
      <c r="CK97" s="3076"/>
      <c r="CL97" s="3076"/>
      <c r="CM97" s="3076"/>
      <c r="CN97" s="3076"/>
      <c r="CO97" s="3076"/>
      <c r="CP97" s="3076"/>
      <c r="CQ97" s="3076"/>
      <c r="CR97" s="3076"/>
      <c r="CS97" s="3076"/>
      <c r="CT97" s="3077"/>
      <c r="CU97" s="3037" t="s">
        <v>1306</v>
      </c>
      <c r="CV97" s="3038"/>
      <c r="CW97" s="3038"/>
      <c r="CX97" s="3038"/>
      <c r="CY97" s="3038"/>
      <c r="CZ97" s="3038"/>
      <c r="DA97" s="3038"/>
      <c r="DB97" s="3039"/>
      <c r="DC97" s="3095"/>
      <c r="DD97" s="3096"/>
      <c r="DE97" s="2934" t="s">
        <v>1179</v>
      </c>
      <c r="DF97" s="2935"/>
      <c r="DG97" s="2935"/>
      <c r="DH97" s="2935"/>
      <c r="DI97" s="2935"/>
      <c r="DJ97" s="2936"/>
      <c r="DK97" s="3046"/>
      <c r="DL97" s="3047"/>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row>
    <row r="98" spans="1:138" ht="7.5" customHeight="1">
      <c r="A98" s="44"/>
      <c r="B98" s="2980"/>
      <c r="C98" s="2981"/>
      <c r="D98" s="2981"/>
      <c r="E98" s="2981"/>
      <c r="F98" s="2981"/>
      <c r="G98" s="2981"/>
      <c r="H98" s="3007"/>
      <c r="I98" s="3007"/>
      <c r="J98" s="3007"/>
      <c r="K98" s="3007"/>
      <c r="L98" s="3007"/>
      <c r="M98" s="3007"/>
      <c r="N98" s="3007"/>
      <c r="O98" s="3007"/>
      <c r="P98" s="3007"/>
      <c r="Q98" s="3007"/>
      <c r="R98" s="3007"/>
      <c r="S98" s="3007"/>
      <c r="T98" s="3008"/>
      <c r="U98" s="3106"/>
      <c r="V98" s="2807"/>
      <c r="W98" s="2807"/>
      <c r="X98" s="2807"/>
      <c r="Y98" s="2807"/>
      <c r="Z98" s="2807"/>
      <c r="AA98" s="2807"/>
      <c r="AB98" s="2807"/>
      <c r="AC98" s="2807"/>
      <c r="AD98" s="2807"/>
      <c r="AE98" s="2807"/>
      <c r="AF98" s="3107"/>
      <c r="AG98" s="3091"/>
      <c r="AH98" s="3092"/>
      <c r="AI98" s="2938"/>
      <c r="AJ98" s="2938"/>
      <c r="AK98" s="2938"/>
      <c r="AL98" s="2938"/>
      <c r="AM98" s="2938"/>
      <c r="AN98" s="2938"/>
      <c r="AO98" s="2938"/>
      <c r="AP98" s="2938"/>
      <c r="AQ98" s="2938"/>
      <c r="AR98" s="2794"/>
      <c r="AS98" s="2794"/>
      <c r="AT98" s="2794"/>
      <c r="AU98" s="2794"/>
      <c r="AV98" s="2794"/>
      <c r="AW98" s="2794"/>
      <c r="AX98" s="2794"/>
      <c r="AY98" s="2794"/>
      <c r="AZ98" s="2794"/>
      <c r="BA98" s="2794"/>
      <c r="BB98" s="2794"/>
      <c r="BC98" s="2794"/>
      <c r="BD98" s="2794"/>
      <c r="BE98" s="2794"/>
      <c r="BF98" s="2794"/>
      <c r="BG98" s="2794"/>
      <c r="BH98" s="2794"/>
      <c r="BI98" s="2794"/>
      <c r="BJ98" s="2943"/>
      <c r="BK98" s="2944"/>
      <c r="BL98" s="2944"/>
      <c r="BM98" s="2944"/>
      <c r="BN98" s="2944"/>
      <c r="BO98" s="2944"/>
      <c r="BP98" s="2945"/>
      <c r="BQ98" s="3071"/>
      <c r="BR98" s="3072"/>
      <c r="BS98" s="3078"/>
      <c r="BT98" s="3079"/>
      <c r="BU98" s="3079"/>
      <c r="BV98" s="3079"/>
      <c r="BW98" s="3079"/>
      <c r="BX98" s="3079"/>
      <c r="BY98" s="3079"/>
      <c r="BZ98" s="3079"/>
      <c r="CA98" s="3079"/>
      <c r="CB98" s="3079"/>
      <c r="CC98" s="3079"/>
      <c r="CD98" s="3079"/>
      <c r="CE98" s="3079"/>
      <c r="CF98" s="3079"/>
      <c r="CG98" s="3079"/>
      <c r="CH98" s="3079"/>
      <c r="CI98" s="3079"/>
      <c r="CJ98" s="3079"/>
      <c r="CK98" s="3079"/>
      <c r="CL98" s="3079"/>
      <c r="CM98" s="3079"/>
      <c r="CN98" s="3079"/>
      <c r="CO98" s="3079"/>
      <c r="CP98" s="3079"/>
      <c r="CQ98" s="3079"/>
      <c r="CR98" s="3079"/>
      <c r="CS98" s="3079"/>
      <c r="CT98" s="3080"/>
      <c r="CU98" s="3040"/>
      <c r="CV98" s="3041"/>
      <c r="CW98" s="3041"/>
      <c r="CX98" s="3041"/>
      <c r="CY98" s="3041"/>
      <c r="CZ98" s="3041"/>
      <c r="DA98" s="3041"/>
      <c r="DB98" s="3042"/>
      <c r="DC98" s="3097"/>
      <c r="DD98" s="3098"/>
      <c r="DE98" s="2937"/>
      <c r="DF98" s="2938"/>
      <c r="DG98" s="2938"/>
      <c r="DH98" s="2938"/>
      <c r="DI98" s="2938"/>
      <c r="DJ98" s="2939"/>
      <c r="DK98" s="3048"/>
      <c r="DL98" s="3049"/>
      <c r="DM98" s="126"/>
      <c r="DN98" s="126"/>
      <c r="DO98" s="126"/>
      <c r="DP98" s="126"/>
      <c r="DQ98" s="126"/>
      <c r="DR98" s="126"/>
      <c r="DS98" s="126"/>
      <c r="DT98" s="126"/>
      <c r="DU98" s="126"/>
      <c r="DV98" s="126"/>
      <c r="DW98" s="126"/>
      <c r="DX98" s="126"/>
      <c r="DY98" s="126"/>
      <c r="DZ98" s="126"/>
      <c r="EA98" s="126"/>
      <c r="EB98" s="126"/>
      <c r="EC98" s="126"/>
      <c r="ED98" s="126"/>
      <c r="EE98" s="126"/>
      <c r="EF98" s="126"/>
      <c r="EG98" s="126"/>
    </row>
    <row r="99" spans="1:138" ht="7.5" customHeight="1" thickBot="1">
      <c r="A99" s="44"/>
      <c r="B99" s="2982"/>
      <c r="C99" s="2983"/>
      <c r="D99" s="2983"/>
      <c r="E99" s="2983"/>
      <c r="F99" s="2983"/>
      <c r="G99" s="2983"/>
      <c r="H99" s="3009"/>
      <c r="I99" s="3009"/>
      <c r="J99" s="3009"/>
      <c r="K99" s="3009"/>
      <c r="L99" s="3009"/>
      <c r="M99" s="3009"/>
      <c r="N99" s="3009"/>
      <c r="O99" s="3009"/>
      <c r="P99" s="3009"/>
      <c r="Q99" s="3009"/>
      <c r="R99" s="3009"/>
      <c r="S99" s="3009"/>
      <c r="T99" s="3010"/>
      <c r="U99" s="3108"/>
      <c r="V99" s="3109"/>
      <c r="W99" s="3109"/>
      <c r="X99" s="3109"/>
      <c r="Y99" s="3109"/>
      <c r="Z99" s="3109"/>
      <c r="AA99" s="3109"/>
      <c r="AB99" s="3109"/>
      <c r="AC99" s="3109"/>
      <c r="AD99" s="3109"/>
      <c r="AE99" s="3109"/>
      <c r="AF99" s="3110"/>
      <c r="AG99" s="3093"/>
      <c r="AH99" s="3094"/>
      <c r="AI99" s="3066"/>
      <c r="AJ99" s="3066"/>
      <c r="AK99" s="3066"/>
      <c r="AL99" s="3066"/>
      <c r="AM99" s="3066"/>
      <c r="AN99" s="3066"/>
      <c r="AO99" s="3066"/>
      <c r="AP99" s="3066"/>
      <c r="AQ99" s="3066"/>
      <c r="AR99" s="3103"/>
      <c r="AS99" s="3103"/>
      <c r="AT99" s="3103"/>
      <c r="AU99" s="3103"/>
      <c r="AV99" s="3103"/>
      <c r="AW99" s="3103"/>
      <c r="AX99" s="3103"/>
      <c r="AY99" s="3103"/>
      <c r="AZ99" s="3103"/>
      <c r="BA99" s="3103"/>
      <c r="BB99" s="3103"/>
      <c r="BC99" s="3103"/>
      <c r="BD99" s="3103"/>
      <c r="BE99" s="3103"/>
      <c r="BF99" s="3103"/>
      <c r="BG99" s="3103"/>
      <c r="BH99" s="3103"/>
      <c r="BI99" s="3103"/>
      <c r="BJ99" s="2943"/>
      <c r="BK99" s="2944"/>
      <c r="BL99" s="2944"/>
      <c r="BM99" s="2944"/>
      <c r="BN99" s="2944"/>
      <c r="BO99" s="2944"/>
      <c r="BP99" s="2945"/>
      <c r="BQ99" s="3073"/>
      <c r="BR99" s="3074"/>
      <c r="BS99" s="3078"/>
      <c r="BT99" s="3079"/>
      <c r="BU99" s="3079"/>
      <c r="BV99" s="3079"/>
      <c r="BW99" s="3079"/>
      <c r="BX99" s="3079"/>
      <c r="BY99" s="3079"/>
      <c r="BZ99" s="3079"/>
      <c r="CA99" s="3079"/>
      <c r="CB99" s="3079"/>
      <c r="CC99" s="3079"/>
      <c r="CD99" s="3079"/>
      <c r="CE99" s="3079"/>
      <c r="CF99" s="3079"/>
      <c r="CG99" s="3079"/>
      <c r="CH99" s="3079"/>
      <c r="CI99" s="3079"/>
      <c r="CJ99" s="3079"/>
      <c r="CK99" s="3079"/>
      <c r="CL99" s="3079"/>
      <c r="CM99" s="3079"/>
      <c r="CN99" s="3079"/>
      <c r="CO99" s="3079"/>
      <c r="CP99" s="3079"/>
      <c r="CQ99" s="3079"/>
      <c r="CR99" s="3079"/>
      <c r="CS99" s="3079"/>
      <c r="CT99" s="3080"/>
      <c r="CU99" s="3043"/>
      <c r="CV99" s="3044"/>
      <c r="CW99" s="3044"/>
      <c r="CX99" s="3044"/>
      <c r="CY99" s="3044"/>
      <c r="CZ99" s="3044"/>
      <c r="DA99" s="3044"/>
      <c r="DB99" s="3045"/>
      <c r="DC99" s="3099"/>
      <c r="DD99" s="3100"/>
      <c r="DE99" s="3111"/>
      <c r="DF99" s="3066"/>
      <c r="DG99" s="3066"/>
      <c r="DH99" s="3066"/>
      <c r="DI99" s="3066"/>
      <c r="DJ99" s="3112"/>
      <c r="DK99" s="3050"/>
      <c r="DL99" s="3051"/>
      <c r="DM99" s="126"/>
      <c r="DN99" s="126"/>
      <c r="DO99" s="126"/>
      <c r="DP99" s="126"/>
      <c r="DQ99" s="126"/>
      <c r="DR99" s="126"/>
      <c r="DS99" s="126"/>
      <c r="DT99" s="126"/>
      <c r="DU99" s="126"/>
      <c r="DV99" s="126"/>
      <c r="DW99" s="126"/>
      <c r="DX99" s="126"/>
      <c r="DY99" s="126"/>
      <c r="DZ99" s="126"/>
      <c r="EA99" s="126"/>
      <c r="EB99" s="126"/>
      <c r="EC99" s="126"/>
      <c r="ED99" s="126"/>
      <c r="EE99" s="126"/>
      <c r="EF99" s="126"/>
      <c r="EG99" s="126"/>
    </row>
    <row r="100" spans="1:138" ht="7.5" customHeight="1">
      <c r="A100" s="44"/>
      <c r="B100" s="2505" t="s">
        <v>1478</v>
      </c>
      <c r="C100" s="2374"/>
      <c r="D100" s="2374"/>
      <c r="E100" s="2374"/>
      <c r="F100" s="2374"/>
      <c r="G100" s="2374"/>
      <c r="H100" s="3056"/>
      <c r="I100" s="3056"/>
      <c r="J100" s="3052" t="s">
        <v>1474</v>
      </c>
      <c r="K100" s="3052"/>
      <c r="L100" s="3052"/>
      <c r="M100" s="3052"/>
      <c r="N100" s="3052"/>
      <c r="O100" s="3052"/>
      <c r="P100" s="3052"/>
      <c r="Q100" s="3052"/>
      <c r="R100" s="3052"/>
      <c r="S100" s="3052"/>
      <c r="T100" s="3052"/>
      <c r="U100" s="2788"/>
      <c r="V100" s="2788"/>
      <c r="W100" s="2788"/>
      <c r="X100" s="2788"/>
      <c r="Y100" s="2788"/>
      <c r="Z100" s="2788"/>
      <c r="AA100" s="2788"/>
      <c r="AB100" s="2788"/>
      <c r="AC100" s="2788"/>
      <c r="AD100" s="2788"/>
      <c r="AE100" s="2788"/>
      <c r="AF100" s="2788"/>
      <c r="AG100" s="2788"/>
      <c r="AH100" s="2788"/>
      <c r="AI100" s="3054"/>
      <c r="AJ100" s="3054"/>
      <c r="AK100" s="3054"/>
      <c r="AL100" s="3054"/>
      <c r="AM100" s="3054"/>
      <c r="AN100" s="3054"/>
      <c r="AO100" s="3054"/>
      <c r="AP100" s="3054"/>
      <c r="AQ100" s="3054"/>
      <c r="AR100" s="2457" t="s">
        <v>573</v>
      </c>
      <c r="AS100" s="2457"/>
      <c r="AT100" s="2457"/>
      <c r="AU100" s="2457"/>
      <c r="AV100" s="2457"/>
      <c r="AW100" s="2457"/>
      <c r="AX100" s="2457"/>
      <c r="AY100" s="2457"/>
      <c r="AZ100" s="2457"/>
      <c r="BA100" s="2457"/>
      <c r="BB100" s="2457"/>
      <c r="BC100" s="2457"/>
      <c r="BD100" s="2457"/>
      <c r="BE100" s="2457"/>
      <c r="BF100" s="2457"/>
      <c r="BG100" s="2457"/>
      <c r="BH100" s="2457"/>
      <c r="BI100" s="2457"/>
      <c r="BJ100" s="3115"/>
      <c r="BK100" s="3115"/>
      <c r="BL100" s="3115"/>
      <c r="BM100" s="3115"/>
      <c r="BN100" s="3115"/>
      <c r="BO100" s="3115"/>
      <c r="BP100" s="3115"/>
      <c r="BQ100" s="3115"/>
      <c r="BR100" s="3115"/>
      <c r="BS100" s="3115"/>
      <c r="BT100" s="3115"/>
      <c r="BU100" s="3115"/>
      <c r="BV100" s="3115"/>
      <c r="BW100" s="3115"/>
      <c r="BX100" s="3115"/>
      <c r="BY100" s="3115"/>
      <c r="BZ100" s="2373" t="s">
        <v>1489</v>
      </c>
      <c r="CA100" s="2374"/>
      <c r="CB100" s="2374"/>
      <c r="CC100" s="2374"/>
      <c r="CD100" s="2374"/>
      <c r="CE100" s="2374"/>
      <c r="CF100" s="2374"/>
      <c r="CG100" s="2704"/>
      <c r="CH100" s="2704"/>
      <c r="CI100" s="2704"/>
      <c r="CJ100" s="2704"/>
      <c r="CK100" s="2705"/>
      <c r="CL100" s="657"/>
      <c r="CM100" s="657"/>
      <c r="CN100" s="657"/>
      <c r="CO100" s="657"/>
      <c r="CP100" s="657"/>
      <c r="CQ100" s="657"/>
      <c r="CR100" s="657"/>
      <c r="CS100" s="657"/>
      <c r="CT100" s="658"/>
      <c r="CU100" s="3037" t="s">
        <v>1180</v>
      </c>
      <c r="CV100" s="3038"/>
      <c r="CW100" s="3038"/>
      <c r="CX100" s="3038"/>
      <c r="CY100" s="3038"/>
      <c r="CZ100" s="3038"/>
      <c r="DA100" s="3038"/>
      <c r="DB100" s="3039"/>
      <c r="DC100" s="3095"/>
      <c r="DD100" s="3096"/>
      <c r="DE100" s="3117"/>
      <c r="DF100" s="3118"/>
      <c r="DG100" s="3118"/>
      <c r="DH100" s="3118"/>
      <c r="DI100" s="3118"/>
      <c r="DJ100" s="3118"/>
      <c r="DK100" s="3118"/>
      <c r="DL100" s="3118"/>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row>
    <row r="101" spans="1:138" ht="7.5" customHeight="1">
      <c r="A101" s="44"/>
      <c r="B101" s="2505"/>
      <c r="C101" s="2374"/>
      <c r="D101" s="2374"/>
      <c r="E101" s="2374"/>
      <c r="F101" s="2374"/>
      <c r="G101" s="2374"/>
      <c r="H101" s="3056"/>
      <c r="I101" s="3056"/>
      <c r="J101" s="2374"/>
      <c r="K101" s="2374"/>
      <c r="L101" s="2374"/>
      <c r="M101" s="2374"/>
      <c r="N101" s="2374"/>
      <c r="O101" s="2374"/>
      <c r="P101" s="2374"/>
      <c r="Q101" s="2374"/>
      <c r="R101" s="2374"/>
      <c r="S101" s="2374"/>
      <c r="T101" s="2374"/>
      <c r="U101" s="2788"/>
      <c r="V101" s="2788"/>
      <c r="W101" s="2788"/>
      <c r="X101" s="2788"/>
      <c r="Y101" s="2788"/>
      <c r="Z101" s="2788"/>
      <c r="AA101" s="2788"/>
      <c r="AB101" s="2788"/>
      <c r="AC101" s="2788"/>
      <c r="AD101" s="2788"/>
      <c r="AE101" s="2788"/>
      <c r="AF101" s="2788"/>
      <c r="AG101" s="2788"/>
      <c r="AH101" s="2788"/>
      <c r="AI101" s="2788"/>
      <c r="AJ101" s="2788"/>
      <c r="AK101" s="2788"/>
      <c r="AL101" s="2788"/>
      <c r="AM101" s="2788"/>
      <c r="AN101" s="2788"/>
      <c r="AO101" s="2788"/>
      <c r="AP101" s="2788"/>
      <c r="AQ101" s="2788"/>
      <c r="AR101" s="2374"/>
      <c r="AS101" s="2374"/>
      <c r="AT101" s="2374"/>
      <c r="AU101" s="2374"/>
      <c r="AV101" s="2374"/>
      <c r="AW101" s="2374"/>
      <c r="AX101" s="2374"/>
      <c r="AY101" s="2374"/>
      <c r="AZ101" s="2374"/>
      <c r="BA101" s="2374"/>
      <c r="BB101" s="2374"/>
      <c r="BC101" s="2374"/>
      <c r="BD101" s="2374"/>
      <c r="BE101" s="2374"/>
      <c r="BF101" s="2374"/>
      <c r="BG101" s="2374"/>
      <c r="BH101" s="2374"/>
      <c r="BI101" s="2374"/>
      <c r="BJ101" s="3115"/>
      <c r="BK101" s="3115"/>
      <c r="BL101" s="3115"/>
      <c r="BM101" s="3115"/>
      <c r="BN101" s="3115"/>
      <c r="BO101" s="3115"/>
      <c r="BP101" s="3115"/>
      <c r="BQ101" s="3115"/>
      <c r="BR101" s="3115"/>
      <c r="BS101" s="3115"/>
      <c r="BT101" s="3115"/>
      <c r="BU101" s="3115"/>
      <c r="BV101" s="3115"/>
      <c r="BW101" s="3115"/>
      <c r="BX101" s="3115"/>
      <c r="BY101" s="3115"/>
      <c r="BZ101" s="2373"/>
      <c r="CA101" s="2374"/>
      <c r="CB101" s="2374"/>
      <c r="CC101" s="2374"/>
      <c r="CD101" s="2374"/>
      <c r="CE101" s="2374"/>
      <c r="CF101" s="2374"/>
      <c r="CG101" s="2704"/>
      <c r="CH101" s="2704"/>
      <c r="CI101" s="2704"/>
      <c r="CJ101" s="2704"/>
      <c r="CK101" s="2705"/>
      <c r="CL101" s="657"/>
      <c r="CM101" s="657"/>
      <c r="CN101" s="657"/>
      <c r="CO101" s="657"/>
      <c r="CP101" s="657"/>
      <c r="CQ101" s="657"/>
      <c r="CR101" s="657"/>
      <c r="CS101" s="657"/>
      <c r="CT101" s="658"/>
      <c r="CU101" s="3040"/>
      <c r="CV101" s="3041"/>
      <c r="CW101" s="3041"/>
      <c r="CX101" s="3041"/>
      <c r="CY101" s="3041"/>
      <c r="CZ101" s="3041"/>
      <c r="DA101" s="3041"/>
      <c r="DB101" s="3042"/>
      <c r="DC101" s="3097"/>
      <c r="DD101" s="3098"/>
      <c r="DE101" s="3119"/>
      <c r="DF101" s="3120"/>
      <c r="DG101" s="3120"/>
      <c r="DH101" s="3120"/>
      <c r="DI101" s="3120"/>
      <c r="DJ101" s="3120"/>
      <c r="DK101" s="3120"/>
      <c r="DL101" s="3120"/>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row>
    <row r="102" spans="1:138" ht="7.5" customHeight="1" thickBot="1">
      <c r="A102" s="44"/>
      <c r="B102" s="2505"/>
      <c r="C102" s="2374"/>
      <c r="D102" s="2374"/>
      <c r="E102" s="2374"/>
      <c r="F102" s="2374"/>
      <c r="G102" s="2374"/>
      <c r="H102" s="3056"/>
      <c r="I102" s="3056"/>
      <c r="J102" s="3053"/>
      <c r="K102" s="3053"/>
      <c r="L102" s="3053"/>
      <c r="M102" s="3053"/>
      <c r="N102" s="3053"/>
      <c r="O102" s="3053"/>
      <c r="P102" s="3053"/>
      <c r="Q102" s="3053"/>
      <c r="R102" s="3053"/>
      <c r="S102" s="3053"/>
      <c r="T102" s="3053"/>
      <c r="U102" s="3055"/>
      <c r="V102" s="3055"/>
      <c r="W102" s="3055"/>
      <c r="X102" s="3055"/>
      <c r="Y102" s="3055"/>
      <c r="Z102" s="3055"/>
      <c r="AA102" s="3055"/>
      <c r="AB102" s="3055"/>
      <c r="AC102" s="3055"/>
      <c r="AD102" s="3055"/>
      <c r="AE102" s="3055"/>
      <c r="AF102" s="3055"/>
      <c r="AG102" s="3055"/>
      <c r="AH102" s="3055"/>
      <c r="AI102" s="3055"/>
      <c r="AJ102" s="3055"/>
      <c r="AK102" s="3055"/>
      <c r="AL102" s="3055"/>
      <c r="AM102" s="3055"/>
      <c r="AN102" s="3055"/>
      <c r="AO102" s="3055"/>
      <c r="AP102" s="3055"/>
      <c r="AQ102" s="3055"/>
      <c r="AR102" s="2447"/>
      <c r="AS102" s="2447"/>
      <c r="AT102" s="2447"/>
      <c r="AU102" s="2447"/>
      <c r="AV102" s="2447"/>
      <c r="AW102" s="2447"/>
      <c r="AX102" s="2447"/>
      <c r="AY102" s="2447"/>
      <c r="AZ102" s="2447"/>
      <c r="BA102" s="2447"/>
      <c r="BB102" s="2447"/>
      <c r="BC102" s="2447"/>
      <c r="BD102" s="2447"/>
      <c r="BE102" s="2447"/>
      <c r="BF102" s="2447"/>
      <c r="BG102" s="2447"/>
      <c r="BH102" s="2447"/>
      <c r="BI102" s="2447"/>
      <c r="BJ102" s="3116"/>
      <c r="BK102" s="3116"/>
      <c r="BL102" s="3116"/>
      <c r="BM102" s="3116"/>
      <c r="BN102" s="3116"/>
      <c r="BO102" s="3116"/>
      <c r="BP102" s="3116"/>
      <c r="BQ102" s="3116"/>
      <c r="BR102" s="3116"/>
      <c r="BS102" s="3116"/>
      <c r="BT102" s="3116"/>
      <c r="BU102" s="3116"/>
      <c r="BV102" s="3116"/>
      <c r="BW102" s="3116"/>
      <c r="BX102" s="3116"/>
      <c r="BY102" s="3116"/>
      <c r="BZ102" s="2446"/>
      <c r="CA102" s="2447"/>
      <c r="CB102" s="2447"/>
      <c r="CC102" s="2447"/>
      <c r="CD102" s="2447"/>
      <c r="CE102" s="2447"/>
      <c r="CF102" s="2447"/>
      <c r="CG102" s="3113"/>
      <c r="CH102" s="3113"/>
      <c r="CI102" s="3113"/>
      <c r="CJ102" s="3113"/>
      <c r="CK102" s="3114"/>
      <c r="CL102" s="657"/>
      <c r="CM102" s="657"/>
      <c r="CN102" s="657"/>
      <c r="CO102" s="657"/>
      <c r="CP102" s="657"/>
      <c r="CQ102" s="657"/>
      <c r="CR102" s="657"/>
      <c r="CS102" s="657"/>
      <c r="CT102" s="658"/>
      <c r="CU102" s="3043"/>
      <c r="CV102" s="3044"/>
      <c r="CW102" s="3044"/>
      <c r="CX102" s="3044"/>
      <c r="CY102" s="3044"/>
      <c r="CZ102" s="3044"/>
      <c r="DA102" s="3044"/>
      <c r="DB102" s="3045"/>
      <c r="DC102" s="3099"/>
      <c r="DD102" s="3100"/>
      <c r="DE102" s="3119"/>
      <c r="DF102" s="3120"/>
      <c r="DG102" s="3120"/>
      <c r="DH102" s="3120"/>
      <c r="DI102" s="3120"/>
      <c r="DJ102" s="3120"/>
      <c r="DK102" s="3120"/>
      <c r="DL102" s="3120"/>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row>
    <row r="103" spans="1:138" ht="7.5" customHeight="1">
      <c r="A103" s="44"/>
      <c r="B103" s="2576" t="s">
        <v>1397</v>
      </c>
      <c r="C103" s="2577"/>
      <c r="D103" s="2577"/>
      <c r="E103" s="2577"/>
      <c r="F103" s="2577"/>
      <c r="G103" s="2577"/>
      <c r="H103" s="2577"/>
      <c r="I103" s="2577"/>
      <c r="J103" s="2578"/>
      <c r="K103" s="2578"/>
      <c r="L103" s="2578"/>
      <c r="M103" s="2578"/>
      <c r="N103" s="2578"/>
      <c r="O103" s="2460"/>
      <c r="P103" s="2460"/>
      <c r="Q103" s="2460"/>
      <c r="R103" s="2460"/>
      <c r="S103" s="2460"/>
      <c r="T103" s="2460"/>
      <c r="U103" s="2460"/>
      <c r="V103" s="2460"/>
      <c r="W103" s="2460"/>
      <c r="X103" s="2460"/>
      <c r="Y103" s="2460"/>
      <c r="Z103" s="2460"/>
      <c r="AA103" s="2460"/>
      <c r="AB103" s="2460"/>
      <c r="AC103" s="2583" t="s">
        <v>1398</v>
      </c>
      <c r="AD103" s="2583"/>
      <c r="AE103" s="2583"/>
      <c r="AF103" s="2583"/>
      <c r="AG103" s="2583"/>
      <c r="AH103" s="2583"/>
      <c r="AI103" s="2583"/>
      <c r="AJ103" s="2583"/>
      <c r="AK103" s="2583"/>
      <c r="AL103" s="2583"/>
      <c r="AM103" s="2583"/>
      <c r="AN103" s="2583"/>
      <c r="AO103" s="2583"/>
      <c r="AP103" s="2583"/>
      <c r="AQ103" s="2583"/>
      <c r="AR103" s="2585"/>
      <c r="AS103" s="2585"/>
      <c r="AT103" s="2585"/>
      <c r="AU103" s="2585"/>
      <c r="AV103" s="2585"/>
      <c r="AW103" s="2585"/>
      <c r="AX103" s="2585"/>
      <c r="AY103" s="2585"/>
      <c r="AZ103" s="2585"/>
      <c r="BA103" s="2585"/>
      <c r="BB103" s="2585"/>
      <c r="BC103" s="2585"/>
      <c r="BD103" s="2585"/>
      <c r="BE103" s="2585"/>
      <c r="BF103" s="2585"/>
      <c r="BG103" s="2585"/>
      <c r="BH103" s="2585"/>
      <c r="BI103" s="2585"/>
      <c r="BJ103" s="2585"/>
      <c r="BK103" s="2585"/>
      <c r="BL103" s="2585"/>
      <c r="BM103" s="2585"/>
      <c r="BN103" s="2585"/>
      <c r="BO103" s="2585"/>
      <c r="BP103" s="2585"/>
      <c r="BQ103" s="2585"/>
      <c r="BR103" s="2585"/>
      <c r="BS103" s="2585"/>
      <c r="BT103" s="2585"/>
      <c r="BU103" s="2585"/>
      <c r="BV103" s="2588" t="s">
        <v>1399</v>
      </c>
      <c r="BW103" s="2588"/>
      <c r="BX103" s="2588"/>
      <c r="BY103" s="2588"/>
      <c r="BZ103" s="2588"/>
      <c r="CA103" s="2588"/>
      <c r="CB103" s="2588"/>
      <c r="CC103" s="2588"/>
      <c r="CD103" s="2588"/>
      <c r="CE103" s="2588"/>
      <c r="CF103" s="2588"/>
      <c r="CG103" s="2588"/>
      <c r="CH103" s="2588"/>
      <c r="CI103" s="2616"/>
      <c r="CJ103" s="2586"/>
      <c r="CK103" s="2586"/>
      <c r="CL103" s="2586"/>
      <c r="CM103" s="2586"/>
      <c r="CN103" s="2586"/>
      <c r="CO103" s="2586"/>
      <c r="CP103" s="2586"/>
      <c r="CQ103" s="2586"/>
      <c r="CR103" s="2586"/>
      <c r="CS103" s="2586"/>
      <c r="CT103" s="2586"/>
      <c r="CU103" s="2586"/>
      <c r="CV103" s="2586"/>
      <c r="CW103" s="2586"/>
      <c r="CX103" s="2586"/>
      <c r="CY103" s="2586"/>
      <c r="CZ103" s="2586"/>
      <c r="DA103" s="2586"/>
      <c r="DB103" s="2586"/>
      <c r="DC103" s="2586"/>
      <c r="DD103" s="2586"/>
      <c r="DE103" s="2586"/>
      <c r="DF103" s="2586"/>
      <c r="DG103" s="2586"/>
      <c r="DH103" s="2586"/>
      <c r="DI103" s="2586"/>
      <c r="DJ103" s="2586"/>
      <c r="DK103" s="2586"/>
      <c r="DL103" s="258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row>
    <row r="104" spans="1:138" ht="7.5" customHeight="1">
      <c r="A104" s="44"/>
      <c r="B104" s="2579"/>
      <c r="C104" s="2578"/>
      <c r="D104" s="2578"/>
      <c r="E104" s="2578"/>
      <c r="F104" s="2578"/>
      <c r="G104" s="2578"/>
      <c r="H104" s="2578"/>
      <c r="I104" s="2578"/>
      <c r="J104" s="2578"/>
      <c r="K104" s="2578"/>
      <c r="L104" s="2578"/>
      <c r="M104" s="2578"/>
      <c r="N104" s="2578"/>
      <c r="O104" s="2460"/>
      <c r="P104" s="2460"/>
      <c r="Q104" s="2460"/>
      <c r="R104" s="2460"/>
      <c r="S104" s="2460"/>
      <c r="T104" s="2460"/>
      <c r="U104" s="2460"/>
      <c r="V104" s="2460"/>
      <c r="W104" s="2460"/>
      <c r="X104" s="2460"/>
      <c r="Y104" s="2460"/>
      <c r="Z104" s="2460"/>
      <c r="AA104" s="2460"/>
      <c r="AB104" s="2460"/>
      <c r="AC104" s="2583"/>
      <c r="AD104" s="2583"/>
      <c r="AE104" s="2583"/>
      <c r="AF104" s="2583"/>
      <c r="AG104" s="2583"/>
      <c r="AH104" s="2583"/>
      <c r="AI104" s="2583"/>
      <c r="AJ104" s="2583"/>
      <c r="AK104" s="2583"/>
      <c r="AL104" s="2583"/>
      <c r="AM104" s="2583"/>
      <c r="AN104" s="2583"/>
      <c r="AO104" s="2583"/>
      <c r="AP104" s="2583"/>
      <c r="AQ104" s="2583"/>
      <c r="AR104" s="2586"/>
      <c r="AS104" s="2586"/>
      <c r="AT104" s="2586"/>
      <c r="AU104" s="2586"/>
      <c r="AV104" s="2586"/>
      <c r="AW104" s="2586"/>
      <c r="AX104" s="2586"/>
      <c r="AY104" s="2586"/>
      <c r="AZ104" s="2586"/>
      <c r="BA104" s="2586"/>
      <c r="BB104" s="2586"/>
      <c r="BC104" s="2586"/>
      <c r="BD104" s="2586"/>
      <c r="BE104" s="2586"/>
      <c r="BF104" s="2586"/>
      <c r="BG104" s="2586"/>
      <c r="BH104" s="2586"/>
      <c r="BI104" s="2586"/>
      <c r="BJ104" s="2586"/>
      <c r="BK104" s="2586"/>
      <c r="BL104" s="2586"/>
      <c r="BM104" s="2586"/>
      <c r="BN104" s="2586"/>
      <c r="BO104" s="2586"/>
      <c r="BP104" s="2586"/>
      <c r="BQ104" s="2586"/>
      <c r="BR104" s="2586"/>
      <c r="BS104" s="2586"/>
      <c r="BT104" s="2586"/>
      <c r="BU104" s="2586"/>
      <c r="BV104" s="2583"/>
      <c r="BW104" s="2583"/>
      <c r="BX104" s="2583"/>
      <c r="BY104" s="2583"/>
      <c r="BZ104" s="2583"/>
      <c r="CA104" s="2583"/>
      <c r="CB104" s="2583"/>
      <c r="CC104" s="2583"/>
      <c r="CD104" s="2583"/>
      <c r="CE104" s="2583"/>
      <c r="CF104" s="2583"/>
      <c r="CG104" s="2583"/>
      <c r="CH104" s="2583"/>
      <c r="CI104" s="2586"/>
      <c r="CJ104" s="2586"/>
      <c r="CK104" s="2586"/>
      <c r="CL104" s="2586"/>
      <c r="CM104" s="2586"/>
      <c r="CN104" s="2586"/>
      <c r="CO104" s="2586"/>
      <c r="CP104" s="2586"/>
      <c r="CQ104" s="2586"/>
      <c r="CR104" s="2586"/>
      <c r="CS104" s="2586"/>
      <c r="CT104" s="2586"/>
      <c r="CU104" s="2586"/>
      <c r="CV104" s="2586"/>
      <c r="CW104" s="2586"/>
      <c r="CX104" s="2586"/>
      <c r="CY104" s="2586"/>
      <c r="CZ104" s="2586"/>
      <c r="DA104" s="2586"/>
      <c r="DB104" s="2586"/>
      <c r="DC104" s="2586"/>
      <c r="DD104" s="2586"/>
      <c r="DE104" s="2586"/>
      <c r="DF104" s="2586"/>
      <c r="DG104" s="2586"/>
      <c r="DH104" s="2586"/>
      <c r="DI104" s="2586"/>
      <c r="DJ104" s="2586"/>
      <c r="DK104" s="2586"/>
      <c r="DL104" s="258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row>
    <row r="105" spans="1:138" ht="7.5" customHeight="1" thickBot="1">
      <c r="A105" s="44"/>
      <c r="B105" s="2580"/>
      <c r="C105" s="2581"/>
      <c r="D105" s="2581"/>
      <c r="E105" s="2581"/>
      <c r="F105" s="2581"/>
      <c r="G105" s="2581"/>
      <c r="H105" s="2581"/>
      <c r="I105" s="2581"/>
      <c r="J105" s="2581"/>
      <c r="K105" s="2581"/>
      <c r="L105" s="2581"/>
      <c r="M105" s="2581"/>
      <c r="N105" s="2581"/>
      <c r="O105" s="2582"/>
      <c r="P105" s="2582"/>
      <c r="Q105" s="2582"/>
      <c r="R105" s="2582"/>
      <c r="S105" s="2582"/>
      <c r="T105" s="2582"/>
      <c r="U105" s="2582"/>
      <c r="V105" s="2582"/>
      <c r="W105" s="2582"/>
      <c r="X105" s="2582"/>
      <c r="Y105" s="2582"/>
      <c r="Z105" s="2582"/>
      <c r="AA105" s="2582"/>
      <c r="AB105" s="2582"/>
      <c r="AC105" s="2584"/>
      <c r="AD105" s="2584"/>
      <c r="AE105" s="2584"/>
      <c r="AF105" s="2584"/>
      <c r="AG105" s="2584"/>
      <c r="AH105" s="2584"/>
      <c r="AI105" s="2584"/>
      <c r="AJ105" s="2584"/>
      <c r="AK105" s="2584"/>
      <c r="AL105" s="2584"/>
      <c r="AM105" s="2584"/>
      <c r="AN105" s="2584"/>
      <c r="AO105" s="2584"/>
      <c r="AP105" s="2584"/>
      <c r="AQ105" s="2584"/>
      <c r="AR105" s="2587"/>
      <c r="AS105" s="2587"/>
      <c r="AT105" s="2587"/>
      <c r="AU105" s="2587"/>
      <c r="AV105" s="2587"/>
      <c r="AW105" s="2587"/>
      <c r="AX105" s="2587"/>
      <c r="AY105" s="2587"/>
      <c r="AZ105" s="2587"/>
      <c r="BA105" s="2587"/>
      <c r="BB105" s="2587"/>
      <c r="BC105" s="2587"/>
      <c r="BD105" s="2587"/>
      <c r="BE105" s="2587"/>
      <c r="BF105" s="2587"/>
      <c r="BG105" s="2587"/>
      <c r="BH105" s="2587"/>
      <c r="BI105" s="2587"/>
      <c r="BJ105" s="2587"/>
      <c r="BK105" s="2587"/>
      <c r="BL105" s="2587"/>
      <c r="BM105" s="2587"/>
      <c r="BN105" s="2587"/>
      <c r="BO105" s="2587"/>
      <c r="BP105" s="2587"/>
      <c r="BQ105" s="2587"/>
      <c r="BR105" s="2587"/>
      <c r="BS105" s="2587"/>
      <c r="BT105" s="2587"/>
      <c r="BU105" s="2587"/>
      <c r="BV105" s="2584"/>
      <c r="BW105" s="2584"/>
      <c r="BX105" s="2584"/>
      <c r="BY105" s="2584"/>
      <c r="BZ105" s="2584"/>
      <c r="CA105" s="2584"/>
      <c r="CB105" s="2584"/>
      <c r="CC105" s="2584"/>
      <c r="CD105" s="2584"/>
      <c r="CE105" s="2584"/>
      <c r="CF105" s="2584"/>
      <c r="CG105" s="2584"/>
      <c r="CH105" s="2584"/>
      <c r="CI105" s="2586"/>
      <c r="CJ105" s="2586"/>
      <c r="CK105" s="2586"/>
      <c r="CL105" s="2586"/>
      <c r="CM105" s="2586"/>
      <c r="CN105" s="2586"/>
      <c r="CO105" s="2586"/>
      <c r="CP105" s="2586"/>
      <c r="CQ105" s="2586"/>
      <c r="CR105" s="2586"/>
      <c r="CS105" s="2586"/>
      <c r="CT105" s="2586"/>
      <c r="CU105" s="2586"/>
      <c r="CV105" s="2586"/>
      <c r="CW105" s="2586"/>
      <c r="CX105" s="2586"/>
      <c r="CY105" s="2586"/>
      <c r="CZ105" s="2586"/>
      <c r="DA105" s="2586"/>
      <c r="DB105" s="2586"/>
      <c r="DC105" s="2586"/>
      <c r="DD105" s="2586"/>
      <c r="DE105" s="2586"/>
      <c r="DF105" s="2586"/>
      <c r="DG105" s="2586"/>
      <c r="DH105" s="2586"/>
      <c r="DI105" s="2586"/>
      <c r="DJ105" s="2586"/>
      <c r="DK105" s="2586"/>
      <c r="DL105" s="258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row>
    <row r="106" spans="1:138" ht="7.5" customHeight="1">
      <c r="A106" s="44"/>
      <c r="B106" s="2589" t="s">
        <v>1189</v>
      </c>
      <c r="C106" s="2590"/>
      <c r="D106" s="2590"/>
      <c r="E106" s="2590"/>
      <c r="F106" s="2590"/>
      <c r="G106" s="2590"/>
      <c r="H106" s="2590"/>
      <c r="I106" s="2590"/>
      <c r="J106" s="2590"/>
      <c r="K106" s="2590"/>
      <c r="L106" s="2590"/>
      <c r="M106" s="2590"/>
      <c r="N106" s="2590"/>
      <c r="O106" s="2590"/>
      <c r="P106" s="2590"/>
      <c r="Q106" s="2590"/>
      <c r="R106" s="2590"/>
      <c r="S106" s="2590"/>
      <c r="T106" s="2590"/>
      <c r="U106" s="2590"/>
      <c r="V106" s="2590"/>
      <c r="W106" s="2590"/>
      <c r="X106" s="2590"/>
      <c r="Y106" s="2590"/>
      <c r="Z106" s="2590"/>
      <c r="AA106" s="2590"/>
      <c r="AB106" s="2590"/>
      <c r="AC106" s="2590"/>
      <c r="AD106" s="2590"/>
      <c r="AE106" s="2590"/>
      <c r="AF106" s="2590"/>
      <c r="AG106" s="2590"/>
      <c r="AH106" s="2590"/>
      <c r="AI106" s="2590"/>
      <c r="AJ106" s="2590"/>
      <c r="AK106" s="2590"/>
      <c r="AL106" s="2590"/>
      <c r="AM106" s="2591"/>
      <c r="AN106" s="2598" t="s">
        <v>574</v>
      </c>
      <c r="AO106" s="2599"/>
      <c r="AP106" s="2599"/>
      <c r="AQ106" s="2599"/>
      <c r="AR106" s="2599"/>
      <c r="AS106" s="2599"/>
      <c r="AT106" s="2599"/>
      <c r="AU106" s="2599"/>
      <c r="AV106" s="2599"/>
      <c r="AW106" s="2599"/>
      <c r="AX106" s="2599"/>
      <c r="AY106" s="2599"/>
      <c r="AZ106" s="2599"/>
      <c r="BA106" s="2599"/>
      <c r="BB106" s="2599"/>
      <c r="BC106" s="2599"/>
      <c r="BD106" s="2599"/>
      <c r="BE106" s="2599"/>
      <c r="BF106" s="2599"/>
      <c r="BG106" s="2599"/>
      <c r="BH106" s="2599"/>
      <c r="BI106" s="2599"/>
      <c r="BJ106" s="2599"/>
      <c r="BK106" s="2599"/>
      <c r="BL106" s="2599"/>
      <c r="BM106" s="2599"/>
      <c r="BN106" s="2599"/>
      <c r="BO106" s="2599"/>
      <c r="BP106" s="2599"/>
      <c r="BQ106" s="2599"/>
      <c r="BR106" s="2599"/>
      <c r="BS106" s="2599"/>
      <c r="BT106" s="2599"/>
      <c r="BU106" s="2599"/>
      <c r="BV106" s="2599"/>
      <c r="BW106" s="2599"/>
      <c r="BX106" s="2599"/>
      <c r="BY106" s="2599"/>
      <c r="BZ106" s="2599"/>
      <c r="CA106" s="2599"/>
      <c r="CB106" s="2599"/>
      <c r="CC106" s="2599"/>
      <c r="CD106" s="2599"/>
      <c r="CE106" s="2599"/>
      <c r="CF106" s="2599"/>
      <c r="CG106" s="2599"/>
      <c r="CH106" s="2599"/>
      <c r="CI106" s="2599"/>
      <c r="CJ106" s="2599"/>
      <c r="CK106" s="2599"/>
      <c r="CL106" s="2599"/>
      <c r="CM106" s="2599"/>
      <c r="CN106" s="2599"/>
      <c r="CO106" s="2599"/>
      <c r="CP106" s="2599"/>
      <c r="CQ106" s="2599"/>
      <c r="CR106" s="2599"/>
      <c r="CS106" s="2599"/>
      <c r="CT106" s="2599"/>
      <c r="CU106" s="2599"/>
      <c r="CV106" s="2599"/>
      <c r="CW106" s="2599"/>
      <c r="CX106" s="2599"/>
      <c r="CY106" s="2599"/>
      <c r="CZ106" s="2599"/>
      <c r="DA106" s="2599"/>
      <c r="DB106" s="2599"/>
      <c r="DC106" s="2599"/>
      <c r="DD106" s="2599"/>
      <c r="DE106" s="2599"/>
      <c r="DF106" s="2600"/>
      <c r="DG106" s="2617"/>
      <c r="DH106" s="2617"/>
      <c r="DI106" s="2617"/>
      <c r="DJ106" s="2617"/>
      <c r="DK106" s="2617"/>
      <c r="DL106" s="2618"/>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row>
    <row r="107" spans="1:138" ht="7.5" customHeight="1">
      <c r="A107" s="44"/>
      <c r="B107" s="2592"/>
      <c r="C107" s="2593"/>
      <c r="D107" s="2593"/>
      <c r="E107" s="2593"/>
      <c r="F107" s="2593"/>
      <c r="G107" s="2593"/>
      <c r="H107" s="2593"/>
      <c r="I107" s="2593"/>
      <c r="J107" s="2593"/>
      <c r="K107" s="2593"/>
      <c r="L107" s="2593"/>
      <c r="M107" s="2593"/>
      <c r="N107" s="2593"/>
      <c r="O107" s="2593"/>
      <c r="P107" s="2593"/>
      <c r="Q107" s="2593"/>
      <c r="R107" s="2593"/>
      <c r="S107" s="2593"/>
      <c r="T107" s="2593"/>
      <c r="U107" s="2593"/>
      <c r="V107" s="2593"/>
      <c r="W107" s="2593"/>
      <c r="X107" s="2593"/>
      <c r="Y107" s="2593"/>
      <c r="Z107" s="2593"/>
      <c r="AA107" s="2593"/>
      <c r="AB107" s="2593"/>
      <c r="AC107" s="2593"/>
      <c r="AD107" s="2593"/>
      <c r="AE107" s="2593"/>
      <c r="AF107" s="2593"/>
      <c r="AG107" s="2593"/>
      <c r="AH107" s="2593"/>
      <c r="AI107" s="2593"/>
      <c r="AJ107" s="2593"/>
      <c r="AK107" s="2593"/>
      <c r="AL107" s="2593"/>
      <c r="AM107" s="2594"/>
      <c r="AN107" s="2601"/>
      <c r="AO107" s="2602"/>
      <c r="AP107" s="2602"/>
      <c r="AQ107" s="2602"/>
      <c r="AR107" s="2602"/>
      <c r="AS107" s="2602"/>
      <c r="AT107" s="2602"/>
      <c r="AU107" s="2602"/>
      <c r="AV107" s="2602"/>
      <c r="AW107" s="2602"/>
      <c r="AX107" s="2602"/>
      <c r="AY107" s="2602"/>
      <c r="AZ107" s="2602"/>
      <c r="BA107" s="2602"/>
      <c r="BB107" s="2602"/>
      <c r="BC107" s="2602"/>
      <c r="BD107" s="2602"/>
      <c r="BE107" s="2602"/>
      <c r="BF107" s="2602"/>
      <c r="BG107" s="2602"/>
      <c r="BH107" s="2602"/>
      <c r="BI107" s="2602"/>
      <c r="BJ107" s="2602"/>
      <c r="BK107" s="2602"/>
      <c r="BL107" s="2602"/>
      <c r="BM107" s="2602"/>
      <c r="BN107" s="2602"/>
      <c r="BO107" s="2602"/>
      <c r="BP107" s="2602"/>
      <c r="BQ107" s="2602"/>
      <c r="BR107" s="2602"/>
      <c r="BS107" s="2602"/>
      <c r="BT107" s="2602"/>
      <c r="BU107" s="2602"/>
      <c r="BV107" s="2602"/>
      <c r="BW107" s="2602"/>
      <c r="BX107" s="2602"/>
      <c r="BY107" s="2602"/>
      <c r="BZ107" s="2602"/>
      <c r="CA107" s="2602"/>
      <c r="CB107" s="2602"/>
      <c r="CC107" s="2602"/>
      <c r="CD107" s="2602"/>
      <c r="CE107" s="2602"/>
      <c r="CF107" s="2602"/>
      <c r="CG107" s="2602"/>
      <c r="CH107" s="2602"/>
      <c r="CI107" s="2602"/>
      <c r="CJ107" s="2602"/>
      <c r="CK107" s="2602"/>
      <c r="CL107" s="2602"/>
      <c r="CM107" s="2602"/>
      <c r="CN107" s="2602"/>
      <c r="CO107" s="2602"/>
      <c r="CP107" s="2602"/>
      <c r="CQ107" s="2602"/>
      <c r="CR107" s="2602"/>
      <c r="CS107" s="2602"/>
      <c r="CT107" s="2602"/>
      <c r="CU107" s="2602"/>
      <c r="CV107" s="2602"/>
      <c r="CW107" s="2602"/>
      <c r="CX107" s="2602"/>
      <c r="CY107" s="2602"/>
      <c r="CZ107" s="2602"/>
      <c r="DA107" s="2602"/>
      <c r="DB107" s="2602"/>
      <c r="DC107" s="2602"/>
      <c r="DD107" s="2602"/>
      <c r="DE107" s="2602"/>
      <c r="DF107" s="2603"/>
      <c r="DG107" s="2617"/>
      <c r="DH107" s="2617"/>
      <c r="DI107" s="2617"/>
      <c r="DJ107" s="2617"/>
      <c r="DK107" s="2617"/>
      <c r="DL107" s="2618"/>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row>
    <row r="108" spans="1:138" ht="7.5" customHeight="1" thickBot="1">
      <c r="A108" s="44"/>
      <c r="B108" s="2595"/>
      <c r="C108" s="2596"/>
      <c r="D108" s="2596"/>
      <c r="E108" s="2596"/>
      <c r="F108" s="2596"/>
      <c r="G108" s="2596"/>
      <c r="H108" s="2596"/>
      <c r="I108" s="2596"/>
      <c r="J108" s="2596"/>
      <c r="K108" s="2596"/>
      <c r="L108" s="2596"/>
      <c r="M108" s="2596"/>
      <c r="N108" s="2596"/>
      <c r="O108" s="2596"/>
      <c r="P108" s="2596"/>
      <c r="Q108" s="2596"/>
      <c r="R108" s="2596"/>
      <c r="S108" s="2596"/>
      <c r="T108" s="2596"/>
      <c r="U108" s="2596"/>
      <c r="V108" s="2596"/>
      <c r="W108" s="2596"/>
      <c r="X108" s="2596"/>
      <c r="Y108" s="2596"/>
      <c r="Z108" s="2596"/>
      <c r="AA108" s="2596"/>
      <c r="AB108" s="2596"/>
      <c r="AC108" s="2596"/>
      <c r="AD108" s="2596"/>
      <c r="AE108" s="2596"/>
      <c r="AF108" s="2596"/>
      <c r="AG108" s="2596"/>
      <c r="AH108" s="2596"/>
      <c r="AI108" s="2596"/>
      <c r="AJ108" s="2596"/>
      <c r="AK108" s="2596"/>
      <c r="AL108" s="2596"/>
      <c r="AM108" s="2597"/>
      <c r="AN108" s="2604"/>
      <c r="AO108" s="2605"/>
      <c r="AP108" s="2605"/>
      <c r="AQ108" s="2605"/>
      <c r="AR108" s="2605"/>
      <c r="AS108" s="2605"/>
      <c r="AT108" s="2605"/>
      <c r="AU108" s="2605"/>
      <c r="AV108" s="2605"/>
      <c r="AW108" s="2605"/>
      <c r="AX108" s="2605"/>
      <c r="AY108" s="2605"/>
      <c r="AZ108" s="2605"/>
      <c r="BA108" s="2605"/>
      <c r="BB108" s="2605"/>
      <c r="BC108" s="2605"/>
      <c r="BD108" s="2605"/>
      <c r="BE108" s="2605"/>
      <c r="BF108" s="2605"/>
      <c r="BG108" s="2605"/>
      <c r="BH108" s="2605"/>
      <c r="BI108" s="2605"/>
      <c r="BJ108" s="2605"/>
      <c r="BK108" s="2605"/>
      <c r="BL108" s="2605"/>
      <c r="BM108" s="2605"/>
      <c r="BN108" s="2605"/>
      <c r="BO108" s="2605"/>
      <c r="BP108" s="2605"/>
      <c r="BQ108" s="2605"/>
      <c r="BR108" s="2605"/>
      <c r="BS108" s="2605"/>
      <c r="BT108" s="2605"/>
      <c r="BU108" s="2605"/>
      <c r="BV108" s="2605"/>
      <c r="BW108" s="2605"/>
      <c r="BX108" s="2605"/>
      <c r="BY108" s="2605"/>
      <c r="BZ108" s="2605"/>
      <c r="CA108" s="2605"/>
      <c r="CB108" s="2605"/>
      <c r="CC108" s="2605"/>
      <c r="CD108" s="2605"/>
      <c r="CE108" s="2605"/>
      <c r="CF108" s="2605"/>
      <c r="CG108" s="2605"/>
      <c r="CH108" s="2605"/>
      <c r="CI108" s="2605"/>
      <c r="CJ108" s="2605"/>
      <c r="CK108" s="2605"/>
      <c r="CL108" s="2605"/>
      <c r="CM108" s="2605"/>
      <c r="CN108" s="2605"/>
      <c r="CO108" s="2605"/>
      <c r="CP108" s="2605"/>
      <c r="CQ108" s="2605"/>
      <c r="CR108" s="2605"/>
      <c r="CS108" s="2605"/>
      <c r="CT108" s="2605"/>
      <c r="CU108" s="2605"/>
      <c r="CV108" s="2605"/>
      <c r="CW108" s="2605"/>
      <c r="CX108" s="2605"/>
      <c r="CY108" s="2605"/>
      <c r="CZ108" s="2605"/>
      <c r="DA108" s="2605"/>
      <c r="DB108" s="2605"/>
      <c r="DC108" s="2605"/>
      <c r="DD108" s="2605"/>
      <c r="DE108" s="2605"/>
      <c r="DF108" s="2606"/>
      <c r="DG108" s="2619"/>
      <c r="DH108" s="2619"/>
      <c r="DI108" s="2619"/>
      <c r="DJ108" s="2619"/>
      <c r="DK108" s="2619"/>
      <c r="DL108" s="2620"/>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row>
    <row r="109" spans="1:138" ht="9.65" customHeight="1">
      <c r="A109" s="59"/>
      <c r="B109" s="2607" t="s">
        <v>645</v>
      </c>
      <c r="C109" s="2608"/>
      <c r="D109" s="2608"/>
      <c r="E109" s="2608"/>
      <c r="F109" s="2608"/>
      <c r="G109" s="2608"/>
      <c r="H109" s="2608"/>
      <c r="I109" s="2608"/>
      <c r="J109" s="2608"/>
      <c r="K109" s="2608"/>
      <c r="L109" s="2608"/>
      <c r="M109" s="2608"/>
      <c r="N109" s="2608"/>
      <c r="O109" s="2608"/>
      <c r="P109" s="2608"/>
      <c r="Q109" s="2608"/>
      <c r="R109" s="2608"/>
      <c r="S109" s="2608"/>
      <c r="T109" s="2608"/>
      <c r="U109" s="2608"/>
      <c r="V109" s="2608"/>
      <c r="W109" s="2608"/>
      <c r="X109" s="2608"/>
      <c r="Y109" s="2608"/>
      <c r="Z109" s="2608"/>
      <c r="AA109" s="2608"/>
      <c r="AB109" s="2608"/>
      <c r="AC109" s="2608"/>
      <c r="AD109" s="2608"/>
      <c r="AE109" s="2608"/>
      <c r="AF109" s="2608"/>
      <c r="AG109" s="2608"/>
      <c r="AH109" s="2608"/>
      <c r="AI109" s="2608"/>
      <c r="AJ109" s="2608"/>
      <c r="AK109" s="2608"/>
      <c r="AL109" s="2608"/>
      <c r="AM109" s="2608"/>
      <c r="AN109" s="2608"/>
      <c r="AO109" s="2608"/>
      <c r="AP109" s="2608"/>
      <c r="AQ109" s="2608"/>
      <c r="AR109" s="2608"/>
      <c r="AS109" s="2608"/>
      <c r="AT109" s="2608"/>
      <c r="AU109" s="2608"/>
      <c r="AV109" s="2608"/>
      <c r="AW109" s="2608"/>
      <c r="AX109" s="2608"/>
      <c r="AY109" s="2608"/>
      <c r="AZ109" s="2608"/>
      <c r="BA109" s="2608"/>
      <c r="BB109" s="2608"/>
      <c r="BC109" s="2608"/>
      <c r="BD109" s="2608"/>
      <c r="BE109" s="2608"/>
      <c r="BF109" s="2608"/>
      <c r="BG109" s="2608"/>
      <c r="BH109" s="2608"/>
      <c r="BI109" s="2608"/>
      <c r="BJ109" s="2608"/>
      <c r="BK109" s="2608"/>
      <c r="BL109" s="2608"/>
      <c r="BM109" s="2608"/>
      <c r="BN109" s="2608"/>
      <c r="BO109" s="2608"/>
      <c r="BP109" s="2608"/>
      <c r="BQ109" s="2608"/>
      <c r="BR109" s="2608"/>
      <c r="BS109" s="2608"/>
      <c r="BT109" s="2608"/>
      <c r="BU109" s="2613" t="s">
        <v>646</v>
      </c>
      <c r="BV109" s="2613"/>
      <c r="BW109" s="2613"/>
      <c r="BX109" s="2613"/>
      <c r="BY109" s="2613"/>
      <c r="BZ109" s="2613"/>
      <c r="CA109" s="2613"/>
      <c r="CB109" s="2613"/>
      <c r="CC109" s="2613"/>
      <c r="CD109" s="2613"/>
      <c r="CE109" s="2613"/>
      <c r="CF109" s="2613"/>
      <c r="CG109" s="2613"/>
      <c r="CH109" s="2613"/>
      <c r="CI109" s="2613"/>
      <c r="CJ109" s="2613"/>
      <c r="CK109" s="2613"/>
      <c r="CL109" s="2613"/>
      <c r="CM109" s="2613"/>
      <c r="CN109" s="2613"/>
      <c r="CO109" s="2613"/>
      <c r="CP109" s="2613"/>
      <c r="CQ109" s="2613"/>
      <c r="CR109" s="2613"/>
      <c r="CS109" s="2613"/>
      <c r="CT109" s="2613"/>
      <c r="CU109" s="2613"/>
      <c r="CV109" s="2613"/>
      <c r="CW109" s="2613"/>
      <c r="CX109" s="2613"/>
      <c r="CY109" s="2613"/>
      <c r="CZ109" s="2613"/>
      <c r="DA109" s="2613"/>
      <c r="DB109" s="2613"/>
      <c r="DC109" s="2613"/>
      <c r="DD109" s="2613"/>
      <c r="DE109" s="2613"/>
      <c r="DF109" s="2613"/>
      <c r="DG109" s="2361"/>
      <c r="DH109" s="2361"/>
      <c r="DI109" s="2361"/>
      <c r="DJ109" s="2361"/>
      <c r="DK109" s="2361"/>
      <c r="DL109" s="2362"/>
      <c r="DM109" s="110"/>
      <c r="DN109" s="110"/>
      <c r="DO109" s="110"/>
      <c r="DP109" s="110"/>
      <c r="DQ109" s="110"/>
      <c r="DR109" s="110"/>
      <c r="DS109" s="110"/>
      <c r="DT109" s="110"/>
    </row>
    <row r="110" spans="1:138" ht="7.5" customHeight="1">
      <c r="A110" s="59"/>
      <c r="B110" s="2609"/>
      <c r="C110" s="2610"/>
      <c r="D110" s="2610"/>
      <c r="E110" s="2610"/>
      <c r="F110" s="2610"/>
      <c r="G110" s="2610"/>
      <c r="H110" s="2610"/>
      <c r="I110" s="2610"/>
      <c r="J110" s="2610"/>
      <c r="K110" s="2610"/>
      <c r="L110" s="2610"/>
      <c r="M110" s="2610"/>
      <c r="N110" s="2610"/>
      <c r="O110" s="2610"/>
      <c r="P110" s="2610"/>
      <c r="Q110" s="2610"/>
      <c r="R110" s="2610"/>
      <c r="S110" s="2610"/>
      <c r="T110" s="2610"/>
      <c r="U110" s="2610"/>
      <c r="V110" s="2610"/>
      <c r="W110" s="2610"/>
      <c r="X110" s="2610"/>
      <c r="Y110" s="2610"/>
      <c r="Z110" s="2610"/>
      <c r="AA110" s="2610"/>
      <c r="AB110" s="2610"/>
      <c r="AC110" s="2610"/>
      <c r="AD110" s="2610"/>
      <c r="AE110" s="2610"/>
      <c r="AF110" s="2610"/>
      <c r="AG110" s="2610"/>
      <c r="AH110" s="2610"/>
      <c r="AI110" s="2610"/>
      <c r="AJ110" s="2610"/>
      <c r="AK110" s="2610"/>
      <c r="AL110" s="2610"/>
      <c r="AM110" s="2610"/>
      <c r="AN110" s="2610"/>
      <c r="AO110" s="2610"/>
      <c r="AP110" s="2610"/>
      <c r="AQ110" s="2610"/>
      <c r="AR110" s="2610"/>
      <c r="AS110" s="2610"/>
      <c r="AT110" s="2610"/>
      <c r="AU110" s="2610"/>
      <c r="AV110" s="2610"/>
      <c r="AW110" s="2610"/>
      <c r="AX110" s="2610"/>
      <c r="AY110" s="2610"/>
      <c r="AZ110" s="2610"/>
      <c r="BA110" s="2610"/>
      <c r="BB110" s="2610"/>
      <c r="BC110" s="2610"/>
      <c r="BD110" s="2610"/>
      <c r="BE110" s="2610"/>
      <c r="BF110" s="2610"/>
      <c r="BG110" s="2610"/>
      <c r="BH110" s="2610"/>
      <c r="BI110" s="2610"/>
      <c r="BJ110" s="2610"/>
      <c r="BK110" s="2610"/>
      <c r="BL110" s="2610"/>
      <c r="BM110" s="2610"/>
      <c r="BN110" s="2610"/>
      <c r="BO110" s="2610"/>
      <c r="BP110" s="2610"/>
      <c r="BQ110" s="2610"/>
      <c r="BR110" s="2610"/>
      <c r="BS110" s="2610"/>
      <c r="BT110" s="2610"/>
      <c r="BU110" s="2614"/>
      <c r="BV110" s="2614"/>
      <c r="BW110" s="2614"/>
      <c r="BX110" s="2614"/>
      <c r="BY110" s="2614"/>
      <c r="BZ110" s="2614"/>
      <c r="CA110" s="2614"/>
      <c r="CB110" s="2614"/>
      <c r="CC110" s="2614"/>
      <c r="CD110" s="2614"/>
      <c r="CE110" s="2614"/>
      <c r="CF110" s="2614"/>
      <c r="CG110" s="2614"/>
      <c r="CH110" s="2614"/>
      <c r="CI110" s="2614"/>
      <c r="CJ110" s="2614"/>
      <c r="CK110" s="2614"/>
      <c r="CL110" s="2614"/>
      <c r="CM110" s="2614"/>
      <c r="CN110" s="2614"/>
      <c r="CO110" s="2614"/>
      <c r="CP110" s="2614"/>
      <c r="CQ110" s="2614"/>
      <c r="CR110" s="2614"/>
      <c r="CS110" s="2614"/>
      <c r="CT110" s="2614"/>
      <c r="CU110" s="2614"/>
      <c r="CV110" s="2614"/>
      <c r="CW110" s="2614"/>
      <c r="CX110" s="2614"/>
      <c r="CY110" s="2614"/>
      <c r="CZ110" s="2614"/>
      <c r="DA110" s="2614"/>
      <c r="DB110" s="2614"/>
      <c r="DC110" s="2614"/>
      <c r="DD110" s="2614"/>
      <c r="DE110" s="2614"/>
      <c r="DF110" s="2614"/>
      <c r="DG110" s="2363"/>
      <c r="DH110" s="2363"/>
      <c r="DI110" s="2363"/>
      <c r="DJ110" s="2363"/>
      <c r="DK110" s="2363"/>
      <c r="DL110" s="2364"/>
      <c r="DM110" s="110"/>
      <c r="DN110" s="110"/>
      <c r="DO110" s="110"/>
      <c r="DP110" s="110"/>
      <c r="DQ110" s="110"/>
      <c r="DR110" s="110"/>
      <c r="DS110" s="110"/>
      <c r="DT110" s="110"/>
    </row>
    <row r="111" spans="1:138" ht="7.5" customHeight="1" thickBot="1">
      <c r="A111" s="59"/>
      <c r="B111" s="2611"/>
      <c r="C111" s="2612"/>
      <c r="D111" s="2612"/>
      <c r="E111" s="2612"/>
      <c r="F111" s="2612"/>
      <c r="G111" s="2612"/>
      <c r="H111" s="2612"/>
      <c r="I111" s="2612"/>
      <c r="J111" s="2612"/>
      <c r="K111" s="2612"/>
      <c r="L111" s="2612"/>
      <c r="M111" s="2612"/>
      <c r="N111" s="2612"/>
      <c r="O111" s="2612"/>
      <c r="P111" s="2612"/>
      <c r="Q111" s="2612"/>
      <c r="R111" s="2612"/>
      <c r="S111" s="2612"/>
      <c r="T111" s="2612"/>
      <c r="U111" s="2612"/>
      <c r="V111" s="2612"/>
      <c r="W111" s="2612"/>
      <c r="X111" s="2612"/>
      <c r="Y111" s="2612"/>
      <c r="Z111" s="2612"/>
      <c r="AA111" s="2612"/>
      <c r="AB111" s="2612"/>
      <c r="AC111" s="2612"/>
      <c r="AD111" s="2612"/>
      <c r="AE111" s="2612"/>
      <c r="AF111" s="2612"/>
      <c r="AG111" s="2612"/>
      <c r="AH111" s="2612"/>
      <c r="AI111" s="2612"/>
      <c r="AJ111" s="2612"/>
      <c r="AK111" s="2612"/>
      <c r="AL111" s="2612"/>
      <c r="AM111" s="2612"/>
      <c r="AN111" s="2612"/>
      <c r="AO111" s="2612"/>
      <c r="AP111" s="2612"/>
      <c r="AQ111" s="2612"/>
      <c r="AR111" s="2612"/>
      <c r="AS111" s="2612"/>
      <c r="AT111" s="2612"/>
      <c r="AU111" s="2612"/>
      <c r="AV111" s="2612"/>
      <c r="AW111" s="2612"/>
      <c r="AX111" s="2612"/>
      <c r="AY111" s="2612"/>
      <c r="AZ111" s="2612"/>
      <c r="BA111" s="2612"/>
      <c r="BB111" s="2612"/>
      <c r="BC111" s="2612"/>
      <c r="BD111" s="2612"/>
      <c r="BE111" s="2612"/>
      <c r="BF111" s="2612"/>
      <c r="BG111" s="2612"/>
      <c r="BH111" s="2612"/>
      <c r="BI111" s="2612"/>
      <c r="BJ111" s="2612"/>
      <c r="BK111" s="2612"/>
      <c r="BL111" s="2612"/>
      <c r="BM111" s="2612"/>
      <c r="BN111" s="2612"/>
      <c r="BO111" s="2612"/>
      <c r="BP111" s="2612"/>
      <c r="BQ111" s="2612"/>
      <c r="BR111" s="2612"/>
      <c r="BS111" s="2612"/>
      <c r="BT111" s="2612"/>
      <c r="BU111" s="2615"/>
      <c r="BV111" s="2615"/>
      <c r="BW111" s="2615"/>
      <c r="BX111" s="2615"/>
      <c r="BY111" s="2615"/>
      <c r="BZ111" s="2615"/>
      <c r="CA111" s="2615"/>
      <c r="CB111" s="2615"/>
      <c r="CC111" s="2615"/>
      <c r="CD111" s="2615"/>
      <c r="CE111" s="2615"/>
      <c r="CF111" s="2615"/>
      <c r="CG111" s="2615"/>
      <c r="CH111" s="2615"/>
      <c r="CI111" s="2615"/>
      <c r="CJ111" s="2615"/>
      <c r="CK111" s="2615"/>
      <c r="CL111" s="2615"/>
      <c r="CM111" s="2615"/>
      <c r="CN111" s="2615"/>
      <c r="CO111" s="2615"/>
      <c r="CP111" s="2615"/>
      <c r="CQ111" s="2615"/>
      <c r="CR111" s="2615"/>
      <c r="CS111" s="2615"/>
      <c r="CT111" s="2615"/>
      <c r="CU111" s="2615"/>
      <c r="CV111" s="2615"/>
      <c r="CW111" s="2615"/>
      <c r="CX111" s="2615"/>
      <c r="CY111" s="2615"/>
      <c r="CZ111" s="2615"/>
      <c r="DA111" s="2615"/>
      <c r="DB111" s="2615"/>
      <c r="DC111" s="2615"/>
      <c r="DD111" s="2615"/>
      <c r="DE111" s="2615"/>
      <c r="DF111" s="2615"/>
      <c r="DG111" s="2365"/>
      <c r="DH111" s="2365"/>
      <c r="DI111" s="2365"/>
      <c r="DJ111" s="2365"/>
      <c r="DK111" s="2365"/>
      <c r="DL111" s="2366"/>
      <c r="DM111" s="110"/>
      <c r="DN111" s="110"/>
      <c r="DO111" s="110"/>
      <c r="DP111" s="110"/>
      <c r="DQ111" s="110"/>
      <c r="DR111" s="110"/>
      <c r="DS111" s="110"/>
      <c r="DT111" s="110"/>
    </row>
    <row r="112" spans="1:138" ht="9" customHeight="1" thickBot="1">
      <c r="A112" s="59"/>
      <c r="B112" s="2621" t="s">
        <v>735</v>
      </c>
      <c r="C112" s="2622"/>
      <c r="D112" s="2622"/>
      <c r="E112" s="2622"/>
      <c r="F112" s="2622"/>
      <c r="G112" s="2622"/>
      <c r="H112" s="2622"/>
      <c r="I112" s="2622"/>
      <c r="J112" s="2622"/>
      <c r="K112" s="2622"/>
      <c r="L112" s="2622"/>
      <c r="M112" s="2622"/>
      <c r="N112" s="2622"/>
      <c r="O112" s="2622"/>
      <c r="P112" s="2622"/>
      <c r="Q112" s="2622"/>
      <c r="R112" s="2622"/>
      <c r="S112" s="2622"/>
      <c r="T112" s="2622"/>
      <c r="U112" s="2622"/>
      <c r="V112" s="2622"/>
      <c r="W112" s="2622"/>
      <c r="X112" s="2622"/>
      <c r="Y112" s="2622"/>
      <c r="Z112" s="2622"/>
      <c r="AA112" s="2622"/>
      <c r="AB112" s="2622"/>
      <c r="AC112" s="2622"/>
      <c r="AD112" s="2622"/>
      <c r="AE112" s="2622"/>
      <c r="AF112" s="2622"/>
      <c r="AG112" s="2622"/>
      <c r="AH112" s="2622"/>
      <c r="AI112" s="2622"/>
      <c r="AJ112" s="2622"/>
      <c r="AK112" s="2622"/>
      <c r="AL112" s="2622"/>
      <c r="AM112" s="2622"/>
      <c r="AN112" s="2622"/>
      <c r="AO112" s="2622"/>
      <c r="AP112" s="2622"/>
      <c r="AQ112" s="2622"/>
      <c r="AR112" s="2622"/>
      <c r="AS112" s="2622"/>
      <c r="AT112" s="2622"/>
      <c r="AU112" s="2622"/>
      <c r="AV112" s="2622"/>
      <c r="AW112" s="2622"/>
      <c r="AX112" s="2622"/>
      <c r="AY112" s="2622"/>
      <c r="AZ112" s="2622"/>
      <c r="BA112" s="2622"/>
      <c r="BB112" s="2622"/>
      <c r="BC112" s="2622"/>
      <c r="BD112" s="2622"/>
      <c r="BE112" s="2622"/>
      <c r="BF112" s="2622"/>
      <c r="BG112" s="2622"/>
      <c r="BH112" s="2622"/>
      <c r="BI112" s="2622"/>
      <c r="BJ112" s="2622"/>
      <c r="BK112" s="2622"/>
      <c r="BL112" s="2622"/>
      <c r="BM112" s="2622"/>
      <c r="BN112" s="2622"/>
      <c r="BO112" s="2622"/>
      <c r="BP112" s="2622"/>
      <c r="BQ112" s="2622"/>
      <c r="BR112" s="2622"/>
      <c r="BS112" s="2622"/>
      <c r="BT112" s="2622"/>
      <c r="BU112" s="2622"/>
      <c r="BV112" s="2622"/>
      <c r="BW112" s="2622"/>
      <c r="BX112" s="2622"/>
      <c r="BY112" s="2622"/>
      <c r="BZ112" s="2622"/>
      <c r="CA112" s="2622"/>
      <c r="CB112" s="2622"/>
      <c r="CC112" s="2622"/>
      <c r="CD112" s="2622"/>
      <c r="CE112" s="2622"/>
      <c r="CF112" s="2622"/>
      <c r="CG112" s="2622"/>
      <c r="CH112" s="2622"/>
      <c r="CI112" s="2622"/>
      <c r="CJ112" s="2622"/>
      <c r="CK112" s="2622"/>
      <c r="CL112" s="2622"/>
      <c r="CM112" s="2622"/>
      <c r="CN112" s="2622"/>
      <c r="CO112" s="2622"/>
      <c r="CP112" s="2622"/>
      <c r="CQ112" s="2622"/>
      <c r="CR112" s="2622"/>
      <c r="CS112" s="2622"/>
      <c r="CT112" s="2622"/>
      <c r="CU112" s="2622"/>
      <c r="CV112" s="2622"/>
      <c r="CW112" s="2622"/>
      <c r="CX112" s="2622"/>
      <c r="CY112" s="2622"/>
      <c r="CZ112" s="2622"/>
      <c r="DA112" s="2622"/>
      <c r="DB112" s="2622"/>
      <c r="DC112" s="2622"/>
      <c r="DD112" s="2622"/>
      <c r="DE112" s="2622"/>
      <c r="DF112" s="2622"/>
      <c r="DG112" s="2622"/>
      <c r="DH112" s="2622"/>
      <c r="DI112" s="2622"/>
      <c r="DJ112" s="2622"/>
      <c r="DK112" s="2622"/>
      <c r="DL112" s="2623"/>
      <c r="DM112" s="110"/>
      <c r="DN112" s="110"/>
      <c r="DO112" s="110"/>
      <c r="DP112" s="110"/>
      <c r="DQ112" s="110"/>
      <c r="DR112" s="110"/>
      <c r="DS112" s="110"/>
      <c r="DT112" s="110"/>
    </row>
    <row r="113" spans="1:122" s="49" customFormat="1" ht="6" customHeight="1" thickBot="1">
      <c r="A113" s="6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row>
    <row r="114" spans="1:122" s="129" customFormat="1" ht="8.25" customHeight="1">
      <c r="A114" s="128"/>
      <c r="B114" s="2524" t="s">
        <v>265</v>
      </c>
      <c r="C114" s="2525"/>
      <c r="D114" s="2525"/>
      <c r="E114" s="2525"/>
      <c r="F114" s="2525"/>
      <c r="G114" s="2525"/>
      <c r="H114" s="2525"/>
      <c r="I114" s="2525"/>
      <c r="J114" s="2525"/>
      <c r="K114" s="2525"/>
      <c r="L114" s="2525"/>
      <c r="M114" s="2525"/>
      <c r="N114" s="2525"/>
      <c r="O114" s="2525"/>
      <c r="P114" s="2525"/>
      <c r="Q114" s="2525"/>
      <c r="R114" s="2525"/>
      <c r="S114" s="2525"/>
      <c r="T114" s="2525"/>
      <c r="U114" s="2525"/>
      <c r="V114" s="2525"/>
      <c r="W114" s="2525"/>
      <c r="X114" s="2525"/>
      <c r="Y114" s="2525"/>
      <c r="Z114" s="2525"/>
      <c r="AA114" s="2525"/>
      <c r="AB114" s="2525"/>
      <c r="AC114" s="2525"/>
      <c r="AD114" s="2525"/>
      <c r="AE114" s="2525"/>
      <c r="AF114" s="2525"/>
      <c r="AG114" s="2525"/>
      <c r="AH114" s="2525"/>
      <c r="AI114" s="2529" t="s">
        <v>264</v>
      </c>
      <c r="AJ114" s="2529"/>
      <c r="AK114" s="2529"/>
      <c r="AL114" s="2529"/>
      <c r="AM114" s="2529"/>
      <c r="AN114" s="2529"/>
      <c r="AO114" s="2529"/>
      <c r="AP114" s="2529"/>
      <c r="AQ114" s="2529"/>
      <c r="AR114" s="2529"/>
      <c r="AS114" s="2529"/>
      <c r="AT114" s="2529"/>
      <c r="AU114" s="2529"/>
      <c r="AV114" s="2529"/>
      <c r="AW114" s="2529"/>
      <c r="AX114" s="2529"/>
      <c r="AY114" s="2529"/>
      <c r="AZ114" s="2529"/>
      <c r="BA114" s="2529"/>
      <c r="BB114" s="2529"/>
      <c r="BC114" s="2529"/>
      <c r="BD114" s="2529"/>
      <c r="BE114" s="2529"/>
      <c r="BF114" s="2529"/>
      <c r="BG114" s="2529"/>
      <c r="BH114" s="2529"/>
      <c r="BI114" s="2529"/>
      <c r="BJ114" s="2529"/>
      <c r="BK114" s="2529"/>
      <c r="BL114" s="2529"/>
      <c r="BM114" s="2529"/>
      <c r="BN114" s="2529"/>
      <c r="BO114" s="2529"/>
      <c r="BP114" s="2529"/>
      <c r="BQ114" s="2529"/>
      <c r="BR114" s="2529"/>
      <c r="BS114" s="2529"/>
      <c r="BT114" s="2529"/>
      <c r="BU114" s="2529"/>
      <c r="BV114" s="2529"/>
      <c r="BW114" s="2529"/>
      <c r="BX114" s="2529"/>
      <c r="BY114" s="2529"/>
      <c r="BZ114" s="2529"/>
      <c r="CA114" s="2529"/>
      <c r="CB114" s="2529"/>
      <c r="CC114" s="2529"/>
      <c r="CD114" s="2529"/>
      <c r="CE114" s="2529"/>
      <c r="CF114" s="2529"/>
      <c r="CG114" s="2529"/>
      <c r="CH114" s="2529"/>
      <c r="CI114" s="2529"/>
      <c r="CJ114" s="2529"/>
      <c r="CK114" s="2529"/>
      <c r="CL114" s="2529"/>
      <c r="CM114" s="2529"/>
      <c r="CN114" s="2529"/>
      <c r="CO114" s="2529"/>
      <c r="CP114" s="2529"/>
      <c r="CQ114" s="2529"/>
      <c r="CR114" s="2529"/>
      <c r="CS114" s="2529"/>
      <c r="CT114" s="2529"/>
      <c r="CU114" s="2529"/>
      <c r="CV114" s="2529"/>
      <c r="CW114" s="2529"/>
      <c r="CX114" s="2529"/>
      <c r="CY114" s="2529"/>
      <c r="CZ114" s="2529"/>
      <c r="DA114" s="2529"/>
      <c r="DB114" s="2529"/>
      <c r="DC114" s="2529"/>
      <c r="DD114" s="2529"/>
      <c r="DE114" s="2529"/>
      <c r="DF114" s="2529"/>
      <c r="DG114" s="2529"/>
      <c r="DH114" s="2529"/>
      <c r="DI114" s="2529"/>
      <c r="DJ114" s="2529"/>
      <c r="DK114" s="2529"/>
      <c r="DL114" s="2530"/>
    </row>
    <row r="115" spans="1:122" s="129" customFormat="1" ht="8.25" customHeight="1" thickBot="1">
      <c r="A115" s="128"/>
      <c r="B115" s="2526"/>
      <c r="C115" s="2527"/>
      <c r="D115" s="2527"/>
      <c r="E115" s="2528"/>
      <c r="F115" s="2528"/>
      <c r="G115" s="2528"/>
      <c r="H115" s="2528"/>
      <c r="I115" s="2528"/>
      <c r="J115" s="2528"/>
      <c r="K115" s="2528"/>
      <c r="L115" s="2528"/>
      <c r="M115" s="2528"/>
      <c r="N115" s="2528"/>
      <c r="O115" s="2528"/>
      <c r="P115" s="2528"/>
      <c r="Q115" s="2528"/>
      <c r="R115" s="2528"/>
      <c r="S115" s="2528"/>
      <c r="T115" s="2528"/>
      <c r="U115" s="2528"/>
      <c r="V115" s="2528"/>
      <c r="W115" s="2528"/>
      <c r="X115" s="2527"/>
      <c r="Y115" s="2527"/>
      <c r="Z115" s="2527"/>
      <c r="AA115" s="2528"/>
      <c r="AB115" s="2528"/>
      <c r="AC115" s="2528"/>
      <c r="AD115" s="2528"/>
      <c r="AE115" s="2528"/>
      <c r="AF115" s="2528"/>
      <c r="AG115" s="2528"/>
      <c r="AH115" s="2528"/>
      <c r="AI115" s="2531"/>
      <c r="AJ115" s="2531"/>
      <c r="AK115" s="2531"/>
      <c r="AL115" s="2531"/>
      <c r="AM115" s="2531"/>
      <c r="AN115" s="2531"/>
      <c r="AO115" s="2531"/>
      <c r="AP115" s="2531"/>
      <c r="AQ115" s="2531"/>
      <c r="AR115" s="2531"/>
      <c r="AS115" s="2531"/>
      <c r="AT115" s="2531"/>
      <c r="AU115" s="2531"/>
      <c r="AV115" s="2532"/>
      <c r="AW115" s="2532"/>
      <c r="AX115" s="2532"/>
      <c r="AY115" s="2532"/>
      <c r="AZ115" s="2532"/>
      <c r="BA115" s="2532"/>
      <c r="BB115" s="2532"/>
      <c r="BC115" s="2532"/>
      <c r="BD115" s="2532"/>
      <c r="BE115" s="2532"/>
      <c r="BF115" s="2532"/>
      <c r="BG115" s="2532"/>
      <c r="BH115" s="2532"/>
      <c r="BI115" s="2532"/>
      <c r="BJ115" s="2532"/>
      <c r="BK115" s="2532"/>
      <c r="BL115" s="2532"/>
      <c r="BM115" s="2532"/>
      <c r="BN115" s="2532"/>
      <c r="BO115" s="2532"/>
      <c r="BP115" s="2532"/>
      <c r="BQ115" s="2532"/>
      <c r="BR115" s="2532"/>
      <c r="BS115" s="2532"/>
      <c r="BT115" s="2532"/>
      <c r="BU115" s="2532"/>
      <c r="BV115" s="2532"/>
      <c r="BW115" s="2532"/>
      <c r="BX115" s="2532"/>
      <c r="BY115" s="2532"/>
      <c r="BZ115" s="2532"/>
      <c r="CA115" s="2532"/>
      <c r="CB115" s="2532"/>
      <c r="CC115" s="2532"/>
      <c r="CD115" s="2532"/>
      <c r="CE115" s="2532"/>
      <c r="CF115" s="2532"/>
      <c r="CG115" s="2532"/>
      <c r="CH115" s="2532"/>
      <c r="CI115" s="2532"/>
      <c r="CJ115" s="2532"/>
      <c r="CK115" s="2532"/>
      <c r="CL115" s="2532"/>
      <c r="CM115" s="2532"/>
      <c r="CN115" s="2532"/>
      <c r="CO115" s="2532"/>
      <c r="CP115" s="2532"/>
      <c r="CQ115" s="2532"/>
      <c r="CR115" s="2532"/>
      <c r="CS115" s="2532"/>
      <c r="CT115" s="2532"/>
      <c r="CU115" s="2532"/>
      <c r="CV115" s="2532"/>
      <c r="CW115" s="2532"/>
      <c r="CX115" s="2532"/>
      <c r="CY115" s="2532"/>
      <c r="CZ115" s="2532"/>
      <c r="DA115" s="2532"/>
      <c r="DB115" s="2532"/>
      <c r="DC115" s="2532"/>
      <c r="DD115" s="2532"/>
      <c r="DE115" s="2532"/>
      <c r="DF115" s="2532"/>
      <c r="DG115" s="2532"/>
      <c r="DH115" s="2532"/>
      <c r="DI115" s="2532"/>
      <c r="DJ115" s="2532"/>
      <c r="DK115" s="2532"/>
      <c r="DL115" s="2533"/>
    </row>
    <row r="116" spans="1:122" s="129" customFormat="1" ht="11.25" customHeight="1" thickTop="1">
      <c r="A116" s="128"/>
      <c r="B116" s="2509" t="s">
        <v>120</v>
      </c>
      <c r="C116" s="2374"/>
      <c r="D116" s="2374"/>
      <c r="E116" s="2449"/>
      <c r="F116" s="2450"/>
      <c r="G116" s="2450"/>
      <c r="H116" s="2450"/>
      <c r="I116" s="2450"/>
      <c r="J116" s="2450"/>
      <c r="K116" s="2450"/>
      <c r="L116" s="2450"/>
      <c r="M116" s="2450"/>
      <c r="N116" s="2450"/>
      <c r="O116" s="2450"/>
      <c r="P116" s="2450"/>
      <c r="Q116" s="2450"/>
      <c r="R116" s="2450"/>
      <c r="S116" s="2450"/>
      <c r="T116" s="2450"/>
      <c r="U116" s="2450"/>
      <c r="V116" s="2450"/>
      <c r="W116" s="2451"/>
      <c r="X116" s="2374" t="s">
        <v>121</v>
      </c>
      <c r="Y116" s="2374"/>
      <c r="Z116" s="2374"/>
      <c r="AA116" s="2449"/>
      <c r="AB116" s="2450"/>
      <c r="AC116" s="2450"/>
      <c r="AD116" s="2450"/>
      <c r="AE116" s="2450"/>
      <c r="AF116" s="2450"/>
      <c r="AG116" s="2450"/>
      <c r="AH116" s="2450"/>
      <c r="AI116" s="2450"/>
      <c r="AJ116" s="2450"/>
      <c r="AK116" s="2450"/>
      <c r="AL116" s="2450"/>
      <c r="AM116" s="2450"/>
      <c r="AN116" s="2450"/>
      <c r="AO116" s="2450"/>
      <c r="AP116" s="2450"/>
      <c r="AQ116" s="2450"/>
      <c r="AR116" s="2450"/>
      <c r="AS116" s="2450"/>
      <c r="AT116" s="2450"/>
      <c r="AU116" s="2451"/>
      <c r="AV116" s="2374" t="s">
        <v>228</v>
      </c>
      <c r="AW116" s="2374"/>
      <c r="AX116" s="2374"/>
      <c r="AY116" s="2375"/>
      <c r="AZ116" s="2628"/>
      <c r="BA116" s="2629"/>
      <c r="BB116" s="2629"/>
      <c r="BC116" s="2630"/>
      <c r="BD116" s="2373" t="s">
        <v>247</v>
      </c>
      <c r="BE116" s="2374"/>
      <c r="BF116" s="2375"/>
      <c r="BG116" s="2520"/>
      <c r="BH116" s="2437"/>
      <c r="BI116" s="2438"/>
      <c r="BJ116" s="2373" t="s">
        <v>248</v>
      </c>
      <c r="BK116" s="2374"/>
      <c r="BL116" s="2374"/>
      <c r="BM116" s="2374"/>
      <c r="BN116" s="2375"/>
      <c r="BO116" s="2550">
        <v>20</v>
      </c>
      <c r="BP116" s="2551"/>
      <c r="BQ116" s="2551"/>
      <c r="BR116" s="2424"/>
      <c r="BS116" s="2424"/>
      <c r="BT116" s="2556" t="s">
        <v>0</v>
      </c>
      <c r="BU116" s="2556"/>
      <c r="BV116" s="2424"/>
      <c r="BW116" s="2424"/>
      <c r="BX116" s="2624" t="s">
        <v>218</v>
      </c>
      <c r="BY116" s="2624"/>
      <c r="BZ116" s="2624"/>
      <c r="CA116" s="2625"/>
      <c r="CB116" s="2373" t="s">
        <v>246</v>
      </c>
      <c r="CC116" s="2374"/>
      <c r="CD116" s="2374"/>
      <c r="CE116" s="2374"/>
      <c r="CF116" s="2374"/>
      <c r="CG116" s="2375"/>
      <c r="CH116" s="2501"/>
      <c r="CI116" s="2494"/>
      <c r="CJ116" s="2418" t="str">
        <f>IF(AA116="新規","試用版","保有")</f>
        <v>保有</v>
      </c>
      <c r="CK116" s="2419"/>
      <c r="CL116" s="2419"/>
      <c r="CM116" s="2419"/>
      <c r="CN116" s="2420"/>
      <c r="CO116" s="2499"/>
      <c r="CP116" s="2491"/>
      <c r="CQ116" s="2491"/>
      <c r="CR116" s="2491"/>
      <c r="CS116" s="2491"/>
      <c r="CT116" s="2491"/>
      <c r="CU116" s="2491"/>
      <c r="CV116" s="2491"/>
      <c r="CW116" s="2491"/>
      <c r="CX116" s="2491"/>
      <c r="CY116" s="2491"/>
      <c r="CZ116" s="2491"/>
      <c r="DA116" s="2491"/>
      <c r="DB116" s="2491"/>
      <c r="DC116" s="2491"/>
      <c r="DD116" s="2491"/>
      <c r="DE116" s="2491"/>
      <c r="DF116" s="2491"/>
      <c r="DG116" s="2491"/>
      <c r="DH116" s="2491"/>
      <c r="DI116" s="2491"/>
      <c r="DJ116" s="2491"/>
      <c r="DK116" s="2491"/>
      <c r="DL116" s="2500"/>
    </row>
    <row r="117" spans="1:122" s="129" customFormat="1" ht="3.75" customHeight="1">
      <c r="A117" s="128"/>
      <c r="B117" s="2509"/>
      <c r="C117" s="2374"/>
      <c r="D117" s="2374"/>
      <c r="E117" s="2452"/>
      <c r="F117" s="2439"/>
      <c r="G117" s="2439"/>
      <c r="H117" s="2439"/>
      <c r="I117" s="2439"/>
      <c r="J117" s="2439"/>
      <c r="K117" s="2439"/>
      <c r="L117" s="2439"/>
      <c r="M117" s="2439"/>
      <c r="N117" s="2439"/>
      <c r="O117" s="2439"/>
      <c r="P117" s="2439"/>
      <c r="Q117" s="2439"/>
      <c r="R117" s="2439"/>
      <c r="S117" s="2439"/>
      <c r="T117" s="2439"/>
      <c r="U117" s="2439"/>
      <c r="V117" s="2439"/>
      <c r="W117" s="2453"/>
      <c r="X117" s="2374"/>
      <c r="Y117" s="2374"/>
      <c r="Z117" s="2374"/>
      <c r="AA117" s="2452"/>
      <c r="AB117" s="2439"/>
      <c r="AC117" s="2439"/>
      <c r="AD117" s="2439"/>
      <c r="AE117" s="2439"/>
      <c r="AF117" s="2439"/>
      <c r="AG117" s="2439"/>
      <c r="AH117" s="2439"/>
      <c r="AI117" s="2439"/>
      <c r="AJ117" s="2439"/>
      <c r="AK117" s="2439"/>
      <c r="AL117" s="2439"/>
      <c r="AM117" s="2439"/>
      <c r="AN117" s="2439"/>
      <c r="AO117" s="2439"/>
      <c r="AP117" s="2439"/>
      <c r="AQ117" s="2439"/>
      <c r="AR117" s="2439"/>
      <c r="AS117" s="2439"/>
      <c r="AT117" s="2439"/>
      <c r="AU117" s="2453"/>
      <c r="AV117" s="2374"/>
      <c r="AW117" s="2374"/>
      <c r="AX117" s="2374"/>
      <c r="AY117" s="2375"/>
      <c r="AZ117" s="2628"/>
      <c r="BA117" s="2629"/>
      <c r="BB117" s="2629"/>
      <c r="BC117" s="2630"/>
      <c r="BD117" s="2373"/>
      <c r="BE117" s="2374"/>
      <c r="BF117" s="2375"/>
      <c r="BG117" s="2488"/>
      <c r="BH117" s="2439"/>
      <c r="BI117" s="2440"/>
      <c r="BJ117" s="2373"/>
      <c r="BK117" s="2374"/>
      <c r="BL117" s="2374"/>
      <c r="BM117" s="2374"/>
      <c r="BN117" s="2375"/>
      <c r="BO117" s="2552"/>
      <c r="BP117" s="2553"/>
      <c r="BQ117" s="2553"/>
      <c r="BR117" s="2424"/>
      <c r="BS117" s="2424"/>
      <c r="BT117" s="2557"/>
      <c r="BU117" s="2557"/>
      <c r="BV117" s="2424"/>
      <c r="BW117" s="2424"/>
      <c r="BX117" s="2624"/>
      <c r="BY117" s="2624"/>
      <c r="BZ117" s="2624"/>
      <c r="CA117" s="2625"/>
      <c r="CB117" s="2373"/>
      <c r="CC117" s="2374"/>
      <c r="CD117" s="2374"/>
      <c r="CE117" s="2374"/>
      <c r="CF117" s="2374"/>
      <c r="CG117" s="2375"/>
      <c r="CH117" s="2501"/>
      <c r="CI117" s="2494"/>
      <c r="CJ117" s="2418" t="s">
        <v>262</v>
      </c>
      <c r="CK117" s="2419"/>
      <c r="CL117" s="2419"/>
      <c r="CM117" s="2419"/>
      <c r="CN117" s="2420"/>
      <c r="CO117" s="2501"/>
      <c r="CP117" s="2493"/>
      <c r="CQ117" s="2493"/>
      <c r="CR117" s="2493"/>
      <c r="CS117" s="2493"/>
      <c r="CT117" s="2493"/>
      <c r="CU117" s="2493"/>
      <c r="CV117" s="2493"/>
      <c r="CW117" s="2493"/>
      <c r="CX117" s="2493"/>
      <c r="CY117" s="2493"/>
      <c r="CZ117" s="2493"/>
      <c r="DA117" s="2493"/>
      <c r="DB117" s="2493"/>
      <c r="DC117" s="2493"/>
      <c r="DD117" s="2493"/>
      <c r="DE117" s="2493"/>
      <c r="DF117" s="2493"/>
      <c r="DG117" s="2493"/>
      <c r="DH117" s="2493"/>
      <c r="DI117" s="2493"/>
      <c r="DJ117" s="2493"/>
      <c r="DK117" s="2493"/>
      <c r="DL117" s="2502"/>
    </row>
    <row r="118" spans="1:122" s="129" customFormat="1" ht="7.5" customHeight="1" thickBot="1">
      <c r="A118" s="128"/>
      <c r="B118" s="2510"/>
      <c r="C118" s="2377"/>
      <c r="D118" s="2377"/>
      <c r="E118" s="2454"/>
      <c r="F118" s="2455"/>
      <c r="G118" s="2455"/>
      <c r="H118" s="2455"/>
      <c r="I118" s="2455"/>
      <c r="J118" s="2455"/>
      <c r="K118" s="2455"/>
      <c r="L118" s="2455"/>
      <c r="M118" s="2455"/>
      <c r="N118" s="2455"/>
      <c r="O118" s="2455"/>
      <c r="P118" s="2455"/>
      <c r="Q118" s="2455"/>
      <c r="R118" s="2455"/>
      <c r="S118" s="2455"/>
      <c r="T118" s="2455"/>
      <c r="U118" s="2455"/>
      <c r="V118" s="2455"/>
      <c r="W118" s="2456"/>
      <c r="X118" s="2377"/>
      <c r="Y118" s="2377"/>
      <c r="Z118" s="2377"/>
      <c r="AA118" s="2454"/>
      <c r="AB118" s="2455"/>
      <c r="AC118" s="2455"/>
      <c r="AD118" s="2455"/>
      <c r="AE118" s="2455"/>
      <c r="AF118" s="2455"/>
      <c r="AG118" s="2455"/>
      <c r="AH118" s="2455"/>
      <c r="AI118" s="2455"/>
      <c r="AJ118" s="2455"/>
      <c r="AK118" s="2455"/>
      <c r="AL118" s="2455"/>
      <c r="AM118" s="2455"/>
      <c r="AN118" s="2455"/>
      <c r="AO118" s="2455"/>
      <c r="AP118" s="2455"/>
      <c r="AQ118" s="2455"/>
      <c r="AR118" s="2455"/>
      <c r="AS118" s="2455"/>
      <c r="AT118" s="2455"/>
      <c r="AU118" s="2456"/>
      <c r="AV118" s="2377"/>
      <c r="AW118" s="2377"/>
      <c r="AX118" s="2377"/>
      <c r="AY118" s="2378"/>
      <c r="AZ118" s="2631"/>
      <c r="BA118" s="2632"/>
      <c r="BB118" s="2632"/>
      <c r="BC118" s="2633"/>
      <c r="BD118" s="2376"/>
      <c r="BE118" s="2377"/>
      <c r="BF118" s="2378"/>
      <c r="BG118" s="2521"/>
      <c r="BH118" s="2522"/>
      <c r="BI118" s="2523"/>
      <c r="BJ118" s="2376"/>
      <c r="BK118" s="2377"/>
      <c r="BL118" s="2377"/>
      <c r="BM118" s="2377"/>
      <c r="BN118" s="2378"/>
      <c r="BO118" s="2554"/>
      <c r="BP118" s="2555"/>
      <c r="BQ118" s="2555"/>
      <c r="BR118" s="2425"/>
      <c r="BS118" s="2425"/>
      <c r="BT118" s="2558"/>
      <c r="BU118" s="2558"/>
      <c r="BV118" s="2425"/>
      <c r="BW118" s="2425"/>
      <c r="BX118" s="2626"/>
      <c r="BY118" s="2626"/>
      <c r="BZ118" s="2626"/>
      <c r="CA118" s="2627"/>
      <c r="CB118" s="2376"/>
      <c r="CC118" s="2377"/>
      <c r="CD118" s="2377"/>
      <c r="CE118" s="2377"/>
      <c r="CF118" s="2377"/>
      <c r="CG118" s="2378"/>
      <c r="CH118" s="2503"/>
      <c r="CI118" s="2496"/>
      <c r="CJ118" s="2421"/>
      <c r="CK118" s="2422"/>
      <c r="CL118" s="2422"/>
      <c r="CM118" s="2422"/>
      <c r="CN118" s="2423"/>
      <c r="CO118" s="2503"/>
      <c r="CP118" s="2495"/>
      <c r="CQ118" s="2495"/>
      <c r="CR118" s="2495"/>
      <c r="CS118" s="2495"/>
      <c r="CT118" s="2495"/>
      <c r="CU118" s="2495"/>
      <c r="CV118" s="2495"/>
      <c r="CW118" s="2495"/>
      <c r="CX118" s="2495"/>
      <c r="CY118" s="2495"/>
      <c r="CZ118" s="2495"/>
      <c r="DA118" s="2495"/>
      <c r="DB118" s="2495"/>
      <c r="DC118" s="2495"/>
      <c r="DD118" s="2495"/>
      <c r="DE118" s="2495"/>
      <c r="DF118" s="2495"/>
      <c r="DG118" s="2495"/>
      <c r="DH118" s="2495"/>
      <c r="DI118" s="2495"/>
      <c r="DJ118" s="2495"/>
      <c r="DK118" s="2495"/>
      <c r="DL118" s="2504"/>
    </row>
    <row r="119" spans="1:122" ht="11.25" customHeight="1" thickTop="1">
      <c r="A119" s="44"/>
      <c r="B119" s="2546" t="s">
        <v>235</v>
      </c>
      <c r="C119" s="2547"/>
      <c r="D119" s="2547"/>
      <c r="E119" s="2548"/>
      <c r="F119" s="2548"/>
      <c r="G119" s="2548"/>
      <c r="H119" s="2548"/>
      <c r="I119" s="2548"/>
      <c r="J119" s="2548"/>
      <c r="K119" s="2548"/>
      <c r="L119" s="2548"/>
      <c r="M119" s="2548"/>
      <c r="N119" s="2548"/>
      <c r="O119" s="2548"/>
      <c r="P119" s="2548"/>
      <c r="Q119" s="2548"/>
      <c r="R119" s="2548"/>
      <c r="S119" s="2548"/>
      <c r="T119" s="2548"/>
      <c r="U119" s="2548"/>
      <c r="V119" s="2548"/>
      <c r="W119" s="2548"/>
      <c r="X119" s="2547"/>
      <c r="Y119" s="2547"/>
      <c r="Z119" s="2547"/>
      <c r="AA119" s="2548"/>
      <c r="AB119" s="2548"/>
      <c r="AC119" s="2548"/>
      <c r="AD119" s="2548"/>
      <c r="AE119" s="2548"/>
      <c r="AF119" s="2548"/>
      <c r="AG119" s="2548"/>
      <c r="AH119" s="2548"/>
      <c r="AI119" s="2548"/>
      <c r="AJ119" s="2548"/>
      <c r="AK119" s="2548"/>
      <c r="AL119" s="2548"/>
      <c r="AM119" s="2548"/>
      <c r="AN119" s="2548"/>
      <c r="AO119" s="2548"/>
      <c r="AP119" s="2548"/>
      <c r="AQ119" s="2548"/>
      <c r="AR119" s="2548"/>
      <c r="AS119" s="2548"/>
      <c r="AT119" s="2548"/>
      <c r="AU119" s="2548"/>
      <c r="AV119" s="2547"/>
      <c r="AW119" s="2547"/>
      <c r="AX119" s="2547"/>
      <c r="AY119" s="2547"/>
      <c r="AZ119" s="2547"/>
      <c r="BA119" s="2547"/>
      <c r="BB119" s="2547"/>
      <c r="BC119" s="2547"/>
      <c r="BD119" s="2547"/>
      <c r="BE119" s="2547"/>
      <c r="BF119" s="2547"/>
      <c r="BG119" s="2547"/>
      <c r="BH119" s="2547"/>
      <c r="BI119" s="2547"/>
      <c r="BJ119" s="2547"/>
      <c r="BK119" s="2547"/>
      <c r="BL119" s="2547"/>
      <c r="BM119" s="2547"/>
      <c r="BN119" s="2547"/>
      <c r="BO119" s="2547"/>
      <c r="BP119" s="2547"/>
      <c r="BQ119" s="2547"/>
      <c r="BR119" s="2547"/>
      <c r="BS119" s="2547"/>
      <c r="BT119" s="2547"/>
      <c r="BU119" s="2547"/>
      <c r="BV119" s="2547"/>
      <c r="BW119" s="2547"/>
      <c r="BX119" s="2547"/>
      <c r="BY119" s="2547"/>
      <c r="BZ119" s="2547"/>
      <c r="CA119" s="2547"/>
      <c r="CB119" s="2547"/>
      <c r="CC119" s="2547"/>
      <c r="CD119" s="2547"/>
      <c r="CE119" s="2547"/>
      <c r="CF119" s="2547"/>
      <c r="CG119" s="2547"/>
      <c r="CH119" s="2547"/>
      <c r="CI119" s="2547"/>
      <c r="CJ119" s="2547"/>
      <c r="CK119" s="2547"/>
      <c r="CL119" s="2547"/>
      <c r="CM119" s="2547"/>
      <c r="CN119" s="2547"/>
      <c r="CO119" s="2547"/>
      <c r="CP119" s="2547"/>
      <c r="CQ119" s="2547"/>
      <c r="CR119" s="2547"/>
      <c r="CS119" s="2547"/>
      <c r="CT119" s="2547"/>
      <c r="CU119" s="2547"/>
      <c r="CV119" s="2547"/>
      <c r="CW119" s="2547"/>
      <c r="CX119" s="2547"/>
      <c r="CY119" s="2547"/>
      <c r="CZ119" s="2547"/>
      <c r="DA119" s="2547"/>
      <c r="DB119" s="2547"/>
      <c r="DC119" s="2547"/>
      <c r="DD119" s="2547"/>
      <c r="DE119" s="2547"/>
      <c r="DF119" s="2547"/>
      <c r="DG119" s="2547"/>
      <c r="DH119" s="2547"/>
      <c r="DI119" s="2547"/>
      <c r="DJ119" s="2547"/>
      <c r="DK119" s="2547"/>
      <c r="DL119" s="2549"/>
      <c r="DM119" s="125"/>
      <c r="DR119" s="109"/>
    </row>
    <row r="120" spans="1:122" s="129" customFormat="1" ht="7.5" customHeight="1">
      <c r="A120" s="128"/>
      <c r="B120" s="2508" t="s">
        <v>249</v>
      </c>
      <c r="C120" s="2444"/>
      <c r="D120" s="2444"/>
      <c r="E120" s="2444"/>
      <c r="F120" s="2444"/>
      <c r="G120" s="2444"/>
      <c r="H120" s="2444"/>
      <c r="I120" s="2444"/>
      <c r="J120" s="2445"/>
      <c r="K120" s="2499"/>
      <c r="L120" s="2491"/>
      <c r="M120" s="2491"/>
      <c r="N120" s="2491"/>
      <c r="O120" s="2491"/>
      <c r="P120" s="2491"/>
      <c r="Q120" s="2491"/>
      <c r="R120" s="2491"/>
      <c r="S120" s="2491"/>
      <c r="T120" s="2491"/>
      <c r="U120" s="2491"/>
      <c r="V120" s="2491"/>
      <c r="W120" s="2491"/>
      <c r="X120" s="2491"/>
      <c r="Y120" s="2491"/>
      <c r="Z120" s="2492"/>
      <c r="AA120" s="2443" t="s">
        <v>250</v>
      </c>
      <c r="AB120" s="2444"/>
      <c r="AC120" s="2444"/>
      <c r="AD120" s="2444"/>
      <c r="AE120" s="2444"/>
      <c r="AF120" s="2444"/>
      <c r="AG120" s="2445"/>
      <c r="AH120" s="2559"/>
      <c r="AI120" s="2560"/>
      <c r="AJ120" s="2560"/>
      <c r="AK120" s="2560"/>
      <c r="AL120" s="2560"/>
      <c r="AM120" s="2560"/>
      <c r="AN120" s="2560"/>
      <c r="AO120" s="2560"/>
      <c r="AP120" s="2560"/>
      <c r="AQ120" s="2560"/>
      <c r="AR120" s="2560"/>
      <c r="AS120" s="2560"/>
      <c r="AT120" s="2544" t="s">
        <v>744</v>
      </c>
      <c r="AU120" s="2544"/>
      <c r="AV120" s="2544"/>
      <c r="AW120" s="2544"/>
      <c r="AX120" s="2544"/>
      <c r="AY120" s="2426"/>
      <c r="AZ120" s="2426"/>
      <c r="BA120" s="2426"/>
      <c r="BB120" s="2426"/>
      <c r="BC120" s="2426"/>
      <c r="BD120" s="2426"/>
      <c r="BE120" s="2426"/>
      <c r="BF120" s="2426"/>
      <c r="BG120" s="2426"/>
      <c r="BH120" s="2426"/>
      <c r="BI120" s="2426"/>
      <c r="BJ120" s="2426"/>
      <c r="BK120" s="2426"/>
      <c r="BL120" s="2426"/>
      <c r="BM120" s="2426"/>
      <c r="BN120" s="2426"/>
      <c r="BO120" s="2426"/>
      <c r="BP120" s="2426"/>
      <c r="BQ120" s="2367" t="s">
        <v>251</v>
      </c>
      <c r="BR120" s="2368"/>
      <c r="BS120" s="2368"/>
      <c r="BT120" s="2368"/>
      <c r="BU120" s="2368"/>
      <c r="BV120" s="2369"/>
      <c r="BW120" s="2534"/>
      <c r="BX120" s="2535"/>
      <c r="BY120" s="2896" t="s">
        <v>742</v>
      </c>
      <c r="BZ120" s="2896"/>
      <c r="CA120" s="2896"/>
      <c r="CB120" s="2896"/>
      <c r="CC120" s="2896"/>
      <c r="CD120" s="2896"/>
      <c r="CE120" s="2896"/>
      <c r="CF120" s="2896"/>
      <c r="CG120" s="2896"/>
      <c r="CH120" s="2896"/>
      <c r="CI120" s="2896"/>
      <c r="CJ120" s="2896"/>
      <c r="CK120" s="2894"/>
      <c r="CL120" s="2894"/>
      <c r="CM120" s="2894"/>
      <c r="CN120" s="2538" t="s">
        <v>252</v>
      </c>
      <c r="CO120" s="2539"/>
      <c r="CP120" s="2539"/>
      <c r="CQ120" s="2540"/>
      <c r="CR120" s="2534"/>
      <c r="CS120" s="2535"/>
      <c r="CT120" s="2367" t="s">
        <v>743</v>
      </c>
      <c r="CU120" s="2368"/>
      <c r="CV120" s="2368"/>
      <c r="CW120" s="2368"/>
      <c r="CX120" s="2368"/>
      <c r="CY120" s="2368"/>
      <c r="CZ120" s="2368"/>
      <c r="DA120" s="2368"/>
      <c r="DB120" s="2368"/>
      <c r="DC120" s="2368"/>
      <c r="DD120" s="2368"/>
      <c r="DE120" s="2368"/>
      <c r="DF120" s="2369"/>
      <c r="DG120" s="2572"/>
      <c r="DH120" s="2572"/>
      <c r="DI120" s="2572"/>
      <c r="DJ120" s="2572"/>
      <c r="DK120" s="2572"/>
      <c r="DL120" s="2573"/>
    </row>
    <row r="121" spans="1:122" customFormat="1" ht="7.5" customHeight="1">
      <c r="A121" s="127"/>
      <c r="B121" s="2509"/>
      <c r="C121" s="2374"/>
      <c r="D121" s="2374"/>
      <c r="E121" s="2374"/>
      <c r="F121" s="2374"/>
      <c r="G121" s="2374"/>
      <c r="H121" s="2374"/>
      <c r="I121" s="2374"/>
      <c r="J121" s="2375"/>
      <c r="K121" s="2501"/>
      <c r="L121" s="2493"/>
      <c r="M121" s="2493"/>
      <c r="N121" s="2493"/>
      <c r="O121" s="2493"/>
      <c r="P121" s="2493"/>
      <c r="Q121" s="2493"/>
      <c r="R121" s="2493"/>
      <c r="S121" s="2493"/>
      <c r="T121" s="2493"/>
      <c r="U121" s="2493"/>
      <c r="V121" s="2493"/>
      <c r="W121" s="2493"/>
      <c r="X121" s="2493"/>
      <c r="Y121" s="2493"/>
      <c r="Z121" s="2494"/>
      <c r="AA121" s="2373"/>
      <c r="AB121" s="2374"/>
      <c r="AC121" s="2374"/>
      <c r="AD121" s="2374"/>
      <c r="AE121" s="2374"/>
      <c r="AF121" s="2374"/>
      <c r="AG121" s="2375"/>
      <c r="AH121" s="2561"/>
      <c r="AI121" s="2562"/>
      <c r="AJ121" s="2562"/>
      <c r="AK121" s="2562"/>
      <c r="AL121" s="2562"/>
      <c r="AM121" s="2562"/>
      <c r="AN121" s="2562"/>
      <c r="AO121" s="2562"/>
      <c r="AP121" s="2562"/>
      <c r="AQ121" s="2562"/>
      <c r="AR121" s="2562"/>
      <c r="AS121" s="2562"/>
      <c r="AT121" s="2545"/>
      <c r="AU121" s="2545"/>
      <c r="AV121" s="2545"/>
      <c r="AW121" s="2545"/>
      <c r="AX121" s="2545"/>
      <c r="AY121" s="2427"/>
      <c r="AZ121" s="2427"/>
      <c r="BA121" s="2427"/>
      <c r="BB121" s="2427"/>
      <c r="BC121" s="2427"/>
      <c r="BD121" s="2427"/>
      <c r="BE121" s="2427"/>
      <c r="BF121" s="2427"/>
      <c r="BG121" s="2427"/>
      <c r="BH121" s="2427"/>
      <c r="BI121" s="2427"/>
      <c r="BJ121" s="2427"/>
      <c r="BK121" s="2427"/>
      <c r="BL121" s="2427"/>
      <c r="BM121" s="2427"/>
      <c r="BN121" s="2427"/>
      <c r="BO121" s="2427"/>
      <c r="BP121" s="2427"/>
      <c r="BQ121" s="2370"/>
      <c r="BR121" s="2371"/>
      <c r="BS121" s="2371"/>
      <c r="BT121" s="2371"/>
      <c r="BU121" s="2371"/>
      <c r="BV121" s="2372"/>
      <c r="BW121" s="2536"/>
      <c r="BX121" s="2537"/>
      <c r="BY121" s="2897"/>
      <c r="BZ121" s="2897"/>
      <c r="CA121" s="2897"/>
      <c r="CB121" s="2897"/>
      <c r="CC121" s="2897"/>
      <c r="CD121" s="2897"/>
      <c r="CE121" s="2897"/>
      <c r="CF121" s="2897"/>
      <c r="CG121" s="2897"/>
      <c r="CH121" s="2897"/>
      <c r="CI121" s="2897"/>
      <c r="CJ121" s="2897"/>
      <c r="CK121" s="2895"/>
      <c r="CL121" s="2895"/>
      <c r="CM121" s="2895"/>
      <c r="CN121" s="2541"/>
      <c r="CO121" s="2542"/>
      <c r="CP121" s="2542"/>
      <c r="CQ121" s="2543"/>
      <c r="CR121" s="2536"/>
      <c r="CS121" s="2537"/>
      <c r="CT121" s="2370"/>
      <c r="CU121" s="2371"/>
      <c r="CV121" s="2371"/>
      <c r="CW121" s="2371"/>
      <c r="CX121" s="2371"/>
      <c r="CY121" s="2371"/>
      <c r="CZ121" s="2371"/>
      <c r="DA121" s="2371"/>
      <c r="DB121" s="2371"/>
      <c r="DC121" s="2371"/>
      <c r="DD121" s="2371"/>
      <c r="DE121" s="2371"/>
      <c r="DF121" s="2372"/>
      <c r="DG121" s="2574"/>
      <c r="DH121" s="2574"/>
      <c r="DI121" s="2574"/>
      <c r="DJ121" s="2574"/>
      <c r="DK121" s="2574"/>
      <c r="DL121" s="2575"/>
    </row>
    <row r="122" spans="1:122" customFormat="1" ht="7.5" customHeight="1">
      <c r="A122" s="127"/>
      <c r="B122" s="2510"/>
      <c r="C122" s="2377"/>
      <c r="D122" s="2377"/>
      <c r="E122" s="2377"/>
      <c r="F122" s="2377"/>
      <c r="G122" s="2377"/>
      <c r="H122" s="2377"/>
      <c r="I122" s="2377"/>
      <c r="J122" s="2378"/>
      <c r="K122" s="2506"/>
      <c r="L122" s="2507"/>
      <c r="M122" s="2493"/>
      <c r="N122" s="2493"/>
      <c r="O122" s="2493"/>
      <c r="P122" s="2493"/>
      <c r="Q122" s="2493"/>
      <c r="R122" s="2493"/>
      <c r="S122" s="2493"/>
      <c r="T122" s="2493"/>
      <c r="U122" s="2493"/>
      <c r="V122" s="2493"/>
      <c r="W122" s="2493"/>
      <c r="X122" s="2493"/>
      <c r="Y122" s="2493"/>
      <c r="Z122" s="2494"/>
      <c r="AA122" s="2373"/>
      <c r="AB122" s="2374"/>
      <c r="AC122" s="2374"/>
      <c r="AD122" s="2374"/>
      <c r="AE122" s="2374"/>
      <c r="AF122" s="2374"/>
      <c r="AG122" s="2375"/>
      <c r="AH122" s="2561"/>
      <c r="AI122" s="2562"/>
      <c r="AJ122" s="2562"/>
      <c r="AK122" s="2562"/>
      <c r="AL122" s="2562"/>
      <c r="AM122" s="2562"/>
      <c r="AN122" s="2562"/>
      <c r="AO122" s="2562"/>
      <c r="AP122" s="2562"/>
      <c r="AQ122" s="2562"/>
      <c r="AR122" s="2562"/>
      <c r="AS122" s="2562"/>
      <c r="AT122" s="2545"/>
      <c r="AU122" s="2545"/>
      <c r="AV122" s="2545"/>
      <c r="AW122" s="2545"/>
      <c r="AX122" s="2545"/>
      <c r="AY122" s="2427"/>
      <c r="AZ122" s="2427"/>
      <c r="BA122" s="2427"/>
      <c r="BB122" s="2427"/>
      <c r="BC122" s="2427"/>
      <c r="BD122" s="2427"/>
      <c r="BE122" s="2427"/>
      <c r="BF122" s="2427"/>
      <c r="BG122" s="2427"/>
      <c r="BH122" s="2427"/>
      <c r="BI122" s="2427"/>
      <c r="BJ122" s="2427"/>
      <c r="BK122" s="2427"/>
      <c r="BL122" s="2427"/>
      <c r="BM122" s="2427"/>
      <c r="BN122" s="2427"/>
      <c r="BO122" s="2427"/>
      <c r="BP122" s="2427"/>
      <c r="BQ122" s="2370"/>
      <c r="BR122" s="2371"/>
      <c r="BS122" s="2371"/>
      <c r="BT122" s="2371"/>
      <c r="BU122" s="2371"/>
      <c r="BV122" s="2372"/>
      <c r="BW122" s="2536"/>
      <c r="BX122" s="2537"/>
      <c r="BY122" s="2897"/>
      <c r="BZ122" s="2897"/>
      <c r="CA122" s="2897"/>
      <c r="CB122" s="2897"/>
      <c r="CC122" s="2897"/>
      <c r="CD122" s="2897"/>
      <c r="CE122" s="2897"/>
      <c r="CF122" s="2897"/>
      <c r="CG122" s="2897"/>
      <c r="CH122" s="2897"/>
      <c r="CI122" s="2897"/>
      <c r="CJ122" s="2897"/>
      <c r="CK122" s="2895"/>
      <c r="CL122" s="2895"/>
      <c r="CM122" s="2895"/>
      <c r="CN122" s="2541"/>
      <c r="CO122" s="2542"/>
      <c r="CP122" s="2542"/>
      <c r="CQ122" s="2543"/>
      <c r="CR122" s="2536"/>
      <c r="CS122" s="2537"/>
      <c r="CT122" s="2370"/>
      <c r="CU122" s="2371"/>
      <c r="CV122" s="2371"/>
      <c r="CW122" s="2371"/>
      <c r="CX122" s="2371"/>
      <c r="CY122" s="2371"/>
      <c r="CZ122" s="2371"/>
      <c r="DA122" s="2371"/>
      <c r="DB122" s="2371"/>
      <c r="DC122" s="2371"/>
      <c r="DD122" s="2371"/>
      <c r="DE122" s="2371"/>
      <c r="DF122" s="2372"/>
      <c r="DG122" s="2574"/>
      <c r="DH122" s="2574"/>
      <c r="DI122" s="2574"/>
      <c r="DJ122" s="2574"/>
      <c r="DK122" s="2574"/>
      <c r="DL122" s="2575"/>
    </row>
    <row r="123" spans="1:122" customFormat="1" ht="7.5" customHeight="1">
      <c r="A123" s="127"/>
      <c r="B123" s="2379" t="s">
        <v>1177</v>
      </c>
      <c r="C123" s="2380"/>
      <c r="D123" s="2380"/>
      <c r="E123" s="2380"/>
      <c r="F123" s="2380"/>
      <c r="G123" s="2380"/>
      <c r="H123" s="2380"/>
      <c r="I123" s="2380"/>
      <c r="J123" s="2380"/>
      <c r="K123" s="2416"/>
      <c r="L123" s="2417"/>
      <c r="M123" s="2389" t="s">
        <v>1406</v>
      </c>
      <c r="N123" s="2390"/>
      <c r="O123" s="2390"/>
      <c r="P123" s="2390"/>
      <c r="Q123" s="2390"/>
      <c r="R123" s="2390"/>
      <c r="S123" s="2390"/>
      <c r="T123" s="2390"/>
      <c r="U123" s="2390"/>
      <c r="V123" s="2390"/>
      <c r="W123" s="2390"/>
      <c r="X123" s="2390"/>
      <c r="Y123" s="2383"/>
      <c r="Z123" s="2384"/>
      <c r="AA123" s="2395"/>
      <c r="AB123" s="2395"/>
      <c r="AC123" s="2395"/>
      <c r="AD123" s="2395"/>
      <c r="AE123" s="2395"/>
      <c r="AF123" s="2395"/>
      <c r="AG123" s="2395"/>
      <c r="AH123" s="2395"/>
      <c r="AI123" s="2395"/>
      <c r="AJ123" s="2395"/>
      <c r="AK123" s="2395"/>
      <c r="AL123" s="2395"/>
      <c r="AM123" s="2395"/>
      <c r="AN123" s="2395"/>
      <c r="AO123" s="2395"/>
      <c r="AP123" s="2395"/>
      <c r="AQ123" s="2395"/>
      <c r="AR123" s="2395"/>
      <c r="AS123" s="2395"/>
      <c r="AT123" s="2395"/>
      <c r="AU123" s="2395"/>
      <c r="AV123" s="2395"/>
      <c r="AW123" s="2395"/>
      <c r="AX123" s="2395"/>
      <c r="AY123" s="2395"/>
      <c r="AZ123" s="2395"/>
      <c r="BA123" s="2395"/>
      <c r="BB123" s="2395"/>
      <c r="BC123" s="2395"/>
      <c r="BD123" s="2395"/>
      <c r="BE123" s="2395"/>
      <c r="BF123" s="2395"/>
      <c r="BG123" s="2395"/>
      <c r="BH123" s="2395"/>
      <c r="BI123" s="2395"/>
      <c r="BJ123" s="2395"/>
      <c r="BK123" s="2395"/>
      <c r="BL123" s="2395"/>
      <c r="BM123" s="2395"/>
      <c r="BN123" s="2395"/>
      <c r="BO123" s="2395"/>
      <c r="BP123" s="2395"/>
      <c r="BQ123" s="2395"/>
      <c r="BR123" s="2395"/>
      <c r="BS123" s="2395"/>
      <c r="BT123" s="2395"/>
      <c r="BU123" s="2395"/>
      <c r="BV123" s="2395"/>
      <c r="BW123" s="2395"/>
      <c r="BX123" s="2395"/>
      <c r="BY123" s="2395"/>
      <c r="BZ123" s="2395"/>
      <c r="CA123" s="2395"/>
      <c r="CB123" s="2395"/>
      <c r="CC123" s="2395"/>
      <c r="CD123" s="2395"/>
      <c r="CE123" s="2395"/>
      <c r="CF123" s="2395"/>
      <c r="CG123" s="2395"/>
      <c r="CH123" s="2395"/>
      <c r="CI123" s="2395"/>
      <c r="CJ123" s="2395"/>
      <c r="CK123" s="2395"/>
      <c r="CL123" s="2395"/>
      <c r="CM123" s="2395"/>
      <c r="CN123" s="2395"/>
      <c r="CO123" s="2395"/>
      <c r="CP123" s="2395"/>
      <c r="CQ123" s="2395"/>
      <c r="CR123" s="2395"/>
      <c r="CS123" s="2395"/>
      <c r="CT123" s="2395"/>
      <c r="CU123" s="2395"/>
      <c r="CV123" s="2395"/>
      <c r="CW123" s="2395"/>
      <c r="CX123" s="2395"/>
      <c r="CY123" s="2395"/>
      <c r="CZ123" s="2395"/>
      <c r="DA123" s="2395"/>
      <c r="DB123" s="2395"/>
      <c r="DC123" s="2395"/>
      <c r="DD123" s="2395"/>
      <c r="DE123" s="2395"/>
      <c r="DF123" s="2395"/>
      <c r="DG123" s="2395"/>
      <c r="DH123" s="2395"/>
      <c r="DI123" s="2395"/>
      <c r="DJ123" s="2395"/>
      <c r="DK123" s="2395"/>
      <c r="DL123" s="2395"/>
    </row>
    <row r="124" spans="1:122" customFormat="1" ht="7.5" customHeight="1">
      <c r="A124" s="127"/>
      <c r="B124" s="2381"/>
      <c r="C124" s="2382"/>
      <c r="D124" s="2382"/>
      <c r="E124" s="2382"/>
      <c r="F124" s="2382"/>
      <c r="G124" s="2382"/>
      <c r="H124" s="2382"/>
      <c r="I124" s="2382"/>
      <c r="J124" s="2382"/>
      <c r="K124" s="2416"/>
      <c r="L124" s="2417"/>
      <c r="M124" s="2391"/>
      <c r="N124" s="2392"/>
      <c r="O124" s="2392"/>
      <c r="P124" s="2392"/>
      <c r="Q124" s="2392"/>
      <c r="R124" s="2392"/>
      <c r="S124" s="2392"/>
      <c r="T124" s="2392"/>
      <c r="U124" s="2392"/>
      <c r="V124" s="2392"/>
      <c r="W124" s="2392"/>
      <c r="X124" s="2392"/>
      <c r="Y124" s="2385"/>
      <c r="Z124" s="2386"/>
      <c r="AA124" s="2396"/>
      <c r="AB124" s="2396"/>
      <c r="AC124" s="2396"/>
      <c r="AD124" s="2396"/>
      <c r="AE124" s="2396"/>
      <c r="AF124" s="2396"/>
      <c r="AG124" s="2396"/>
      <c r="AH124" s="2396"/>
      <c r="AI124" s="2396"/>
      <c r="AJ124" s="2396"/>
      <c r="AK124" s="2396"/>
      <c r="AL124" s="2396"/>
      <c r="AM124" s="2396"/>
      <c r="AN124" s="2396"/>
      <c r="AO124" s="2396"/>
      <c r="AP124" s="2396"/>
      <c r="AQ124" s="2396"/>
      <c r="AR124" s="2396"/>
      <c r="AS124" s="2396"/>
      <c r="AT124" s="2396"/>
      <c r="AU124" s="2396"/>
      <c r="AV124" s="2396"/>
      <c r="AW124" s="2396"/>
      <c r="AX124" s="2396"/>
      <c r="AY124" s="2396"/>
      <c r="AZ124" s="2396"/>
      <c r="BA124" s="2396"/>
      <c r="BB124" s="2396"/>
      <c r="BC124" s="2396"/>
      <c r="BD124" s="2396"/>
      <c r="BE124" s="2396"/>
      <c r="BF124" s="2396"/>
      <c r="BG124" s="2396"/>
      <c r="BH124" s="2396"/>
      <c r="BI124" s="2396"/>
      <c r="BJ124" s="2396"/>
      <c r="BK124" s="2396"/>
      <c r="BL124" s="2396"/>
      <c r="BM124" s="2396"/>
      <c r="BN124" s="2396"/>
      <c r="BO124" s="2396"/>
      <c r="BP124" s="2396"/>
      <c r="BQ124" s="2396"/>
      <c r="BR124" s="2396"/>
      <c r="BS124" s="2396"/>
      <c r="BT124" s="2396"/>
      <c r="BU124" s="2396"/>
      <c r="BV124" s="2396"/>
      <c r="BW124" s="2396"/>
      <c r="BX124" s="2396"/>
      <c r="BY124" s="2396"/>
      <c r="BZ124" s="2396"/>
      <c r="CA124" s="2396"/>
      <c r="CB124" s="2396"/>
      <c r="CC124" s="2396"/>
      <c r="CD124" s="2396"/>
      <c r="CE124" s="2396"/>
      <c r="CF124" s="2396"/>
      <c r="CG124" s="2396"/>
      <c r="CH124" s="2396"/>
      <c r="CI124" s="2396"/>
      <c r="CJ124" s="2396"/>
      <c r="CK124" s="2396"/>
      <c r="CL124" s="2396"/>
      <c r="CM124" s="2396"/>
      <c r="CN124" s="2396"/>
      <c r="CO124" s="2396"/>
      <c r="CP124" s="2396"/>
      <c r="CQ124" s="2396"/>
      <c r="CR124" s="2396"/>
      <c r="CS124" s="2396"/>
      <c r="CT124" s="2396"/>
      <c r="CU124" s="2396"/>
      <c r="CV124" s="2396"/>
      <c r="CW124" s="2396"/>
      <c r="CX124" s="2396"/>
      <c r="CY124" s="2396"/>
      <c r="CZ124" s="2396"/>
      <c r="DA124" s="2396"/>
      <c r="DB124" s="2396"/>
      <c r="DC124" s="2396"/>
      <c r="DD124" s="2396"/>
      <c r="DE124" s="2396"/>
      <c r="DF124" s="2396"/>
      <c r="DG124" s="2396"/>
      <c r="DH124" s="2396"/>
      <c r="DI124" s="2396"/>
      <c r="DJ124" s="2396"/>
      <c r="DK124" s="2396"/>
      <c r="DL124" s="2396"/>
    </row>
    <row r="125" spans="1:122" customFormat="1" ht="7.5" customHeight="1">
      <c r="A125" s="127"/>
      <c r="B125" s="2381"/>
      <c r="C125" s="2382"/>
      <c r="D125" s="2382"/>
      <c r="E125" s="2382"/>
      <c r="F125" s="2382"/>
      <c r="G125" s="2382"/>
      <c r="H125" s="2382"/>
      <c r="I125" s="2382"/>
      <c r="J125" s="2382"/>
      <c r="K125" s="2416"/>
      <c r="L125" s="2417"/>
      <c r="M125" s="2393"/>
      <c r="N125" s="2394"/>
      <c r="O125" s="2394"/>
      <c r="P125" s="2394"/>
      <c r="Q125" s="2394"/>
      <c r="R125" s="2394"/>
      <c r="S125" s="2394"/>
      <c r="T125" s="2394"/>
      <c r="U125" s="2394"/>
      <c r="V125" s="2394"/>
      <c r="W125" s="2394"/>
      <c r="X125" s="2394"/>
      <c r="Y125" s="2387"/>
      <c r="Z125" s="2388"/>
      <c r="AA125" s="2397"/>
      <c r="AB125" s="2397"/>
      <c r="AC125" s="2397"/>
      <c r="AD125" s="2397"/>
      <c r="AE125" s="2397"/>
      <c r="AF125" s="2397"/>
      <c r="AG125" s="2397"/>
      <c r="AH125" s="2397"/>
      <c r="AI125" s="2397"/>
      <c r="AJ125" s="2397"/>
      <c r="AK125" s="2397"/>
      <c r="AL125" s="2397"/>
      <c r="AM125" s="2397"/>
      <c r="AN125" s="2397"/>
      <c r="AO125" s="2397"/>
      <c r="AP125" s="2397"/>
      <c r="AQ125" s="2397"/>
      <c r="AR125" s="2397"/>
      <c r="AS125" s="2397"/>
      <c r="AT125" s="2397"/>
      <c r="AU125" s="2397"/>
      <c r="AV125" s="2397"/>
      <c r="AW125" s="2397"/>
      <c r="AX125" s="2397"/>
      <c r="AY125" s="2397"/>
      <c r="AZ125" s="2397"/>
      <c r="BA125" s="2397"/>
      <c r="BB125" s="2397"/>
      <c r="BC125" s="2397"/>
      <c r="BD125" s="2397"/>
      <c r="BE125" s="2397"/>
      <c r="BF125" s="2397"/>
      <c r="BG125" s="2397"/>
      <c r="BH125" s="2397"/>
      <c r="BI125" s="2397"/>
      <c r="BJ125" s="2397"/>
      <c r="BK125" s="2397"/>
      <c r="BL125" s="2397"/>
      <c r="BM125" s="2397"/>
      <c r="BN125" s="2397"/>
      <c r="BO125" s="2397"/>
      <c r="BP125" s="2397"/>
      <c r="BQ125" s="2397"/>
      <c r="BR125" s="2397"/>
      <c r="BS125" s="2397"/>
      <c r="BT125" s="2397"/>
      <c r="BU125" s="2397"/>
      <c r="BV125" s="2397"/>
      <c r="BW125" s="2397"/>
      <c r="BX125" s="2397"/>
      <c r="BY125" s="2397"/>
      <c r="BZ125" s="2397"/>
      <c r="CA125" s="2397"/>
      <c r="CB125" s="2397"/>
      <c r="CC125" s="2397"/>
      <c r="CD125" s="2397"/>
      <c r="CE125" s="2397"/>
      <c r="CF125" s="2397"/>
      <c r="CG125" s="2397"/>
      <c r="CH125" s="2397"/>
      <c r="CI125" s="2397"/>
      <c r="CJ125" s="2397"/>
      <c r="CK125" s="2397"/>
      <c r="CL125" s="2397"/>
      <c r="CM125" s="2397"/>
      <c r="CN125" s="2397"/>
      <c r="CO125" s="2397"/>
      <c r="CP125" s="2397"/>
      <c r="CQ125" s="2397"/>
      <c r="CR125" s="2397"/>
      <c r="CS125" s="2397"/>
      <c r="CT125" s="2397"/>
      <c r="CU125" s="2397"/>
      <c r="CV125" s="2397"/>
      <c r="CW125" s="2397"/>
      <c r="CX125" s="2397"/>
      <c r="CY125" s="2397"/>
      <c r="CZ125" s="2397"/>
      <c r="DA125" s="2397"/>
      <c r="DB125" s="2397"/>
      <c r="DC125" s="2397"/>
      <c r="DD125" s="2397"/>
      <c r="DE125" s="2397"/>
      <c r="DF125" s="2397"/>
      <c r="DG125" s="2397"/>
      <c r="DH125" s="2397"/>
      <c r="DI125" s="2397"/>
      <c r="DJ125" s="2397"/>
      <c r="DK125" s="2397"/>
      <c r="DL125" s="2397"/>
    </row>
    <row r="126" spans="1:122" s="130" customFormat="1" ht="9" customHeight="1" thickBot="1">
      <c r="B126" s="2473" t="s">
        <v>505</v>
      </c>
      <c r="C126" s="2474"/>
      <c r="D126" s="2474"/>
      <c r="E126" s="2474"/>
      <c r="F126" s="2474"/>
      <c r="G126" s="2474"/>
      <c r="H126" s="2474"/>
      <c r="I126" s="2474"/>
      <c r="J126" s="2474"/>
      <c r="K126" s="2474"/>
      <c r="L126" s="2474"/>
      <c r="M126" s="2474"/>
      <c r="N126" s="2474"/>
      <c r="O126" s="2474"/>
      <c r="P126" s="2474"/>
      <c r="Q126" s="2474"/>
      <c r="R126" s="2474"/>
      <c r="S126" s="2474"/>
      <c r="T126" s="2474"/>
      <c r="U126" s="2474"/>
      <c r="V126" s="2474"/>
      <c r="W126" s="2474"/>
      <c r="X126" s="2474"/>
      <c r="Y126" s="2474"/>
      <c r="Z126" s="2474"/>
      <c r="AA126" s="2474"/>
      <c r="AB126" s="2474"/>
      <c r="AC126" s="2474"/>
      <c r="AD126" s="2474"/>
      <c r="AE126" s="2474"/>
      <c r="AF126" s="2474"/>
      <c r="AG126" s="2474"/>
      <c r="AH126" s="2474"/>
      <c r="AI126" s="2474"/>
      <c r="AJ126" s="2474"/>
      <c r="AK126" s="2474"/>
      <c r="AL126" s="2474"/>
      <c r="AM126" s="2474"/>
      <c r="AN126" s="2474"/>
      <c r="AO126" s="2474"/>
      <c r="AP126" s="2474"/>
      <c r="AQ126" s="2474"/>
      <c r="AR126" s="2474"/>
      <c r="AS126" s="2474"/>
      <c r="AT126" s="2474"/>
      <c r="AU126" s="2474"/>
      <c r="AV126" s="2474"/>
      <c r="AW126" s="2474"/>
      <c r="AX126" s="2474"/>
      <c r="AY126" s="2474"/>
      <c r="AZ126" s="2474"/>
      <c r="BA126" s="2474"/>
      <c r="BB126" s="2474"/>
      <c r="BC126" s="2474"/>
      <c r="BD126" s="2474"/>
      <c r="BE126" s="2474"/>
      <c r="BF126" s="2474"/>
      <c r="BG126" s="2474"/>
      <c r="BH126" s="2474"/>
      <c r="BI126" s="2474"/>
      <c r="BJ126" s="2474"/>
      <c r="BK126" s="2474"/>
      <c r="BL126" s="2474"/>
      <c r="BM126" s="2474"/>
      <c r="BN126" s="2474"/>
      <c r="BO126" s="2474"/>
      <c r="BP126" s="2474"/>
      <c r="BQ126" s="2474"/>
      <c r="BR126" s="2474"/>
      <c r="BS126" s="2474"/>
      <c r="BT126" s="2474"/>
      <c r="BU126" s="2474"/>
      <c r="BV126" s="2474"/>
      <c r="BW126" s="2474"/>
      <c r="BX126" s="2474"/>
      <c r="BY126" s="2474"/>
      <c r="BZ126" s="2474"/>
      <c r="CA126" s="2474"/>
      <c r="CB126" s="2474"/>
      <c r="CC126" s="2474"/>
      <c r="CD126" s="2474"/>
      <c r="CE126" s="2474"/>
      <c r="CF126" s="2474"/>
      <c r="CG126" s="2474"/>
      <c r="CH126" s="2474"/>
      <c r="CI126" s="2474"/>
      <c r="CJ126" s="2474"/>
      <c r="CK126" s="2474"/>
      <c r="CL126" s="2474"/>
      <c r="CM126" s="2474"/>
      <c r="CN126" s="2474"/>
      <c r="CO126" s="2474"/>
      <c r="CP126" s="2474"/>
      <c r="CQ126" s="2474"/>
      <c r="CR126" s="2474"/>
      <c r="CS126" s="2474"/>
      <c r="CT126" s="2474"/>
      <c r="CU126" s="2474"/>
      <c r="CV126" s="2474"/>
      <c r="CW126" s="2474"/>
      <c r="CX126" s="2474"/>
      <c r="CY126" s="2474"/>
      <c r="CZ126" s="2474"/>
      <c r="DA126" s="2474"/>
      <c r="DB126" s="2474"/>
      <c r="DC126" s="2474"/>
      <c r="DD126" s="2474"/>
      <c r="DE126" s="2474"/>
      <c r="DF126" s="2474"/>
      <c r="DG126" s="2474"/>
      <c r="DH126" s="2474"/>
      <c r="DI126" s="2474"/>
      <c r="DJ126" s="2474"/>
      <c r="DK126" s="2474"/>
      <c r="DL126" s="2475"/>
      <c r="DM126" s="131"/>
      <c r="DN126" s="131"/>
      <c r="DO126" s="131"/>
      <c r="DQ126" s="132"/>
    </row>
    <row r="127" spans="1:122" s="133" customFormat="1" ht="6" customHeight="1" thickBot="1">
      <c r="B127" s="134"/>
      <c r="C127" s="134"/>
      <c r="D127" s="134"/>
      <c r="E127" s="134"/>
      <c r="F127" s="134"/>
      <c r="G127" s="134"/>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c r="BZ127" s="135"/>
      <c r="CA127" s="135"/>
      <c r="CB127" s="135"/>
      <c r="CC127" s="135"/>
      <c r="CD127" s="135"/>
      <c r="CE127" s="135"/>
      <c r="CF127" s="135"/>
      <c r="CG127" s="135"/>
      <c r="CH127" s="135"/>
      <c r="CI127" s="135"/>
      <c r="CJ127" s="135"/>
      <c r="CK127" s="135"/>
      <c r="CL127" s="135"/>
      <c r="CM127" s="135"/>
      <c r="CN127" s="135"/>
      <c r="CO127" s="135"/>
      <c r="CP127" s="135"/>
      <c r="CQ127" s="135"/>
      <c r="CR127" s="135"/>
      <c r="CS127" s="135"/>
      <c r="CT127" s="135"/>
      <c r="CU127" s="135"/>
      <c r="CV127" s="135"/>
      <c r="CW127" s="135"/>
      <c r="CX127" s="135"/>
      <c r="CY127" s="135"/>
      <c r="CZ127" s="135"/>
      <c r="DA127" s="135"/>
      <c r="DB127" s="135"/>
      <c r="DC127" s="135"/>
      <c r="DD127" s="135"/>
      <c r="DE127" s="135"/>
      <c r="DF127" s="135"/>
      <c r="DG127" s="135"/>
      <c r="DH127" s="135"/>
      <c r="DI127" s="135"/>
      <c r="DJ127" s="135"/>
      <c r="DK127" s="135"/>
      <c r="DL127" s="135"/>
      <c r="DM127" s="135"/>
      <c r="DN127" s="135"/>
      <c r="DO127" s="135"/>
      <c r="DQ127" s="134"/>
    </row>
    <row r="128" spans="1:122" s="129" customFormat="1" ht="7.5" customHeight="1">
      <c r="B128" s="2398" t="str">
        <f>IF(AF130="いいえ","(新規購入時) 以下の内容を確認いただき「はい」を選択下さい",IF(AF133="いいえ","以下の内容を確認いただき、「はい」を選択下さい",IF(AF137="いいえ","以下の内容を確認いただき、「はい」を選択下さい","使用上の注意、動作環境の確認")))</f>
        <v>使用上の注意、動作環境の確認</v>
      </c>
      <c r="C128" s="2399"/>
      <c r="D128" s="2399"/>
      <c r="E128" s="2399"/>
      <c r="F128" s="2399"/>
      <c r="G128" s="2399"/>
      <c r="H128" s="2399"/>
      <c r="I128" s="2399"/>
      <c r="J128" s="2399"/>
      <c r="K128" s="2399"/>
      <c r="L128" s="2399"/>
      <c r="M128" s="2399"/>
      <c r="N128" s="2399"/>
      <c r="O128" s="2399"/>
      <c r="P128" s="2399"/>
      <c r="Q128" s="2399"/>
      <c r="R128" s="2399"/>
      <c r="S128" s="2399"/>
      <c r="T128" s="2399"/>
      <c r="U128" s="2399"/>
      <c r="V128" s="2399"/>
      <c r="W128" s="2399"/>
      <c r="X128" s="2399"/>
      <c r="Y128" s="2399"/>
      <c r="Z128" s="2399"/>
      <c r="AA128" s="2399"/>
      <c r="AB128" s="2399"/>
      <c r="AC128" s="2399"/>
      <c r="AD128" s="2399"/>
      <c r="AE128" s="2399"/>
      <c r="AF128" s="2399"/>
      <c r="AG128" s="2399"/>
      <c r="AH128" s="2399"/>
      <c r="AI128" s="2400"/>
      <c r="AJ128" s="2888" t="s">
        <v>244</v>
      </c>
      <c r="AK128" s="2889"/>
      <c r="AL128" s="2889"/>
      <c r="AM128" s="2889"/>
      <c r="AN128" s="2889"/>
      <c r="AO128" s="2889"/>
      <c r="AP128" s="2889"/>
      <c r="AQ128" s="2889"/>
      <c r="AR128" s="2889"/>
      <c r="AS128" s="2889"/>
      <c r="AT128" s="2889"/>
      <c r="AU128" s="2889"/>
      <c r="AV128" s="2889"/>
      <c r="AW128" s="2889"/>
      <c r="AX128" s="2889"/>
      <c r="AY128" s="2889"/>
      <c r="AZ128" s="2889"/>
      <c r="BA128" s="2889"/>
      <c r="BB128" s="2889"/>
      <c r="BC128" s="2889"/>
      <c r="BD128" s="2889"/>
      <c r="BE128" s="2889"/>
      <c r="BF128" s="2889"/>
      <c r="BG128" s="2889"/>
      <c r="BH128" s="2889"/>
      <c r="BI128" s="2889"/>
      <c r="BJ128" s="2889"/>
      <c r="BK128" s="2889"/>
      <c r="BL128" s="2889"/>
      <c r="BM128" s="2889"/>
      <c r="BN128" s="2889"/>
      <c r="BO128" s="2889"/>
      <c r="BP128" s="2889"/>
      <c r="BQ128" s="2889"/>
      <c r="BR128" s="2889"/>
      <c r="BS128" s="2889"/>
      <c r="BT128" s="2889"/>
      <c r="BU128" s="2889"/>
      <c r="BV128" s="2889"/>
      <c r="BW128" s="2889"/>
      <c r="BX128" s="2889"/>
      <c r="BY128" s="2889"/>
      <c r="BZ128" s="2889"/>
      <c r="CA128" s="2889"/>
      <c r="CB128" s="2889"/>
      <c r="CC128" s="2889"/>
      <c r="CD128" s="2889"/>
      <c r="CE128" s="2889"/>
      <c r="CF128" s="2889"/>
      <c r="CG128" s="2889"/>
      <c r="CH128" s="2889"/>
      <c r="CI128" s="2889"/>
      <c r="CJ128" s="2889"/>
      <c r="CK128" s="2889"/>
      <c r="CL128" s="2889"/>
      <c r="CM128" s="2889"/>
      <c r="CN128" s="2889"/>
      <c r="CO128" s="2889"/>
      <c r="CP128" s="2889"/>
      <c r="CQ128" s="2889"/>
      <c r="CR128" s="2889"/>
      <c r="CS128" s="2889"/>
      <c r="CT128" s="2889"/>
      <c r="CU128" s="2889"/>
      <c r="CV128" s="2889"/>
      <c r="CW128" s="2889"/>
      <c r="CX128" s="2889"/>
      <c r="CY128" s="2889"/>
      <c r="CZ128" s="2889"/>
      <c r="DA128" s="2889"/>
      <c r="DB128" s="2889"/>
      <c r="DC128" s="2889"/>
      <c r="DD128" s="2889"/>
      <c r="DE128" s="2889"/>
      <c r="DF128" s="2889"/>
      <c r="DG128" s="2889"/>
      <c r="DH128" s="2889"/>
      <c r="DI128" s="2889"/>
      <c r="DJ128" s="2889"/>
      <c r="DK128" s="2889"/>
      <c r="DL128" s="2890"/>
    </row>
    <row r="129" spans="1:126" s="129" customFormat="1" ht="7.5" customHeight="1">
      <c r="A129" s="128"/>
      <c r="B129" s="2401"/>
      <c r="C129" s="2402"/>
      <c r="D129" s="2402"/>
      <c r="E129" s="2402"/>
      <c r="F129" s="2402"/>
      <c r="G129" s="2402"/>
      <c r="H129" s="2402"/>
      <c r="I129" s="2402"/>
      <c r="J129" s="2402"/>
      <c r="K129" s="2402"/>
      <c r="L129" s="2402"/>
      <c r="M129" s="2402"/>
      <c r="N129" s="2402"/>
      <c r="O129" s="2402"/>
      <c r="P129" s="2402"/>
      <c r="Q129" s="2402"/>
      <c r="R129" s="2402"/>
      <c r="S129" s="2402"/>
      <c r="T129" s="2402"/>
      <c r="U129" s="2402"/>
      <c r="V129" s="2402"/>
      <c r="W129" s="2402"/>
      <c r="X129" s="2402"/>
      <c r="Y129" s="2402"/>
      <c r="Z129" s="2402"/>
      <c r="AA129" s="2402"/>
      <c r="AB129" s="2402"/>
      <c r="AC129" s="2402"/>
      <c r="AD129" s="2402"/>
      <c r="AE129" s="2402"/>
      <c r="AF129" s="2402"/>
      <c r="AG129" s="2402"/>
      <c r="AH129" s="2402"/>
      <c r="AI129" s="2403"/>
      <c r="AJ129" s="2891"/>
      <c r="AK129" s="2892"/>
      <c r="AL129" s="2892"/>
      <c r="AM129" s="2892"/>
      <c r="AN129" s="2892"/>
      <c r="AO129" s="2892"/>
      <c r="AP129" s="2892"/>
      <c r="AQ129" s="2892"/>
      <c r="AR129" s="2892"/>
      <c r="AS129" s="2892"/>
      <c r="AT129" s="2892"/>
      <c r="AU129" s="2892"/>
      <c r="AV129" s="2892"/>
      <c r="AW129" s="2892"/>
      <c r="AX129" s="2892"/>
      <c r="AY129" s="2892"/>
      <c r="AZ129" s="2892"/>
      <c r="BA129" s="2892"/>
      <c r="BB129" s="2892"/>
      <c r="BC129" s="2892"/>
      <c r="BD129" s="2892"/>
      <c r="BE129" s="2892"/>
      <c r="BF129" s="2892"/>
      <c r="BG129" s="2892"/>
      <c r="BH129" s="2892"/>
      <c r="BI129" s="2892"/>
      <c r="BJ129" s="2892"/>
      <c r="BK129" s="2892"/>
      <c r="BL129" s="2892"/>
      <c r="BM129" s="2892"/>
      <c r="BN129" s="2892"/>
      <c r="BO129" s="2892"/>
      <c r="BP129" s="2892"/>
      <c r="BQ129" s="2892"/>
      <c r="BR129" s="2892"/>
      <c r="BS129" s="2892"/>
      <c r="BT129" s="2892"/>
      <c r="BU129" s="2892"/>
      <c r="BV129" s="2892"/>
      <c r="BW129" s="2892"/>
      <c r="BX129" s="2892"/>
      <c r="BY129" s="2892"/>
      <c r="BZ129" s="2892"/>
      <c r="CA129" s="2892"/>
      <c r="CB129" s="2892"/>
      <c r="CC129" s="2892"/>
      <c r="CD129" s="2892"/>
      <c r="CE129" s="2892"/>
      <c r="CF129" s="2892"/>
      <c r="CG129" s="2892"/>
      <c r="CH129" s="2892"/>
      <c r="CI129" s="2892"/>
      <c r="CJ129" s="2892"/>
      <c r="CK129" s="2892"/>
      <c r="CL129" s="2892"/>
      <c r="CM129" s="2892"/>
      <c r="CN129" s="2892"/>
      <c r="CO129" s="2892"/>
      <c r="CP129" s="2892"/>
      <c r="CQ129" s="2892"/>
      <c r="CR129" s="2892"/>
      <c r="CS129" s="2892"/>
      <c r="CT129" s="2892"/>
      <c r="CU129" s="2892"/>
      <c r="CV129" s="2892"/>
      <c r="CW129" s="2892"/>
      <c r="CX129" s="2892"/>
      <c r="CY129" s="2892"/>
      <c r="CZ129" s="2892"/>
      <c r="DA129" s="2892"/>
      <c r="DB129" s="2892"/>
      <c r="DC129" s="2892"/>
      <c r="DD129" s="2892"/>
      <c r="DE129" s="2892"/>
      <c r="DF129" s="2892"/>
      <c r="DG129" s="2892"/>
      <c r="DH129" s="2892"/>
      <c r="DI129" s="2892"/>
      <c r="DJ129" s="2892"/>
      <c r="DK129" s="2892"/>
      <c r="DL129" s="2893"/>
    </row>
    <row r="130" spans="1:126" customFormat="1" ht="7.5" customHeight="1">
      <c r="A130" s="127"/>
      <c r="B130" s="2511" t="s">
        <v>1519</v>
      </c>
      <c r="C130" s="2512"/>
      <c r="D130" s="2512"/>
      <c r="E130" s="2512"/>
      <c r="F130" s="2512"/>
      <c r="G130" s="2512"/>
      <c r="H130" s="2512"/>
      <c r="I130" s="2512"/>
      <c r="J130" s="2512"/>
      <c r="K130" s="2512"/>
      <c r="L130" s="2512"/>
      <c r="M130" s="2512"/>
      <c r="N130" s="2512"/>
      <c r="O130" s="2512"/>
      <c r="P130" s="2512"/>
      <c r="Q130" s="2512"/>
      <c r="R130" s="2512"/>
      <c r="S130" s="2512"/>
      <c r="T130" s="2512"/>
      <c r="U130" s="2512"/>
      <c r="V130" s="2512"/>
      <c r="W130" s="2512"/>
      <c r="X130" s="2512"/>
      <c r="Y130" s="2512"/>
      <c r="Z130" s="2512"/>
      <c r="AA130" s="2512"/>
      <c r="AB130" s="2512"/>
      <c r="AC130" s="2512"/>
      <c r="AD130" s="2512"/>
      <c r="AE130" s="2513"/>
      <c r="AF130" s="2563"/>
      <c r="AG130" s="2564"/>
      <c r="AH130" s="2564"/>
      <c r="AI130" s="2565"/>
      <c r="AJ130" s="2404" t="s">
        <v>563</v>
      </c>
      <c r="AK130" s="2405"/>
      <c r="AL130" s="2405"/>
      <c r="AM130" s="2405"/>
      <c r="AN130" s="2405"/>
      <c r="AO130" s="2405"/>
      <c r="AP130" s="2405"/>
      <c r="AQ130" s="2405"/>
      <c r="AR130" s="2405"/>
      <c r="AS130" s="2405"/>
      <c r="AT130" s="2405"/>
      <c r="AU130" s="2405"/>
      <c r="AV130" s="2405"/>
      <c r="AW130" s="2405"/>
      <c r="AX130" s="2405"/>
      <c r="AY130" s="2405"/>
      <c r="AZ130" s="2405"/>
      <c r="BA130" s="2405"/>
      <c r="BB130" s="2405"/>
      <c r="BC130" s="2405"/>
      <c r="BD130" s="2405"/>
      <c r="BE130" s="2405"/>
      <c r="BF130" s="2405"/>
      <c r="BG130" s="2405"/>
      <c r="BH130" s="2405"/>
      <c r="BI130" s="2405"/>
      <c r="BJ130" s="2405"/>
      <c r="BK130" s="2405"/>
      <c r="BL130" s="2405"/>
      <c r="BM130" s="2405"/>
      <c r="BN130" s="2405"/>
      <c r="BO130" s="2405"/>
      <c r="BP130" s="2405"/>
      <c r="BQ130" s="2405"/>
      <c r="BR130" s="2405"/>
      <c r="BS130" s="2405"/>
      <c r="BT130" s="2405"/>
      <c r="BU130" s="2405"/>
      <c r="BV130" s="2405"/>
      <c r="BW130" s="2405"/>
      <c r="BX130" s="2405"/>
      <c r="BY130" s="2405"/>
      <c r="BZ130" s="2405"/>
      <c r="CA130" s="2405"/>
      <c r="CB130" s="2405"/>
      <c r="CC130" s="2405"/>
      <c r="CD130" s="2405"/>
      <c r="CE130" s="2405"/>
      <c r="CF130" s="2405"/>
      <c r="CG130" s="2405"/>
      <c r="CH130" s="2405"/>
      <c r="CI130" s="2405"/>
      <c r="CJ130" s="2405"/>
      <c r="CK130" s="2405"/>
      <c r="CL130" s="2405"/>
      <c r="CM130" s="2405"/>
      <c r="CN130" s="2405"/>
      <c r="CO130" s="2405"/>
      <c r="CP130" s="2405"/>
      <c r="CQ130" s="2405"/>
      <c r="CR130" s="2405"/>
      <c r="CS130" s="2405"/>
      <c r="CT130" s="2405"/>
      <c r="CU130" s="2405"/>
      <c r="CV130" s="2405"/>
      <c r="CW130" s="2405"/>
      <c r="CX130" s="2405"/>
      <c r="CY130" s="2405"/>
      <c r="CZ130" s="2405"/>
      <c r="DA130" s="2405"/>
      <c r="DB130" s="2405"/>
      <c r="DC130" s="2405"/>
      <c r="DD130" s="2405"/>
      <c r="DE130" s="2405"/>
      <c r="DF130" s="2405"/>
      <c r="DG130" s="2405"/>
      <c r="DH130" s="2405"/>
      <c r="DI130" s="2405"/>
      <c r="DJ130" s="2405"/>
      <c r="DK130" s="2405"/>
      <c r="DL130" s="2406"/>
    </row>
    <row r="131" spans="1:126" customFormat="1" ht="7.5" customHeight="1">
      <c r="A131" s="127"/>
      <c r="B131" s="2514"/>
      <c r="C131" s="2515"/>
      <c r="D131" s="2515"/>
      <c r="E131" s="2515"/>
      <c r="F131" s="2515"/>
      <c r="G131" s="2515"/>
      <c r="H131" s="2515"/>
      <c r="I131" s="2515"/>
      <c r="J131" s="2515"/>
      <c r="K131" s="2515"/>
      <c r="L131" s="2515"/>
      <c r="M131" s="2515"/>
      <c r="N131" s="2515"/>
      <c r="O131" s="2515"/>
      <c r="P131" s="2515"/>
      <c r="Q131" s="2515"/>
      <c r="R131" s="2515"/>
      <c r="S131" s="2515"/>
      <c r="T131" s="2515"/>
      <c r="U131" s="2515"/>
      <c r="V131" s="2515"/>
      <c r="W131" s="2515"/>
      <c r="X131" s="2515"/>
      <c r="Y131" s="2515"/>
      <c r="Z131" s="2515"/>
      <c r="AA131" s="2515"/>
      <c r="AB131" s="2515"/>
      <c r="AC131" s="2515"/>
      <c r="AD131" s="2515"/>
      <c r="AE131" s="2516"/>
      <c r="AF131" s="2566"/>
      <c r="AG131" s="2567"/>
      <c r="AH131" s="2567"/>
      <c r="AI131" s="2568"/>
      <c r="AJ131" s="2404"/>
      <c r="AK131" s="2405"/>
      <c r="AL131" s="2405"/>
      <c r="AM131" s="2405"/>
      <c r="AN131" s="2405"/>
      <c r="AO131" s="2405"/>
      <c r="AP131" s="2405"/>
      <c r="AQ131" s="2405"/>
      <c r="AR131" s="2405"/>
      <c r="AS131" s="2405"/>
      <c r="AT131" s="2405"/>
      <c r="AU131" s="2405"/>
      <c r="AV131" s="2405"/>
      <c r="AW131" s="2405"/>
      <c r="AX131" s="2405"/>
      <c r="AY131" s="2405"/>
      <c r="AZ131" s="2405"/>
      <c r="BA131" s="2405"/>
      <c r="BB131" s="2405"/>
      <c r="BC131" s="2405"/>
      <c r="BD131" s="2405"/>
      <c r="BE131" s="2405"/>
      <c r="BF131" s="2405"/>
      <c r="BG131" s="2405"/>
      <c r="BH131" s="2405"/>
      <c r="BI131" s="2405"/>
      <c r="BJ131" s="2405"/>
      <c r="BK131" s="2405"/>
      <c r="BL131" s="2405"/>
      <c r="BM131" s="2405"/>
      <c r="BN131" s="2405"/>
      <c r="BO131" s="2405"/>
      <c r="BP131" s="2405"/>
      <c r="BQ131" s="2405"/>
      <c r="BR131" s="2405"/>
      <c r="BS131" s="2405"/>
      <c r="BT131" s="2405"/>
      <c r="BU131" s="2405"/>
      <c r="BV131" s="2405"/>
      <c r="BW131" s="2405"/>
      <c r="BX131" s="2405"/>
      <c r="BY131" s="2405"/>
      <c r="BZ131" s="2405"/>
      <c r="CA131" s="2405"/>
      <c r="CB131" s="2405"/>
      <c r="CC131" s="2405"/>
      <c r="CD131" s="2405"/>
      <c r="CE131" s="2405"/>
      <c r="CF131" s="2405"/>
      <c r="CG131" s="2405"/>
      <c r="CH131" s="2405"/>
      <c r="CI131" s="2405"/>
      <c r="CJ131" s="2405"/>
      <c r="CK131" s="2405"/>
      <c r="CL131" s="2405"/>
      <c r="CM131" s="2405"/>
      <c r="CN131" s="2405"/>
      <c r="CO131" s="2405"/>
      <c r="CP131" s="2405"/>
      <c r="CQ131" s="2405"/>
      <c r="CR131" s="2405"/>
      <c r="CS131" s="2405"/>
      <c r="CT131" s="2405"/>
      <c r="CU131" s="2405"/>
      <c r="CV131" s="2405"/>
      <c r="CW131" s="2405"/>
      <c r="CX131" s="2405"/>
      <c r="CY131" s="2405"/>
      <c r="CZ131" s="2405"/>
      <c r="DA131" s="2405"/>
      <c r="DB131" s="2405"/>
      <c r="DC131" s="2405"/>
      <c r="DD131" s="2405"/>
      <c r="DE131" s="2405"/>
      <c r="DF131" s="2405"/>
      <c r="DG131" s="2405"/>
      <c r="DH131" s="2405"/>
      <c r="DI131" s="2405"/>
      <c r="DJ131" s="2405"/>
      <c r="DK131" s="2405"/>
      <c r="DL131" s="2406"/>
    </row>
    <row r="132" spans="1:126" customFormat="1" ht="7.5" customHeight="1">
      <c r="A132" s="127"/>
      <c r="B132" s="2517"/>
      <c r="C132" s="2518"/>
      <c r="D132" s="2518"/>
      <c r="E132" s="2518"/>
      <c r="F132" s="2518"/>
      <c r="G132" s="2518"/>
      <c r="H132" s="2518"/>
      <c r="I132" s="2518"/>
      <c r="J132" s="2518"/>
      <c r="K132" s="2518"/>
      <c r="L132" s="2518"/>
      <c r="M132" s="2518"/>
      <c r="N132" s="2518"/>
      <c r="O132" s="2518"/>
      <c r="P132" s="2518"/>
      <c r="Q132" s="2518"/>
      <c r="R132" s="2518"/>
      <c r="S132" s="2518"/>
      <c r="T132" s="2518"/>
      <c r="U132" s="2518"/>
      <c r="V132" s="2518"/>
      <c r="W132" s="2518"/>
      <c r="X132" s="2518"/>
      <c r="Y132" s="2518"/>
      <c r="Z132" s="2518"/>
      <c r="AA132" s="2518"/>
      <c r="AB132" s="2518"/>
      <c r="AC132" s="2518"/>
      <c r="AD132" s="2518"/>
      <c r="AE132" s="2519"/>
      <c r="AF132" s="2569"/>
      <c r="AG132" s="2570"/>
      <c r="AH132" s="2570"/>
      <c r="AI132" s="2571"/>
      <c r="AJ132" s="2404"/>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5"/>
      <c r="BE132" s="2405"/>
      <c r="BF132" s="2405"/>
      <c r="BG132" s="2405"/>
      <c r="BH132" s="2405"/>
      <c r="BI132" s="2405"/>
      <c r="BJ132" s="2405"/>
      <c r="BK132" s="2405"/>
      <c r="BL132" s="2405"/>
      <c r="BM132" s="2405"/>
      <c r="BN132" s="2405"/>
      <c r="BO132" s="2405"/>
      <c r="BP132" s="2405"/>
      <c r="BQ132" s="2405"/>
      <c r="BR132" s="2405"/>
      <c r="BS132" s="2405"/>
      <c r="BT132" s="2405"/>
      <c r="BU132" s="2405"/>
      <c r="BV132" s="2405"/>
      <c r="BW132" s="2405"/>
      <c r="BX132" s="2405"/>
      <c r="BY132" s="2405"/>
      <c r="BZ132" s="2405"/>
      <c r="CA132" s="2405"/>
      <c r="CB132" s="2405"/>
      <c r="CC132" s="2405"/>
      <c r="CD132" s="2405"/>
      <c r="CE132" s="2405"/>
      <c r="CF132" s="2405"/>
      <c r="CG132" s="2405"/>
      <c r="CH132" s="2405"/>
      <c r="CI132" s="2405"/>
      <c r="CJ132" s="2405"/>
      <c r="CK132" s="2405"/>
      <c r="CL132" s="2405"/>
      <c r="CM132" s="2405"/>
      <c r="CN132" s="2405"/>
      <c r="CO132" s="2405"/>
      <c r="CP132" s="2405"/>
      <c r="CQ132" s="2405"/>
      <c r="CR132" s="2405"/>
      <c r="CS132" s="2405"/>
      <c r="CT132" s="2405"/>
      <c r="CU132" s="2405"/>
      <c r="CV132" s="2405"/>
      <c r="CW132" s="2405"/>
      <c r="CX132" s="2405"/>
      <c r="CY132" s="2405"/>
      <c r="CZ132" s="2405"/>
      <c r="DA132" s="2405"/>
      <c r="DB132" s="2405"/>
      <c r="DC132" s="2405"/>
      <c r="DD132" s="2405"/>
      <c r="DE132" s="2405"/>
      <c r="DF132" s="2405"/>
      <c r="DG132" s="2405"/>
      <c r="DH132" s="2405"/>
      <c r="DI132" s="2405"/>
      <c r="DJ132" s="2405"/>
      <c r="DK132" s="2405"/>
      <c r="DL132" s="2406"/>
    </row>
    <row r="133" spans="1:126" customFormat="1" ht="7.5" customHeight="1">
      <c r="A133" s="127"/>
      <c r="B133" s="2511" t="s">
        <v>1517</v>
      </c>
      <c r="C133" s="2512"/>
      <c r="D133" s="2512"/>
      <c r="E133" s="2512"/>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E133" s="2512"/>
      <c r="AF133" s="2564"/>
      <c r="AG133" s="2564"/>
      <c r="AH133" s="2564"/>
      <c r="AI133" s="2565"/>
      <c r="AJ133" s="2404"/>
      <c r="AK133" s="2405"/>
      <c r="AL133" s="2405"/>
      <c r="AM133" s="2405"/>
      <c r="AN133" s="2405"/>
      <c r="AO133" s="2405"/>
      <c r="AP133" s="2405"/>
      <c r="AQ133" s="2405"/>
      <c r="AR133" s="2405"/>
      <c r="AS133" s="2405"/>
      <c r="AT133" s="2405"/>
      <c r="AU133" s="2405"/>
      <c r="AV133" s="2405"/>
      <c r="AW133" s="2405"/>
      <c r="AX133" s="2405"/>
      <c r="AY133" s="2405"/>
      <c r="AZ133" s="2405"/>
      <c r="BA133" s="2405"/>
      <c r="BB133" s="2405"/>
      <c r="BC133" s="2405"/>
      <c r="BD133" s="2405"/>
      <c r="BE133" s="2405"/>
      <c r="BF133" s="2405"/>
      <c r="BG133" s="2405"/>
      <c r="BH133" s="2405"/>
      <c r="BI133" s="2405"/>
      <c r="BJ133" s="2405"/>
      <c r="BK133" s="2405"/>
      <c r="BL133" s="2405"/>
      <c r="BM133" s="2405"/>
      <c r="BN133" s="2405"/>
      <c r="BO133" s="2405"/>
      <c r="BP133" s="2405"/>
      <c r="BQ133" s="2405"/>
      <c r="BR133" s="2405"/>
      <c r="BS133" s="2405"/>
      <c r="BT133" s="2405"/>
      <c r="BU133" s="2405"/>
      <c r="BV133" s="2405"/>
      <c r="BW133" s="2405"/>
      <c r="BX133" s="2405"/>
      <c r="BY133" s="2405"/>
      <c r="BZ133" s="2405"/>
      <c r="CA133" s="2405"/>
      <c r="CB133" s="2405"/>
      <c r="CC133" s="2405"/>
      <c r="CD133" s="2405"/>
      <c r="CE133" s="2405"/>
      <c r="CF133" s="2405"/>
      <c r="CG133" s="2405"/>
      <c r="CH133" s="2405"/>
      <c r="CI133" s="2405"/>
      <c r="CJ133" s="2405"/>
      <c r="CK133" s="2405"/>
      <c r="CL133" s="2405"/>
      <c r="CM133" s="2405"/>
      <c r="CN133" s="2405"/>
      <c r="CO133" s="2405"/>
      <c r="CP133" s="2405"/>
      <c r="CQ133" s="2405"/>
      <c r="CR133" s="2405"/>
      <c r="CS133" s="2405"/>
      <c r="CT133" s="2405"/>
      <c r="CU133" s="2405"/>
      <c r="CV133" s="2405"/>
      <c r="CW133" s="2405"/>
      <c r="CX133" s="2405"/>
      <c r="CY133" s="2405"/>
      <c r="CZ133" s="2405"/>
      <c r="DA133" s="2405"/>
      <c r="DB133" s="2405"/>
      <c r="DC133" s="2405"/>
      <c r="DD133" s="2405"/>
      <c r="DE133" s="2405"/>
      <c r="DF133" s="2405"/>
      <c r="DG133" s="2405"/>
      <c r="DH133" s="2405"/>
      <c r="DI133" s="2405"/>
      <c r="DJ133" s="2405"/>
      <c r="DK133" s="2405"/>
      <c r="DL133" s="2406"/>
    </row>
    <row r="134" spans="1:126" customFormat="1" ht="7.5" customHeight="1">
      <c r="A134" s="127"/>
      <c r="B134" s="2514"/>
      <c r="C134" s="2515"/>
      <c r="D134" s="2515"/>
      <c r="E134" s="2515"/>
      <c r="F134" s="2515"/>
      <c r="G134" s="2515"/>
      <c r="H134" s="2515"/>
      <c r="I134" s="2515"/>
      <c r="J134" s="2515"/>
      <c r="K134" s="2515"/>
      <c r="L134" s="2515"/>
      <c r="M134" s="2515"/>
      <c r="N134" s="2515"/>
      <c r="O134" s="2515"/>
      <c r="P134" s="2515"/>
      <c r="Q134" s="2515"/>
      <c r="R134" s="2515"/>
      <c r="S134" s="2515"/>
      <c r="T134" s="2515"/>
      <c r="U134" s="2515"/>
      <c r="V134" s="2515"/>
      <c r="W134" s="2515"/>
      <c r="X134" s="2515"/>
      <c r="Y134" s="2515"/>
      <c r="Z134" s="2515"/>
      <c r="AA134" s="2515"/>
      <c r="AB134" s="2515"/>
      <c r="AC134" s="2515"/>
      <c r="AD134" s="2515"/>
      <c r="AE134" s="2515"/>
      <c r="AF134" s="2567"/>
      <c r="AG134" s="2567"/>
      <c r="AH134" s="2567"/>
      <c r="AI134" s="2568"/>
      <c r="AJ134" s="2404" t="s">
        <v>259</v>
      </c>
      <c r="AK134" s="2405"/>
      <c r="AL134" s="2405"/>
      <c r="AM134" s="2405"/>
      <c r="AN134" s="2405"/>
      <c r="AO134" s="2405"/>
      <c r="AP134" s="2405"/>
      <c r="AQ134" s="2405"/>
      <c r="AR134" s="2405"/>
      <c r="AS134" s="2405"/>
      <c r="AT134" s="2405"/>
      <c r="AU134" s="2405"/>
      <c r="AV134" s="2405"/>
      <c r="AW134" s="2405"/>
      <c r="AX134" s="2405"/>
      <c r="AY134" s="2405"/>
      <c r="AZ134" s="2405"/>
      <c r="BA134" s="2405"/>
      <c r="BB134" s="2405"/>
      <c r="BC134" s="2405"/>
      <c r="BD134" s="2405"/>
      <c r="BE134" s="2405"/>
      <c r="BF134" s="2405"/>
      <c r="BG134" s="2405"/>
      <c r="BH134" s="2405"/>
      <c r="BI134" s="2405"/>
      <c r="BJ134" s="2405"/>
      <c r="BK134" s="2405"/>
      <c r="BL134" s="2405"/>
      <c r="BM134" s="2405"/>
      <c r="BN134" s="2405"/>
      <c r="BO134" s="2405"/>
      <c r="BP134" s="2405"/>
      <c r="BQ134" s="2405"/>
      <c r="BR134" s="2405"/>
      <c r="BS134" s="2405"/>
      <c r="BT134" s="2405"/>
      <c r="BU134" s="2405"/>
      <c r="BV134" s="2405"/>
      <c r="BW134" s="2405"/>
      <c r="BX134" s="2405"/>
      <c r="BY134" s="2405"/>
      <c r="BZ134" s="2405"/>
      <c r="CA134" s="2405"/>
      <c r="CB134" s="2405"/>
      <c r="CC134" s="2405"/>
      <c r="CD134" s="2405"/>
      <c r="CE134" s="2405"/>
      <c r="CF134" s="2405"/>
      <c r="CG134" s="2405"/>
      <c r="CH134" s="2405"/>
      <c r="CI134" s="2405"/>
      <c r="CJ134" s="2405"/>
      <c r="CK134" s="2405"/>
      <c r="CL134" s="2405"/>
      <c r="CM134" s="2405"/>
      <c r="CN134" s="2405"/>
      <c r="CO134" s="2405"/>
      <c r="CP134" s="2405"/>
      <c r="CQ134" s="2405"/>
      <c r="CR134" s="2405"/>
      <c r="CS134" s="2405"/>
      <c r="CT134" s="2405"/>
      <c r="CU134" s="2405"/>
      <c r="CV134" s="2405"/>
      <c r="CW134" s="2405"/>
      <c r="CX134" s="2405"/>
      <c r="CY134" s="2405"/>
      <c r="CZ134" s="2405"/>
      <c r="DA134" s="2405"/>
      <c r="DB134" s="2405"/>
      <c r="DC134" s="2405"/>
      <c r="DD134" s="2405"/>
      <c r="DE134" s="2469"/>
      <c r="DF134" s="2407"/>
      <c r="DG134" s="2408"/>
      <c r="DH134" s="2408"/>
      <c r="DI134" s="2408"/>
      <c r="DJ134" s="2408"/>
      <c r="DK134" s="2408"/>
      <c r="DL134" s="2409"/>
    </row>
    <row r="135" spans="1:126" customFormat="1" ht="7.5" customHeight="1">
      <c r="A135" s="127"/>
      <c r="B135" s="2514"/>
      <c r="C135" s="2515"/>
      <c r="D135" s="2515"/>
      <c r="E135" s="2515"/>
      <c r="F135" s="2515"/>
      <c r="G135" s="2515"/>
      <c r="H135" s="2515"/>
      <c r="I135" s="2515"/>
      <c r="J135" s="2515"/>
      <c r="K135" s="2515"/>
      <c r="L135" s="2515"/>
      <c r="M135" s="2515"/>
      <c r="N135" s="2515"/>
      <c r="O135" s="2515"/>
      <c r="P135" s="2515"/>
      <c r="Q135" s="2515"/>
      <c r="R135" s="2515"/>
      <c r="S135" s="2515"/>
      <c r="T135" s="2515"/>
      <c r="U135" s="2515"/>
      <c r="V135" s="2515"/>
      <c r="W135" s="2515"/>
      <c r="X135" s="2515"/>
      <c r="Y135" s="2515"/>
      <c r="Z135" s="2515"/>
      <c r="AA135" s="2515"/>
      <c r="AB135" s="2515"/>
      <c r="AC135" s="2515"/>
      <c r="AD135" s="2515"/>
      <c r="AE135" s="2515"/>
      <c r="AF135" s="2567"/>
      <c r="AG135" s="2567"/>
      <c r="AH135" s="2567"/>
      <c r="AI135" s="2568"/>
      <c r="AJ135" s="2404"/>
      <c r="AK135" s="2405"/>
      <c r="AL135" s="2405"/>
      <c r="AM135" s="2405"/>
      <c r="AN135" s="2405"/>
      <c r="AO135" s="2405"/>
      <c r="AP135" s="2405"/>
      <c r="AQ135" s="2405"/>
      <c r="AR135" s="2405"/>
      <c r="AS135" s="2405"/>
      <c r="AT135" s="2405"/>
      <c r="AU135" s="2405"/>
      <c r="AV135" s="2405"/>
      <c r="AW135" s="2405"/>
      <c r="AX135" s="2405"/>
      <c r="AY135" s="2405"/>
      <c r="AZ135" s="2405"/>
      <c r="BA135" s="2405"/>
      <c r="BB135" s="2405"/>
      <c r="BC135" s="2405"/>
      <c r="BD135" s="2405"/>
      <c r="BE135" s="2405"/>
      <c r="BF135" s="2405"/>
      <c r="BG135" s="2405"/>
      <c r="BH135" s="2405"/>
      <c r="BI135" s="2405"/>
      <c r="BJ135" s="2405"/>
      <c r="BK135" s="2405"/>
      <c r="BL135" s="2405"/>
      <c r="BM135" s="2405"/>
      <c r="BN135" s="2405"/>
      <c r="BO135" s="2405"/>
      <c r="BP135" s="2405"/>
      <c r="BQ135" s="2405"/>
      <c r="BR135" s="2405"/>
      <c r="BS135" s="2405"/>
      <c r="BT135" s="2405"/>
      <c r="BU135" s="2405"/>
      <c r="BV135" s="2405"/>
      <c r="BW135" s="2405"/>
      <c r="BX135" s="2405"/>
      <c r="BY135" s="2405"/>
      <c r="BZ135" s="2405"/>
      <c r="CA135" s="2405"/>
      <c r="CB135" s="2405"/>
      <c r="CC135" s="2405"/>
      <c r="CD135" s="2405"/>
      <c r="CE135" s="2405"/>
      <c r="CF135" s="2405"/>
      <c r="CG135" s="2405"/>
      <c r="CH135" s="2405"/>
      <c r="CI135" s="2405"/>
      <c r="CJ135" s="2405"/>
      <c r="CK135" s="2405"/>
      <c r="CL135" s="2405"/>
      <c r="CM135" s="2405"/>
      <c r="CN135" s="2405"/>
      <c r="CO135" s="2405"/>
      <c r="CP135" s="2405"/>
      <c r="CQ135" s="2405"/>
      <c r="CR135" s="2405"/>
      <c r="CS135" s="2405"/>
      <c r="CT135" s="2405"/>
      <c r="CU135" s="2405"/>
      <c r="CV135" s="2405"/>
      <c r="CW135" s="2405"/>
      <c r="CX135" s="2405"/>
      <c r="CY135" s="2405"/>
      <c r="CZ135" s="2405"/>
      <c r="DA135" s="2405"/>
      <c r="DB135" s="2405"/>
      <c r="DC135" s="2405"/>
      <c r="DD135" s="2405"/>
      <c r="DE135" s="2469"/>
      <c r="DF135" s="2410"/>
      <c r="DG135" s="2411"/>
      <c r="DH135" s="2411"/>
      <c r="DI135" s="2411"/>
      <c r="DJ135" s="2411"/>
      <c r="DK135" s="2411"/>
      <c r="DL135" s="2412"/>
    </row>
    <row r="136" spans="1:126" customFormat="1" ht="7.5" customHeight="1">
      <c r="A136" s="127"/>
      <c r="B136" s="2517"/>
      <c r="C136" s="2518"/>
      <c r="D136" s="2518"/>
      <c r="E136" s="2518"/>
      <c r="F136" s="2518"/>
      <c r="G136" s="2518"/>
      <c r="H136" s="2518"/>
      <c r="I136" s="2518"/>
      <c r="J136" s="2518"/>
      <c r="K136" s="2518"/>
      <c r="L136" s="2518"/>
      <c r="M136" s="2518"/>
      <c r="N136" s="2518"/>
      <c r="O136" s="2518"/>
      <c r="P136" s="2518"/>
      <c r="Q136" s="2518"/>
      <c r="R136" s="2518"/>
      <c r="S136" s="2518"/>
      <c r="T136" s="2518"/>
      <c r="U136" s="2518"/>
      <c r="V136" s="2518"/>
      <c r="W136" s="2518"/>
      <c r="X136" s="2518"/>
      <c r="Y136" s="2518"/>
      <c r="Z136" s="2518"/>
      <c r="AA136" s="2518"/>
      <c r="AB136" s="2518"/>
      <c r="AC136" s="2518"/>
      <c r="AD136" s="2518"/>
      <c r="AE136" s="2518"/>
      <c r="AF136" s="2570"/>
      <c r="AG136" s="2570"/>
      <c r="AH136" s="2570"/>
      <c r="AI136" s="2571"/>
      <c r="AJ136" s="2404"/>
      <c r="AK136" s="2405"/>
      <c r="AL136" s="2405"/>
      <c r="AM136" s="2405"/>
      <c r="AN136" s="2405"/>
      <c r="AO136" s="2405"/>
      <c r="AP136" s="2405"/>
      <c r="AQ136" s="2405"/>
      <c r="AR136" s="2405"/>
      <c r="AS136" s="2405"/>
      <c r="AT136" s="2405"/>
      <c r="AU136" s="2405"/>
      <c r="AV136" s="2405"/>
      <c r="AW136" s="2405"/>
      <c r="AX136" s="2405"/>
      <c r="AY136" s="2405"/>
      <c r="AZ136" s="2405"/>
      <c r="BA136" s="2405"/>
      <c r="BB136" s="2405"/>
      <c r="BC136" s="2405"/>
      <c r="BD136" s="2405"/>
      <c r="BE136" s="2405"/>
      <c r="BF136" s="2405"/>
      <c r="BG136" s="2405"/>
      <c r="BH136" s="2405"/>
      <c r="BI136" s="2405"/>
      <c r="BJ136" s="2405"/>
      <c r="BK136" s="2405"/>
      <c r="BL136" s="2405"/>
      <c r="BM136" s="2405"/>
      <c r="BN136" s="2405"/>
      <c r="BO136" s="2405"/>
      <c r="BP136" s="2405"/>
      <c r="BQ136" s="2405"/>
      <c r="BR136" s="2405"/>
      <c r="BS136" s="2405"/>
      <c r="BT136" s="2405"/>
      <c r="BU136" s="2405"/>
      <c r="BV136" s="2405"/>
      <c r="BW136" s="2405"/>
      <c r="BX136" s="2405"/>
      <c r="BY136" s="2405"/>
      <c r="BZ136" s="2405"/>
      <c r="CA136" s="2405"/>
      <c r="CB136" s="2405"/>
      <c r="CC136" s="2405"/>
      <c r="CD136" s="2405"/>
      <c r="CE136" s="2405"/>
      <c r="CF136" s="2405"/>
      <c r="CG136" s="2405"/>
      <c r="CH136" s="2405"/>
      <c r="CI136" s="2405"/>
      <c r="CJ136" s="2405"/>
      <c r="CK136" s="2405"/>
      <c r="CL136" s="2405"/>
      <c r="CM136" s="2405"/>
      <c r="CN136" s="2405"/>
      <c r="CO136" s="2405"/>
      <c r="CP136" s="2405"/>
      <c r="CQ136" s="2405"/>
      <c r="CR136" s="2405"/>
      <c r="CS136" s="2405"/>
      <c r="CT136" s="2405"/>
      <c r="CU136" s="2405"/>
      <c r="CV136" s="2405"/>
      <c r="CW136" s="2405"/>
      <c r="CX136" s="2405"/>
      <c r="CY136" s="2405"/>
      <c r="CZ136" s="2405"/>
      <c r="DA136" s="2405"/>
      <c r="DB136" s="2405"/>
      <c r="DC136" s="2405"/>
      <c r="DD136" s="2405"/>
      <c r="DE136" s="2469"/>
      <c r="DF136" s="2410"/>
      <c r="DG136" s="2411"/>
      <c r="DH136" s="2411"/>
      <c r="DI136" s="2411"/>
      <c r="DJ136" s="2411"/>
      <c r="DK136" s="2411"/>
      <c r="DL136" s="2412"/>
    </row>
    <row r="137" spans="1:126" customFormat="1" ht="7.5" customHeight="1">
      <c r="A137" s="127"/>
      <c r="B137" s="2514" t="s">
        <v>1518</v>
      </c>
      <c r="C137" s="2515"/>
      <c r="D137" s="2515"/>
      <c r="E137" s="2515"/>
      <c r="F137" s="2515"/>
      <c r="G137" s="2515"/>
      <c r="H137" s="2515"/>
      <c r="I137" s="2515"/>
      <c r="J137" s="2515"/>
      <c r="K137" s="2515"/>
      <c r="L137" s="2515"/>
      <c r="M137" s="2515"/>
      <c r="N137" s="2515"/>
      <c r="O137" s="2515"/>
      <c r="P137" s="2515"/>
      <c r="Q137" s="2515"/>
      <c r="R137" s="2515"/>
      <c r="S137" s="2515"/>
      <c r="T137" s="2515"/>
      <c r="U137" s="2515"/>
      <c r="V137" s="2515"/>
      <c r="W137" s="2515"/>
      <c r="X137" s="2515"/>
      <c r="Y137" s="2515"/>
      <c r="Z137" s="2515"/>
      <c r="AA137" s="2515"/>
      <c r="AB137" s="2515"/>
      <c r="AC137" s="2515"/>
      <c r="AD137" s="2515"/>
      <c r="AE137" s="2515"/>
      <c r="AF137" s="2564"/>
      <c r="AG137" s="2564"/>
      <c r="AH137" s="2564"/>
      <c r="AI137" s="2565"/>
      <c r="AJ137" s="2404"/>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5"/>
      <c r="BE137" s="2405"/>
      <c r="BF137" s="2405"/>
      <c r="BG137" s="2405"/>
      <c r="BH137" s="2405"/>
      <c r="BI137" s="2405"/>
      <c r="BJ137" s="2405"/>
      <c r="BK137" s="2405"/>
      <c r="BL137" s="2405"/>
      <c r="BM137" s="2405"/>
      <c r="BN137" s="2405"/>
      <c r="BO137" s="2405"/>
      <c r="BP137" s="2405"/>
      <c r="BQ137" s="2405"/>
      <c r="BR137" s="2405"/>
      <c r="BS137" s="2405"/>
      <c r="BT137" s="2405"/>
      <c r="BU137" s="2405"/>
      <c r="BV137" s="2405"/>
      <c r="BW137" s="2405"/>
      <c r="BX137" s="2405"/>
      <c r="BY137" s="2405"/>
      <c r="BZ137" s="2405"/>
      <c r="CA137" s="2405"/>
      <c r="CB137" s="2405"/>
      <c r="CC137" s="2405"/>
      <c r="CD137" s="2405"/>
      <c r="CE137" s="2405"/>
      <c r="CF137" s="2405"/>
      <c r="CG137" s="2405"/>
      <c r="CH137" s="2405"/>
      <c r="CI137" s="2405"/>
      <c r="CJ137" s="2405"/>
      <c r="CK137" s="2405"/>
      <c r="CL137" s="2405"/>
      <c r="CM137" s="2405"/>
      <c r="CN137" s="2405"/>
      <c r="CO137" s="2405"/>
      <c r="CP137" s="2405"/>
      <c r="CQ137" s="2405"/>
      <c r="CR137" s="2405"/>
      <c r="CS137" s="2405"/>
      <c r="CT137" s="2405"/>
      <c r="CU137" s="2405"/>
      <c r="CV137" s="2405"/>
      <c r="CW137" s="2405"/>
      <c r="CX137" s="2405"/>
      <c r="CY137" s="2405"/>
      <c r="CZ137" s="2405"/>
      <c r="DA137" s="2405"/>
      <c r="DB137" s="2405"/>
      <c r="DC137" s="2405"/>
      <c r="DD137" s="2405"/>
      <c r="DE137" s="2469"/>
      <c r="DF137" s="2410"/>
      <c r="DG137" s="2411"/>
      <c r="DH137" s="2411"/>
      <c r="DI137" s="2411"/>
      <c r="DJ137" s="2411"/>
      <c r="DK137" s="2411"/>
      <c r="DL137" s="2412"/>
    </row>
    <row r="138" spans="1:126" customFormat="1" ht="9" customHeight="1" thickBot="1">
      <c r="A138" s="127"/>
      <c r="B138" s="3081"/>
      <c r="C138" s="3082"/>
      <c r="D138" s="3082"/>
      <c r="E138" s="3082"/>
      <c r="F138" s="3082"/>
      <c r="G138" s="3082"/>
      <c r="H138" s="3082"/>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82"/>
      <c r="AD138" s="3082"/>
      <c r="AE138" s="3082"/>
      <c r="AF138" s="3083"/>
      <c r="AG138" s="3083"/>
      <c r="AH138" s="3083"/>
      <c r="AI138" s="3084"/>
      <c r="AJ138" s="2470"/>
      <c r="AK138" s="2471"/>
      <c r="AL138" s="2471"/>
      <c r="AM138" s="2471"/>
      <c r="AN138" s="2471"/>
      <c r="AO138" s="2471"/>
      <c r="AP138" s="2471"/>
      <c r="AQ138" s="2471"/>
      <c r="AR138" s="2471"/>
      <c r="AS138" s="2471"/>
      <c r="AT138" s="2471"/>
      <c r="AU138" s="2471"/>
      <c r="AV138" s="2471"/>
      <c r="AW138" s="2471"/>
      <c r="AX138" s="2471"/>
      <c r="AY138" s="2471"/>
      <c r="AZ138" s="2471"/>
      <c r="BA138" s="2471"/>
      <c r="BB138" s="2471"/>
      <c r="BC138" s="2471"/>
      <c r="BD138" s="2471"/>
      <c r="BE138" s="2471"/>
      <c r="BF138" s="2471"/>
      <c r="BG138" s="2471"/>
      <c r="BH138" s="2471"/>
      <c r="BI138" s="2471"/>
      <c r="BJ138" s="2471"/>
      <c r="BK138" s="2471"/>
      <c r="BL138" s="2471"/>
      <c r="BM138" s="2471"/>
      <c r="BN138" s="2471"/>
      <c r="BO138" s="2471"/>
      <c r="BP138" s="2471"/>
      <c r="BQ138" s="2471"/>
      <c r="BR138" s="2471"/>
      <c r="BS138" s="2471"/>
      <c r="BT138" s="2471"/>
      <c r="BU138" s="2471"/>
      <c r="BV138" s="2471"/>
      <c r="BW138" s="2471"/>
      <c r="BX138" s="2471"/>
      <c r="BY138" s="2471"/>
      <c r="BZ138" s="2471"/>
      <c r="CA138" s="2471"/>
      <c r="CB138" s="2471"/>
      <c r="CC138" s="2471"/>
      <c r="CD138" s="2471"/>
      <c r="CE138" s="2471"/>
      <c r="CF138" s="2471"/>
      <c r="CG138" s="2471"/>
      <c r="CH138" s="2471"/>
      <c r="CI138" s="2471"/>
      <c r="CJ138" s="2471"/>
      <c r="CK138" s="2471"/>
      <c r="CL138" s="2471"/>
      <c r="CM138" s="2471"/>
      <c r="CN138" s="2471"/>
      <c r="CO138" s="2471"/>
      <c r="CP138" s="2471"/>
      <c r="CQ138" s="2471"/>
      <c r="CR138" s="2471"/>
      <c r="CS138" s="2471"/>
      <c r="CT138" s="2471"/>
      <c r="CU138" s="2471"/>
      <c r="CV138" s="2471"/>
      <c r="CW138" s="2471"/>
      <c r="CX138" s="2471"/>
      <c r="CY138" s="2471"/>
      <c r="CZ138" s="2471"/>
      <c r="DA138" s="2471"/>
      <c r="DB138" s="2471"/>
      <c r="DC138" s="2471"/>
      <c r="DD138" s="2471"/>
      <c r="DE138" s="2472"/>
      <c r="DF138" s="2413"/>
      <c r="DG138" s="2414"/>
      <c r="DH138" s="2414"/>
      <c r="DI138" s="2414"/>
      <c r="DJ138" s="2414"/>
      <c r="DK138" s="2414"/>
      <c r="DL138" s="2415"/>
    </row>
    <row r="139" spans="1:126" ht="6" customHeight="1" thickBo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110"/>
      <c r="DN139" s="110"/>
      <c r="DO139" s="110"/>
      <c r="DP139" s="110"/>
      <c r="DQ139" s="110"/>
      <c r="DR139" s="110"/>
      <c r="DS139" s="110"/>
      <c r="DT139" s="110"/>
      <c r="DU139" s="110"/>
      <c r="DV139" s="110"/>
    </row>
    <row r="140" spans="1:126" ht="8.25" customHeight="1">
      <c r="A140" s="48"/>
      <c r="B140" s="2647" t="s">
        <v>189</v>
      </c>
      <c r="C140" s="2648"/>
      <c r="D140" s="2648"/>
      <c r="E140" s="2648"/>
      <c r="F140" s="2648"/>
      <c r="G140" s="2648"/>
      <c r="H140" s="2648"/>
      <c r="I140" s="2648"/>
      <c r="J140" s="2648"/>
      <c r="K140" s="2648"/>
      <c r="L140" s="2648"/>
      <c r="M140" s="2648"/>
      <c r="N140" s="2648"/>
      <c r="O140" s="2648"/>
      <c r="P140" s="2648"/>
      <c r="Q140" s="2648"/>
      <c r="R140" s="2648"/>
      <c r="S140" s="2648"/>
      <c r="T140" s="2648"/>
      <c r="U140" s="2648"/>
      <c r="V140" s="2648"/>
      <c r="W140" s="2648"/>
      <c r="X140" s="2648"/>
      <c r="Y140" s="2648"/>
      <c r="Z140" s="2648"/>
      <c r="AA140" s="2648"/>
      <c r="AB140" s="2648"/>
      <c r="AC140" s="2648"/>
      <c r="AD140" s="2648"/>
      <c r="AE140" s="2648"/>
      <c r="AF140" s="2648"/>
      <c r="AG140" s="2648"/>
      <c r="AH140" s="2648"/>
      <c r="AI140" s="2648"/>
      <c r="AJ140" s="2634" t="s">
        <v>258</v>
      </c>
      <c r="AK140" s="2634"/>
      <c r="AL140" s="2634"/>
      <c r="AM140" s="2634"/>
      <c r="AN140" s="2634"/>
      <c r="AO140" s="2634"/>
      <c r="AP140" s="2634"/>
      <c r="AQ140" s="2634"/>
      <c r="AR140" s="2634"/>
      <c r="AS140" s="2634"/>
      <c r="AT140" s="2634"/>
      <c r="AU140" s="2634"/>
      <c r="AV140" s="2634"/>
      <c r="AW140" s="2634"/>
      <c r="AX140" s="2634"/>
      <c r="AY140" s="2634"/>
      <c r="AZ140" s="2634"/>
      <c r="BA140" s="2634"/>
      <c r="BB140" s="2634"/>
      <c r="BC140" s="2634"/>
      <c r="BD140" s="2634"/>
      <c r="BE140" s="2634"/>
      <c r="BF140" s="2634"/>
      <c r="BG140" s="2634"/>
      <c r="BH140" s="2634"/>
      <c r="BI140" s="2634"/>
      <c r="BJ140" s="2634"/>
      <c r="BK140" s="2634"/>
      <c r="BL140" s="2634"/>
      <c r="BM140" s="2634"/>
      <c r="BN140" s="2634"/>
      <c r="BO140" s="2634"/>
      <c r="BP140" s="2634"/>
      <c r="BQ140" s="2634"/>
      <c r="BR140" s="2634"/>
      <c r="BS140" s="2634"/>
      <c r="BT140" s="2634"/>
      <c r="BU140" s="2634"/>
      <c r="BV140" s="2634"/>
      <c r="BW140" s="2634"/>
      <c r="BX140" s="2634"/>
      <c r="BY140" s="2634"/>
      <c r="BZ140" s="2634"/>
      <c r="CA140" s="2634"/>
      <c r="CB140" s="2634"/>
      <c r="CC140" s="2634"/>
      <c r="CD140" s="2634"/>
      <c r="CE140" s="2634"/>
      <c r="CF140" s="2634"/>
      <c r="CG140" s="2634"/>
      <c r="CH140" s="2634"/>
      <c r="CI140" s="2634"/>
      <c r="CJ140" s="2634"/>
      <c r="CK140" s="2634"/>
      <c r="CL140" s="2634"/>
      <c r="CM140" s="2634"/>
      <c r="CN140" s="2634"/>
      <c r="CO140" s="2634"/>
      <c r="CP140" s="2634"/>
      <c r="CQ140" s="2634"/>
      <c r="CR140" s="2634"/>
      <c r="CS140" s="2634"/>
      <c r="CT140" s="2634"/>
      <c r="CU140" s="2634"/>
      <c r="CV140" s="2634"/>
      <c r="CW140" s="2634"/>
      <c r="CX140" s="2634"/>
      <c r="CY140" s="2634"/>
      <c r="CZ140" s="2634"/>
      <c r="DA140" s="2634"/>
      <c r="DB140" s="2634"/>
      <c r="DC140" s="2634"/>
      <c r="DD140" s="2634"/>
      <c r="DE140" s="2634"/>
      <c r="DF140" s="2634"/>
      <c r="DG140" s="2634"/>
      <c r="DH140" s="2634"/>
      <c r="DI140" s="2634"/>
      <c r="DJ140" s="2634"/>
      <c r="DK140" s="2634"/>
      <c r="DL140" s="2635"/>
    </row>
    <row r="141" spans="1:126" ht="8.25" customHeight="1" thickBot="1">
      <c r="A141" s="48"/>
      <c r="B141" s="2650"/>
      <c r="C141" s="2651"/>
      <c r="D141" s="2651"/>
      <c r="E141" s="2652"/>
      <c r="F141" s="2652"/>
      <c r="G141" s="2652"/>
      <c r="H141" s="2652"/>
      <c r="I141" s="2652"/>
      <c r="J141" s="2652"/>
      <c r="K141" s="2652"/>
      <c r="L141" s="2652"/>
      <c r="M141" s="2652"/>
      <c r="N141" s="2652"/>
      <c r="O141" s="2652"/>
      <c r="P141" s="2652"/>
      <c r="Q141" s="2652"/>
      <c r="R141" s="2652"/>
      <c r="S141" s="2652"/>
      <c r="T141" s="2652"/>
      <c r="U141" s="2651"/>
      <c r="V141" s="2651"/>
      <c r="W141" s="2651"/>
      <c r="X141" s="2652"/>
      <c r="Y141" s="2652"/>
      <c r="Z141" s="2652"/>
      <c r="AA141" s="2652"/>
      <c r="AB141" s="2652"/>
      <c r="AC141" s="2652"/>
      <c r="AD141" s="2652"/>
      <c r="AE141" s="2652"/>
      <c r="AF141" s="2652"/>
      <c r="AG141" s="2652"/>
      <c r="AH141" s="2652"/>
      <c r="AI141" s="2652"/>
      <c r="AJ141" s="2636"/>
      <c r="AK141" s="2636"/>
      <c r="AL141" s="2636"/>
      <c r="AM141" s="2636"/>
      <c r="AN141" s="2637"/>
      <c r="AO141" s="2637"/>
      <c r="AP141" s="2637"/>
      <c r="AQ141" s="2637"/>
      <c r="AR141" s="2637"/>
      <c r="AS141" s="2637"/>
      <c r="AT141" s="2637"/>
      <c r="AU141" s="2637"/>
      <c r="AV141" s="2637"/>
      <c r="AW141" s="2637"/>
      <c r="AX141" s="2637"/>
      <c r="AY141" s="2637"/>
      <c r="AZ141" s="2637"/>
      <c r="BA141" s="2637"/>
      <c r="BB141" s="2637"/>
      <c r="BC141" s="2637"/>
      <c r="BD141" s="2637"/>
      <c r="BE141" s="2637"/>
      <c r="BF141" s="2637"/>
      <c r="BG141" s="2637"/>
      <c r="BH141" s="2637"/>
      <c r="BI141" s="2637"/>
      <c r="BJ141" s="2637"/>
      <c r="BK141" s="2637"/>
      <c r="BL141" s="2637"/>
      <c r="BM141" s="2637"/>
      <c r="BN141" s="2637"/>
      <c r="BO141" s="2637"/>
      <c r="BP141" s="2637"/>
      <c r="BQ141" s="2637"/>
      <c r="BR141" s="2637"/>
      <c r="BS141" s="2637"/>
      <c r="BT141" s="2637"/>
      <c r="BU141" s="2637"/>
      <c r="BV141" s="2637"/>
      <c r="BW141" s="2637"/>
      <c r="BX141" s="2637"/>
      <c r="BY141" s="2637"/>
      <c r="BZ141" s="2637"/>
      <c r="CA141" s="2637"/>
      <c r="CB141" s="2637"/>
      <c r="CC141" s="2637"/>
      <c r="CD141" s="2637"/>
      <c r="CE141" s="2637"/>
      <c r="CF141" s="2637"/>
      <c r="CG141" s="2637"/>
      <c r="CH141" s="2637"/>
      <c r="CI141" s="2637"/>
      <c r="CJ141" s="2637"/>
      <c r="CK141" s="2637"/>
      <c r="CL141" s="2637"/>
      <c r="CM141" s="2637"/>
      <c r="CN141" s="2637"/>
      <c r="CO141" s="2637"/>
      <c r="CP141" s="2637"/>
      <c r="CQ141" s="2637"/>
      <c r="CR141" s="2637"/>
      <c r="CS141" s="2637"/>
      <c r="CT141" s="2637"/>
      <c r="CU141" s="2637"/>
      <c r="CV141" s="2637"/>
      <c r="CW141" s="2637"/>
      <c r="CX141" s="2637"/>
      <c r="CY141" s="2637"/>
      <c r="CZ141" s="2637"/>
      <c r="DA141" s="2637"/>
      <c r="DB141" s="2637"/>
      <c r="DC141" s="2637"/>
      <c r="DD141" s="2637"/>
      <c r="DE141" s="2637"/>
      <c r="DF141" s="2637"/>
      <c r="DG141" s="2637"/>
      <c r="DH141" s="2637"/>
      <c r="DI141" s="2637"/>
      <c r="DJ141" s="2637"/>
      <c r="DK141" s="2637"/>
      <c r="DL141" s="2638"/>
    </row>
    <row r="142" spans="1:126" ht="7.5" customHeight="1" thickTop="1">
      <c r="A142" s="48"/>
      <c r="B142" s="2508" t="s">
        <v>120</v>
      </c>
      <c r="C142" s="2444"/>
      <c r="D142" s="2444"/>
      <c r="E142" s="2875"/>
      <c r="F142" s="2876"/>
      <c r="G142" s="2876"/>
      <c r="H142" s="2876"/>
      <c r="I142" s="2876"/>
      <c r="J142" s="2876"/>
      <c r="K142" s="2876"/>
      <c r="L142" s="2876"/>
      <c r="M142" s="2876"/>
      <c r="N142" s="2876"/>
      <c r="O142" s="2876"/>
      <c r="P142" s="2876"/>
      <c r="Q142" s="2876"/>
      <c r="R142" s="2876"/>
      <c r="S142" s="2876"/>
      <c r="T142" s="2877"/>
      <c r="U142" s="2444" t="s">
        <v>121</v>
      </c>
      <c r="V142" s="2444"/>
      <c r="W142" s="2444"/>
      <c r="X142" s="2449"/>
      <c r="Y142" s="2450"/>
      <c r="Z142" s="2450"/>
      <c r="AA142" s="2450"/>
      <c r="AB142" s="2450"/>
      <c r="AC142" s="2450"/>
      <c r="AD142" s="2450"/>
      <c r="AE142" s="2450"/>
      <c r="AF142" s="2450"/>
      <c r="AG142" s="2450"/>
      <c r="AH142" s="2450"/>
      <c r="AI142" s="2450"/>
      <c r="AJ142" s="2450"/>
      <c r="AK142" s="2450"/>
      <c r="AL142" s="2450"/>
      <c r="AM142" s="2451"/>
      <c r="AN142" s="2639" t="s">
        <v>236</v>
      </c>
      <c r="AO142" s="2639"/>
      <c r="AP142" s="2639"/>
      <c r="AQ142" s="2640"/>
      <c r="AR142" s="2644"/>
      <c r="AS142" s="2644"/>
      <c r="AT142" s="2644"/>
      <c r="AU142" s="2644"/>
      <c r="AV142" s="2660" t="s">
        <v>237</v>
      </c>
      <c r="AW142" s="2661"/>
      <c r="AX142" s="2661"/>
      <c r="AY142" s="2662"/>
      <c r="AZ142" s="2676"/>
      <c r="BA142" s="2676"/>
      <c r="BB142" s="2443" t="s">
        <v>139</v>
      </c>
      <c r="BC142" s="2444"/>
      <c r="BD142" s="2445"/>
      <c r="BE142" s="2437"/>
      <c r="BF142" s="2437"/>
      <c r="BG142" s="2438"/>
      <c r="BH142" s="2443" t="s">
        <v>141</v>
      </c>
      <c r="BI142" s="2444"/>
      <c r="BJ142" s="2444"/>
      <c r="BK142" s="2444"/>
      <c r="BL142" s="2445"/>
      <c r="BM142" s="2669">
        <v>20</v>
      </c>
      <c r="BN142" s="2669"/>
      <c r="BO142" s="2669"/>
      <c r="BP142" s="2434"/>
      <c r="BQ142" s="2434"/>
      <c r="BR142" s="2483" t="s">
        <v>0</v>
      </c>
      <c r="BS142" s="2483"/>
      <c r="BT142" s="2434"/>
      <c r="BU142" s="2434"/>
      <c r="BV142" s="2483" t="s">
        <v>218</v>
      </c>
      <c r="BW142" s="2483"/>
      <c r="BX142" s="2483"/>
      <c r="BY142" s="2483"/>
      <c r="BZ142" s="2443" t="s">
        <v>238</v>
      </c>
      <c r="CA142" s="2444"/>
      <c r="CB142" s="2444"/>
      <c r="CC142" s="2444"/>
      <c r="CD142" s="2444"/>
      <c r="CE142" s="2445"/>
      <c r="CF142" s="2678"/>
      <c r="CG142" s="2679"/>
      <c r="CH142" s="2428" t="s">
        <v>644</v>
      </c>
      <c r="CI142" s="2429"/>
      <c r="CJ142" s="2429"/>
      <c r="CK142" s="2429"/>
      <c r="CL142" s="2429"/>
      <c r="CM142" s="2429"/>
      <c r="CN142" s="2429"/>
      <c r="CO142" s="2430"/>
      <c r="CP142" s="2499"/>
      <c r="CQ142" s="2491"/>
      <c r="CR142" s="2491"/>
      <c r="CS142" s="2491"/>
      <c r="CT142" s="2491"/>
      <c r="CU142" s="2491"/>
      <c r="CV142" s="2491"/>
      <c r="CW142" s="2491"/>
      <c r="CX142" s="2491"/>
      <c r="CY142" s="2491"/>
      <c r="CZ142" s="2491"/>
      <c r="DA142" s="2491"/>
      <c r="DB142" s="2491"/>
      <c r="DC142" s="2491"/>
      <c r="DD142" s="2491"/>
      <c r="DE142" s="2491"/>
      <c r="DF142" s="2491"/>
      <c r="DG142" s="2491"/>
      <c r="DH142" s="2491"/>
      <c r="DI142" s="2491"/>
      <c r="DJ142" s="2491"/>
      <c r="DK142" s="2491"/>
      <c r="DL142" s="2500"/>
    </row>
    <row r="143" spans="1:126" ht="7.5" customHeight="1">
      <c r="A143" s="48"/>
      <c r="B143" s="2509"/>
      <c r="C143" s="2374"/>
      <c r="D143" s="2374"/>
      <c r="E143" s="2878"/>
      <c r="F143" s="2879"/>
      <c r="G143" s="2879"/>
      <c r="H143" s="2879"/>
      <c r="I143" s="2879"/>
      <c r="J143" s="2879"/>
      <c r="K143" s="2879"/>
      <c r="L143" s="2879"/>
      <c r="M143" s="2879"/>
      <c r="N143" s="2879"/>
      <c r="O143" s="2879"/>
      <c r="P143" s="2879"/>
      <c r="Q143" s="2879"/>
      <c r="R143" s="2879"/>
      <c r="S143" s="2879"/>
      <c r="T143" s="2880"/>
      <c r="U143" s="2374"/>
      <c r="V143" s="2374"/>
      <c r="W143" s="2374"/>
      <c r="X143" s="2452"/>
      <c r="Y143" s="2439"/>
      <c r="Z143" s="2439"/>
      <c r="AA143" s="2439"/>
      <c r="AB143" s="2439"/>
      <c r="AC143" s="2439"/>
      <c r="AD143" s="2439"/>
      <c r="AE143" s="2439"/>
      <c r="AF143" s="2439"/>
      <c r="AG143" s="2439"/>
      <c r="AH143" s="2439"/>
      <c r="AI143" s="2439"/>
      <c r="AJ143" s="2439"/>
      <c r="AK143" s="2439"/>
      <c r="AL143" s="2439"/>
      <c r="AM143" s="2453"/>
      <c r="AN143" s="2341"/>
      <c r="AO143" s="2341"/>
      <c r="AP143" s="2341"/>
      <c r="AQ143" s="2641"/>
      <c r="AR143" s="2645"/>
      <c r="AS143" s="2645"/>
      <c r="AT143" s="2645"/>
      <c r="AU143" s="2645"/>
      <c r="AV143" s="2663"/>
      <c r="AW143" s="2664"/>
      <c r="AX143" s="2664"/>
      <c r="AY143" s="2665"/>
      <c r="AZ143" s="2629"/>
      <c r="BA143" s="2629"/>
      <c r="BB143" s="2373"/>
      <c r="BC143" s="2374"/>
      <c r="BD143" s="2375"/>
      <c r="BE143" s="2439"/>
      <c r="BF143" s="2439"/>
      <c r="BG143" s="2440"/>
      <c r="BH143" s="2373"/>
      <c r="BI143" s="2374"/>
      <c r="BJ143" s="2374"/>
      <c r="BK143" s="2374"/>
      <c r="BL143" s="2375"/>
      <c r="BM143" s="2670"/>
      <c r="BN143" s="2670"/>
      <c r="BO143" s="2670"/>
      <c r="BP143" s="2435"/>
      <c r="BQ143" s="2435"/>
      <c r="BR143" s="2484"/>
      <c r="BS143" s="2484"/>
      <c r="BT143" s="2435"/>
      <c r="BU143" s="2435"/>
      <c r="BV143" s="2484"/>
      <c r="BW143" s="2484"/>
      <c r="BX143" s="2484"/>
      <c r="BY143" s="2484"/>
      <c r="BZ143" s="2373"/>
      <c r="CA143" s="2374"/>
      <c r="CB143" s="2374"/>
      <c r="CC143" s="2374"/>
      <c r="CD143" s="2374"/>
      <c r="CE143" s="2375"/>
      <c r="CF143" s="2680"/>
      <c r="CG143" s="2681"/>
      <c r="CH143" s="2418"/>
      <c r="CI143" s="2419"/>
      <c r="CJ143" s="2419"/>
      <c r="CK143" s="2419"/>
      <c r="CL143" s="2419"/>
      <c r="CM143" s="2419"/>
      <c r="CN143" s="2419"/>
      <c r="CO143" s="2420"/>
      <c r="CP143" s="2501"/>
      <c r="CQ143" s="2493"/>
      <c r="CR143" s="2493"/>
      <c r="CS143" s="2493"/>
      <c r="CT143" s="2493"/>
      <c r="CU143" s="2493"/>
      <c r="CV143" s="2493"/>
      <c r="CW143" s="2493"/>
      <c r="CX143" s="2493"/>
      <c r="CY143" s="2493"/>
      <c r="CZ143" s="2493"/>
      <c r="DA143" s="2493"/>
      <c r="DB143" s="2493"/>
      <c r="DC143" s="2493"/>
      <c r="DD143" s="2493"/>
      <c r="DE143" s="2493"/>
      <c r="DF143" s="2493"/>
      <c r="DG143" s="2493"/>
      <c r="DH143" s="2493"/>
      <c r="DI143" s="2493"/>
      <c r="DJ143" s="2493"/>
      <c r="DK143" s="2493"/>
      <c r="DL143" s="2502"/>
    </row>
    <row r="144" spans="1:126" ht="7.5" customHeight="1" thickBot="1">
      <c r="A144" s="48"/>
      <c r="B144" s="2717"/>
      <c r="C144" s="2447"/>
      <c r="D144" s="2447"/>
      <c r="E144" s="2881"/>
      <c r="F144" s="2882"/>
      <c r="G144" s="2882"/>
      <c r="H144" s="2882"/>
      <c r="I144" s="2882"/>
      <c r="J144" s="2882"/>
      <c r="K144" s="2882"/>
      <c r="L144" s="2882"/>
      <c r="M144" s="2882"/>
      <c r="N144" s="2882"/>
      <c r="O144" s="2882"/>
      <c r="P144" s="2882"/>
      <c r="Q144" s="2882"/>
      <c r="R144" s="2882"/>
      <c r="S144" s="2882"/>
      <c r="T144" s="2883"/>
      <c r="U144" s="2447"/>
      <c r="V144" s="2447"/>
      <c r="W144" s="2447"/>
      <c r="X144" s="2454"/>
      <c r="Y144" s="2455"/>
      <c r="Z144" s="2455"/>
      <c r="AA144" s="2455"/>
      <c r="AB144" s="2455"/>
      <c r="AC144" s="2455"/>
      <c r="AD144" s="2455"/>
      <c r="AE144" s="2455"/>
      <c r="AF144" s="2455"/>
      <c r="AG144" s="2455"/>
      <c r="AH144" s="2455"/>
      <c r="AI144" s="2455"/>
      <c r="AJ144" s="2455"/>
      <c r="AK144" s="2455"/>
      <c r="AL144" s="2455"/>
      <c r="AM144" s="2456"/>
      <c r="AN144" s="2642"/>
      <c r="AO144" s="2642"/>
      <c r="AP144" s="2642"/>
      <c r="AQ144" s="2643"/>
      <c r="AR144" s="2646"/>
      <c r="AS144" s="2646"/>
      <c r="AT144" s="2646"/>
      <c r="AU144" s="2646"/>
      <c r="AV144" s="2666"/>
      <c r="AW144" s="2667"/>
      <c r="AX144" s="2667"/>
      <c r="AY144" s="2668"/>
      <c r="AZ144" s="2677"/>
      <c r="BA144" s="2677"/>
      <c r="BB144" s="2446"/>
      <c r="BC144" s="2447"/>
      <c r="BD144" s="2448"/>
      <c r="BE144" s="2441"/>
      <c r="BF144" s="2441"/>
      <c r="BG144" s="2442"/>
      <c r="BH144" s="2446"/>
      <c r="BI144" s="2447"/>
      <c r="BJ144" s="2447"/>
      <c r="BK144" s="2447"/>
      <c r="BL144" s="2448"/>
      <c r="BM144" s="2671"/>
      <c r="BN144" s="2671"/>
      <c r="BO144" s="2671"/>
      <c r="BP144" s="2436"/>
      <c r="BQ144" s="2436"/>
      <c r="BR144" s="2672"/>
      <c r="BS144" s="2672"/>
      <c r="BT144" s="2436"/>
      <c r="BU144" s="2436"/>
      <c r="BV144" s="2672"/>
      <c r="BW144" s="2672"/>
      <c r="BX144" s="2672"/>
      <c r="BY144" s="2672"/>
      <c r="BZ144" s="2446"/>
      <c r="CA144" s="2447"/>
      <c r="CB144" s="2447"/>
      <c r="CC144" s="2447"/>
      <c r="CD144" s="2447"/>
      <c r="CE144" s="2448"/>
      <c r="CF144" s="2682"/>
      <c r="CG144" s="2683"/>
      <c r="CH144" s="2431"/>
      <c r="CI144" s="2432"/>
      <c r="CJ144" s="2432"/>
      <c r="CK144" s="2432"/>
      <c r="CL144" s="2432"/>
      <c r="CM144" s="2432"/>
      <c r="CN144" s="2432"/>
      <c r="CO144" s="2433"/>
      <c r="CP144" s="2673"/>
      <c r="CQ144" s="2674"/>
      <c r="CR144" s="2674"/>
      <c r="CS144" s="2674"/>
      <c r="CT144" s="2674"/>
      <c r="CU144" s="2674"/>
      <c r="CV144" s="2674"/>
      <c r="CW144" s="2674"/>
      <c r="CX144" s="2674"/>
      <c r="CY144" s="2674"/>
      <c r="CZ144" s="2674"/>
      <c r="DA144" s="2674"/>
      <c r="DB144" s="2674"/>
      <c r="DC144" s="2674"/>
      <c r="DD144" s="2674"/>
      <c r="DE144" s="2674"/>
      <c r="DF144" s="2674"/>
      <c r="DG144" s="2674"/>
      <c r="DH144" s="2674"/>
      <c r="DI144" s="2674"/>
      <c r="DJ144" s="2674"/>
      <c r="DK144" s="2674"/>
      <c r="DL144" s="2675"/>
    </row>
    <row r="145" spans="1:155" ht="6" customHeight="1" thickBot="1">
      <c r="A145" s="58"/>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2887"/>
      <c r="BE145" s="2887"/>
      <c r="BF145" s="2887"/>
      <c r="BG145" s="2887"/>
      <c r="BH145" s="2887"/>
      <c r="BI145" s="2887"/>
      <c r="BJ145" s="2887"/>
      <c r="BK145" s="2887"/>
      <c r="BL145" s="2887"/>
      <c r="BM145" s="2887"/>
      <c r="BN145" s="2887"/>
      <c r="BO145" s="2887"/>
      <c r="BP145" s="2887"/>
      <c r="BQ145" s="2887"/>
      <c r="BR145" s="2887"/>
      <c r="BS145" s="2887"/>
      <c r="BT145" s="2887"/>
      <c r="BU145" s="2887"/>
      <c r="BV145" s="2887"/>
      <c r="BW145" s="2887"/>
      <c r="BX145" s="2887"/>
      <c r="BY145" s="2887"/>
      <c r="BZ145" s="2887"/>
      <c r="CA145" s="2887"/>
      <c r="CB145" s="2887"/>
      <c r="CC145" s="2887"/>
      <c r="CD145" s="2887"/>
      <c r="CE145" s="2887"/>
      <c r="CF145" s="2887"/>
      <c r="CG145" s="2887"/>
      <c r="CH145" s="2887"/>
      <c r="CI145" s="2887"/>
      <c r="CJ145" s="2887"/>
      <c r="CK145" s="2887"/>
      <c r="CL145" s="2887"/>
      <c r="CM145" s="2887"/>
      <c r="CN145" s="2887"/>
      <c r="CO145" s="2887"/>
      <c r="CP145" s="2887"/>
      <c r="CQ145" s="2887"/>
      <c r="CR145" s="2887"/>
      <c r="CS145" s="2887"/>
      <c r="CT145" s="2887"/>
      <c r="CU145" s="2887"/>
      <c r="CV145" s="2887"/>
      <c r="CW145" s="2887"/>
      <c r="CX145" s="2887"/>
      <c r="CY145" s="2887"/>
      <c r="CZ145" s="2887"/>
      <c r="DA145" s="2887"/>
      <c r="DB145" s="2887"/>
      <c r="DC145" s="2887"/>
      <c r="DD145" s="2887"/>
      <c r="DE145" s="2887"/>
      <c r="DF145" s="2887"/>
      <c r="DG145" s="2887"/>
      <c r="DH145" s="2887"/>
      <c r="DI145" s="2887"/>
      <c r="DJ145" s="2887"/>
      <c r="DK145" s="2887"/>
      <c r="DL145" s="2887"/>
    </row>
    <row r="146" spans="1:155" s="62" customFormat="1" ht="8.25" customHeight="1">
      <c r="A146" s="61"/>
      <c r="B146" s="2647" t="s">
        <v>1344</v>
      </c>
      <c r="C146" s="2648"/>
      <c r="D146" s="2648"/>
      <c r="E146" s="2648"/>
      <c r="F146" s="2648"/>
      <c r="G146" s="2648"/>
      <c r="H146" s="2648"/>
      <c r="I146" s="2648"/>
      <c r="J146" s="2648"/>
      <c r="K146" s="2648"/>
      <c r="L146" s="2648"/>
      <c r="M146" s="2648"/>
      <c r="N146" s="2648"/>
      <c r="O146" s="2648"/>
      <c r="P146" s="2648"/>
      <c r="Q146" s="2648"/>
      <c r="R146" s="2648"/>
      <c r="S146" s="2648"/>
      <c r="T146" s="2648"/>
      <c r="U146" s="2648"/>
      <c r="V146" s="2648"/>
      <c r="W146" s="2648"/>
      <c r="X146" s="2648"/>
      <c r="Y146" s="2648"/>
      <c r="Z146" s="2648"/>
      <c r="AA146" s="2648"/>
      <c r="AB146" s="2648"/>
      <c r="AC146" s="2648"/>
      <c r="AD146" s="2648"/>
      <c r="AE146" s="2648"/>
      <c r="AF146" s="2648"/>
      <c r="AG146" s="2648"/>
      <c r="AH146" s="2648"/>
      <c r="AI146" s="2648"/>
      <c r="AJ146" s="2648"/>
      <c r="AK146" s="2648"/>
      <c r="AL146" s="2648"/>
      <c r="AM146" s="2648"/>
      <c r="AN146" s="2648"/>
      <c r="AO146" s="2648"/>
      <c r="AP146" s="2648"/>
      <c r="AQ146" s="2648"/>
      <c r="AR146" s="2648"/>
      <c r="AS146" s="2648"/>
      <c r="AT146" s="2648"/>
      <c r="AU146" s="2648"/>
      <c r="AV146" s="2648"/>
      <c r="AW146" s="2648"/>
      <c r="AX146" s="2648"/>
      <c r="AY146" s="2648"/>
      <c r="AZ146" s="2648"/>
      <c r="BA146" s="2648"/>
      <c r="BB146" s="2648"/>
      <c r="BC146" s="2648"/>
      <c r="BD146" s="2648"/>
      <c r="BE146" s="2648"/>
      <c r="BF146" s="2648"/>
      <c r="BG146" s="2648"/>
      <c r="BH146" s="2648"/>
      <c r="BI146" s="2648"/>
      <c r="BJ146" s="2648"/>
      <c r="BK146" s="2648"/>
      <c r="BL146" s="2648"/>
      <c r="BM146" s="2648"/>
      <c r="BN146" s="2648"/>
      <c r="BO146" s="2648"/>
      <c r="BP146" s="2648"/>
      <c r="BQ146" s="2648"/>
      <c r="BR146" s="2648"/>
      <c r="BS146" s="2648"/>
      <c r="BT146" s="2648"/>
      <c r="BU146" s="2648"/>
      <c r="BV146" s="2648"/>
      <c r="BW146" s="2648"/>
      <c r="BX146" s="2648"/>
      <c r="BY146" s="2648"/>
      <c r="BZ146" s="2648"/>
      <c r="CA146" s="2648"/>
      <c r="CB146" s="2648"/>
      <c r="CC146" s="2648"/>
      <c r="CD146" s="2648"/>
      <c r="CE146" s="2648"/>
      <c r="CF146" s="2648"/>
      <c r="CG146" s="2648"/>
      <c r="CH146" s="2648"/>
      <c r="CI146" s="2648"/>
      <c r="CJ146" s="2648"/>
      <c r="CK146" s="2648"/>
      <c r="CL146" s="2648"/>
      <c r="CM146" s="2648"/>
      <c r="CN146" s="2648"/>
      <c r="CO146" s="2648"/>
      <c r="CP146" s="2648"/>
      <c r="CQ146" s="2648"/>
      <c r="CR146" s="2648"/>
      <c r="CS146" s="2648"/>
      <c r="CT146" s="2648"/>
      <c r="CU146" s="2648"/>
      <c r="CV146" s="2648"/>
      <c r="CW146" s="2648"/>
      <c r="CX146" s="2648"/>
      <c r="CY146" s="2648"/>
      <c r="CZ146" s="2648"/>
      <c r="DA146" s="2648"/>
      <c r="DB146" s="2648"/>
      <c r="DC146" s="2648"/>
      <c r="DD146" s="2648"/>
      <c r="DE146" s="2648"/>
      <c r="DF146" s="2648"/>
      <c r="DG146" s="2648"/>
      <c r="DH146" s="2648"/>
      <c r="DI146" s="2648"/>
      <c r="DJ146" s="2648"/>
      <c r="DK146" s="2648"/>
      <c r="DL146" s="2649"/>
      <c r="DM146" s="45"/>
      <c r="DN146" s="45"/>
      <c r="DO146" s="45"/>
      <c r="DP146" s="45"/>
      <c r="DQ146" s="45"/>
      <c r="DR146" s="45"/>
      <c r="DS146" s="45"/>
      <c r="DT146" s="45"/>
      <c r="DU146" s="45"/>
      <c r="DV146" s="45"/>
      <c r="DW146" s="45"/>
      <c r="DX146" s="45"/>
      <c r="DY146" s="45"/>
      <c r="DZ146" s="45"/>
      <c r="EA146" s="45"/>
      <c r="EB146" s="45"/>
      <c r="EC146" s="45"/>
      <c r="ED146" s="45"/>
      <c r="EE146" s="45"/>
      <c r="EF146" s="45"/>
      <c r="EG146" s="45"/>
      <c r="EH146" s="45"/>
      <c r="EI146" s="45"/>
      <c r="EJ146" s="45"/>
      <c r="EK146" s="45"/>
      <c r="EL146" s="45"/>
      <c r="EM146" s="45"/>
      <c r="EN146" s="45"/>
      <c r="EO146" s="45"/>
      <c r="EP146" s="45"/>
      <c r="EQ146" s="45"/>
      <c r="ER146" s="45"/>
      <c r="ES146" s="45"/>
      <c r="ET146" s="45"/>
      <c r="EU146" s="45"/>
      <c r="EV146" s="45"/>
      <c r="EW146" s="45"/>
      <c r="EX146" s="45"/>
      <c r="EY146" s="45"/>
    </row>
    <row r="147" spans="1:155" s="62" customFormat="1" ht="8.25" customHeight="1" thickBot="1">
      <c r="A147" s="61"/>
      <c r="B147" s="2650"/>
      <c r="C147" s="2651"/>
      <c r="D147" s="2651"/>
      <c r="E147" s="2652"/>
      <c r="F147" s="2652"/>
      <c r="G147" s="2652"/>
      <c r="H147" s="2652"/>
      <c r="I147" s="2652"/>
      <c r="J147" s="2652"/>
      <c r="K147" s="2652"/>
      <c r="L147" s="2652"/>
      <c r="M147" s="2652"/>
      <c r="N147" s="2652"/>
      <c r="O147" s="2652"/>
      <c r="P147" s="2652"/>
      <c r="Q147" s="2652"/>
      <c r="R147" s="2652"/>
      <c r="S147" s="2652"/>
      <c r="T147" s="2652"/>
      <c r="U147" s="2651"/>
      <c r="V147" s="2651"/>
      <c r="W147" s="2651"/>
      <c r="X147" s="2652"/>
      <c r="Y147" s="2652"/>
      <c r="Z147" s="2652"/>
      <c r="AA147" s="2652"/>
      <c r="AB147" s="2652"/>
      <c r="AC147" s="2652"/>
      <c r="AD147" s="2652"/>
      <c r="AE147" s="2652"/>
      <c r="AF147" s="2652"/>
      <c r="AG147" s="2652"/>
      <c r="AH147" s="2652"/>
      <c r="AI147" s="2652"/>
      <c r="AJ147" s="2652"/>
      <c r="AK147" s="2652"/>
      <c r="AL147" s="2652"/>
      <c r="AM147" s="2652"/>
      <c r="AN147" s="2651"/>
      <c r="AO147" s="2651"/>
      <c r="AP147" s="2651"/>
      <c r="AQ147" s="2651"/>
      <c r="AR147" s="2651"/>
      <c r="AS147" s="2651"/>
      <c r="AT147" s="2651"/>
      <c r="AU147" s="2651"/>
      <c r="AV147" s="2651"/>
      <c r="AW147" s="2651"/>
      <c r="AX147" s="2651"/>
      <c r="AY147" s="2651"/>
      <c r="AZ147" s="2651"/>
      <c r="BA147" s="2651"/>
      <c r="BB147" s="2651"/>
      <c r="BC147" s="2651"/>
      <c r="BD147" s="2651"/>
      <c r="BE147" s="2651"/>
      <c r="BF147" s="2651"/>
      <c r="BG147" s="2651"/>
      <c r="BH147" s="2651"/>
      <c r="BI147" s="2651"/>
      <c r="BJ147" s="2651"/>
      <c r="BK147" s="2651"/>
      <c r="BL147" s="2651"/>
      <c r="BM147" s="2651"/>
      <c r="BN147" s="2651"/>
      <c r="BO147" s="2651"/>
      <c r="BP147" s="2651"/>
      <c r="BQ147" s="2651"/>
      <c r="BR147" s="2651"/>
      <c r="BS147" s="2651"/>
      <c r="BT147" s="2651"/>
      <c r="BU147" s="2651"/>
      <c r="BV147" s="2651"/>
      <c r="BW147" s="2651"/>
      <c r="BX147" s="2651"/>
      <c r="BY147" s="2651"/>
      <c r="BZ147" s="2651"/>
      <c r="CA147" s="2651"/>
      <c r="CB147" s="2651"/>
      <c r="CC147" s="2651"/>
      <c r="CD147" s="2651"/>
      <c r="CE147" s="2651"/>
      <c r="CF147" s="2651"/>
      <c r="CG147" s="2651"/>
      <c r="CH147" s="2651"/>
      <c r="CI147" s="2651"/>
      <c r="CJ147" s="2651"/>
      <c r="CK147" s="2651"/>
      <c r="CL147" s="2651"/>
      <c r="CM147" s="2651"/>
      <c r="CN147" s="2651"/>
      <c r="CO147" s="2651"/>
      <c r="CP147" s="2651"/>
      <c r="CQ147" s="2651"/>
      <c r="CR147" s="2651"/>
      <c r="CS147" s="2651"/>
      <c r="CT147" s="2651"/>
      <c r="CU147" s="2651"/>
      <c r="CV147" s="2651"/>
      <c r="CW147" s="2651"/>
      <c r="CX147" s="2651"/>
      <c r="CY147" s="2651"/>
      <c r="CZ147" s="2651"/>
      <c r="DA147" s="2651"/>
      <c r="DB147" s="2651"/>
      <c r="DC147" s="2651"/>
      <c r="DD147" s="2651"/>
      <c r="DE147" s="2651"/>
      <c r="DF147" s="2651"/>
      <c r="DG147" s="2651"/>
      <c r="DH147" s="2651"/>
      <c r="DI147" s="2651"/>
      <c r="DJ147" s="2651"/>
      <c r="DK147" s="2651"/>
      <c r="DL147" s="2653"/>
    </row>
    <row r="148" spans="1:155" s="62" customFormat="1" ht="7.5" customHeight="1" thickTop="1">
      <c r="A148" s="61"/>
      <c r="B148" s="2509" t="s">
        <v>120</v>
      </c>
      <c r="C148" s="2374"/>
      <c r="D148" s="2374"/>
      <c r="E148" s="2825"/>
      <c r="F148" s="2826"/>
      <c r="G148" s="2826"/>
      <c r="H148" s="2826"/>
      <c r="I148" s="2826"/>
      <c r="J148" s="2826"/>
      <c r="K148" s="2826"/>
      <c r="L148" s="2826"/>
      <c r="M148" s="2826"/>
      <c r="N148" s="2826"/>
      <c r="O148" s="2826"/>
      <c r="P148" s="2826"/>
      <c r="Q148" s="2826"/>
      <c r="R148" s="2826"/>
      <c r="S148" s="2826"/>
      <c r="T148" s="2827"/>
      <c r="U148" s="2374" t="s">
        <v>121</v>
      </c>
      <c r="V148" s="2374"/>
      <c r="W148" s="2374"/>
      <c r="X148" s="2825"/>
      <c r="Y148" s="2826"/>
      <c r="Z148" s="2826"/>
      <c r="AA148" s="2826"/>
      <c r="AB148" s="2826"/>
      <c r="AC148" s="2826"/>
      <c r="AD148" s="2826"/>
      <c r="AE148" s="2826"/>
      <c r="AF148" s="2826"/>
      <c r="AG148" s="2826"/>
      <c r="AH148" s="2826"/>
      <c r="AI148" s="2826"/>
      <c r="AJ148" s="2826"/>
      <c r="AK148" s="2826"/>
      <c r="AL148" s="2826"/>
      <c r="AM148" s="2827"/>
      <c r="AN148" s="2374" t="s">
        <v>228</v>
      </c>
      <c r="AO148" s="2374"/>
      <c r="AP148" s="2374"/>
      <c r="AQ148" s="2374"/>
      <c r="AR148" s="2654"/>
      <c r="AS148" s="2655"/>
      <c r="AT148" s="2655"/>
      <c r="AU148" s="2655"/>
      <c r="AV148" s="2763" t="s">
        <v>138</v>
      </c>
      <c r="AW148" s="2444"/>
      <c r="AX148" s="2764"/>
      <c r="AY148" s="2768"/>
      <c r="AZ148" s="2769"/>
      <c r="BA148" s="2770"/>
      <c r="BB148" s="2819" t="s">
        <v>140</v>
      </c>
      <c r="BC148" s="2820"/>
      <c r="BD148" s="2820"/>
      <c r="BE148" s="2820"/>
      <c r="BF148" s="2821"/>
      <c r="BG148" s="2884">
        <v>20</v>
      </c>
      <c r="BH148" s="2669"/>
      <c r="BI148" s="2669"/>
      <c r="BJ148" s="2816"/>
      <c r="BK148" s="2434"/>
      <c r="BL148" s="2484" t="s">
        <v>125</v>
      </c>
      <c r="BM148" s="2484"/>
      <c r="BN148" s="2816"/>
      <c r="BO148" s="2434"/>
      <c r="BP148" s="2484" t="s">
        <v>239</v>
      </c>
      <c r="BQ148" s="2484"/>
      <c r="BR148" s="2484"/>
      <c r="BS148" s="2484"/>
      <c r="BT148" s="2833" t="s">
        <v>1342</v>
      </c>
      <c r="BU148" s="2639"/>
      <c r="BV148" s="2639"/>
      <c r="BW148" s="2639"/>
      <c r="BX148" s="2639"/>
      <c r="BY148" s="2639"/>
      <c r="BZ148" s="2834"/>
      <c r="CA148" s="2838"/>
      <c r="CB148" s="2838"/>
      <c r="CC148" s="2838"/>
      <c r="CD148" s="2352"/>
      <c r="CE148" s="2353"/>
      <c r="CF148" s="2353"/>
      <c r="CG148" s="2353"/>
      <c r="CH148" s="2353"/>
      <c r="CI148" s="2353"/>
      <c r="CJ148" s="2354"/>
      <c r="CK148" s="2318" t="s">
        <v>1343</v>
      </c>
      <c r="CL148" s="2318"/>
      <c r="CM148" s="2318"/>
      <c r="CN148" s="2318"/>
      <c r="CO148" s="2318"/>
      <c r="CP148" s="2318"/>
      <c r="CQ148" s="2318"/>
      <c r="CR148" s="2841"/>
      <c r="CS148" s="2842"/>
      <c r="CT148" s="2842"/>
      <c r="CU148" s="2842"/>
      <c r="CV148" s="2842"/>
      <c r="CW148" s="2842"/>
      <c r="CX148" s="2842"/>
      <c r="CY148" s="2842"/>
      <c r="CZ148" s="2842"/>
      <c r="DA148" s="2842"/>
      <c r="DB148" s="2842"/>
      <c r="DC148" s="2842"/>
      <c r="DD148" s="2842"/>
      <c r="DE148" s="2842"/>
      <c r="DF148" s="2842"/>
      <c r="DG148" s="2842"/>
      <c r="DH148" s="2842"/>
      <c r="DI148" s="2842"/>
      <c r="DJ148" s="2842"/>
      <c r="DK148" s="2842"/>
      <c r="DL148" s="2843"/>
    </row>
    <row r="149" spans="1:155" s="62" customFormat="1" ht="7.5" customHeight="1">
      <c r="A149" s="61"/>
      <c r="B149" s="2509"/>
      <c r="C149" s="2374"/>
      <c r="D149" s="2374"/>
      <c r="E149" s="2828"/>
      <c r="F149" s="2586"/>
      <c r="G149" s="2586"/>
      <c r="H149" s="2586"/>
      <c r="I149" s="2586"/>
      <c r="J149" s="2586"/>
      <c r="K149" s="2586"/>
      <c r="L149" s="2586"/>
      <c r="M149" s="2586"/>
      <c r="N149" s="2586"/>
      <c r="O149" s="2586"/>
      <c r="P149" s="2586"/>
      <c r="Q149" s="2586"/>
      <c r="R149" s="2586"/>
      <c r="S149" s="2586"/>
      <c r="T149" s="2829"/>
      <c r="U149" s="2374"/>
      <c r="V149" s="2374"/>
      <c r="W149" s="2374"/>
      <c r="X149" s="2828"/>
      <c r="Y149" s="2586"/>
      <c r="Z149" s="2586"/>
      <c r="AA149" s="2586"/>
      <c r="AB149" s="2586"/>
      <c r="AC149" s="2586"/>
      <c r="AD149" s="2586"/>
      <c r="AE149" s="2586"/>
      <c r="AF149" s="2586"/>
      <c r="AG149" s="2586"/>
      <c r="AH149" s="2586"/>
      <c r="AI149" s="2586"/>
      <c r="AJ149" s="2586"/>
      <c r="AK149" s="2586"/>
      <c r="AL149" s="2586"/>
      <c r="AM149" s="2829"/>
      <c r="AN149" s="2374"/>
      <c r="AO149" s="2374"/>
      <c r="AP149" s="2374"/>
      <c r="AQ149" s="2374"/>
      <c r="AR149" s="2656"/>
      <c r="AS149" s="2657"/>
      <c r="AT149" s="2657"/>
      <c r="AU149" s="2657"/>
      <c r="AV149" s="2742"/>
      <c r="AW149" s="2374"/>
      <c r="AX149" s="2765"/>
      <c r="AY149" s="2771"/>
      <c r="AZ149" s="2586"/>
      <c r="BA149" s="2772"/>
      <c r="BB149" s="2822"/>
      <c r="BC149" s="2823"/>
      <c r="BD149" s="2823"/>
      <c r="BE149" s="2823"/>
      <c r="BF149" s="2824"/>
      <c r="BG149" s="2885"/>
      <c r="BH149" s="2670"/>
      <c r="BI149" s="2670"/>
      <c r="BJ149" s="2817"/>
      <c r="BK149" s="2435"/>
      <c r="BL149" s="2484"/>
      <c r="BM149" s="2484"/>
      <c r="BN149" s="2817"/>
      <c r="BO149" s="2435"/>
      <c r="BP149" s="2484"/>
      <c r="BQ149" s="2484"/>
      <c r="BR149" s="2484"/>
      <c r="BS149" s="2484"/>
      <c r="BT149" s="2340"/>
      <c r="BU149" s="2341"/>
      <c r="BV149" s="2341"/>
      <c r="BW149" s="2341"/>
      <c r="BX149" s="2341"/>
      <c r="BY149" s="2341"/>
      <c r="BZ149" s="2342"/>
      <c r="CA149" s="2839"/>
      <c r="CB149" s="2839"/>
      <c r="CC149" s="2839"/>
      <c r="CD149" s="2355"/>
      <c r="CE149" s="2356"/>
      <c r="CF149" s="2356"/>
      <c r="CG149" s="2356"/>
      <c r="CH149" s="2356"/>
      <c r="CI149" s="2356"/>
      <c r="CJ149" s="2357"/>
      <c r="CK149" s="1390"/>
      <c r="CL149" s="1390"/>
      <c r="CM149" s="1390"/>
      <c r="CN149" s="1390"/>
      <c r="CO149" s="1390"/>
      <c r="CP149" s="1390"/>
      <c r="CQ149" s="1390"/>
      <c r="CR149" s="2844"/>
      <c r="CS149" s="2845"/>
      <c r="CT149" s="2845"/>
      <c r="CU149" s="2845"/>
      <c r="CV149" s="2845"/>
      <c r="CW149" s="2845"/>
      <c r="CX149" s="2845"/>
      <c r="CY149" s="2845"/>
      <c r="CZ149" s="2845"/>
      <c r="DA149" s="2845"/>
      <c r="DB149" s="2845"/>
      <c r="DC149" s="2845"/>
      <c r="DD149" s="2845"/>
      <c r="DE149" s="2845"/>
      <c r="DF149" s="2845"/>
      <c r="DG149" s="2845"/>
      <c r="DH149" s="2845"/>
      <c r="DI149" s="2845"/>
      <c r="DJ149" s="2845"/>
      <c r="DK149" s="2845"/>
      <c r="DL149" s="2846"/>
    </row>
    <row r="150" spans="1:155" s="62" customFormat="1" ht="7.5" customHeight="1" thickBot="1">
      <c r="A150" s="61"/>
      <c r="B150" s="2510"/>
      <c r="C150" s="2377"/>
      <c r="D150" s="2377"/>
      <c r="E150" s="2830"/>
      <c r="F150" s="2831"/>
      <c r="G150" s="2831"/>
      <c r="H150" s="2831"/>
      <c r="I150" s="2831"/>
      <c r="J150" s="2831"/>
      <c r="K150" s="2831"/>
      <c r="L150" s="2831"/>
      <c r="M150" s="2831"/>
      <c r="N150" s="2831"/>
      <c r="O150" s="2831"/>
      <c r="P150" s="2831"/>
      <c r="Q150" s="2831"/>
      <c r="R150" s="2831"/>
      <c r="S150" s="2831"/>
      <c r="T150" s="2832"/>
      <c r="U150" s="2377"/>
      <c r="V150" s="2377"/>
      <c r="W150" s="2377"/>
      <c r="X150" s="2830"/>
      <c r="Y150" s="2831"/>
      <c r="Z150" s="2831"/>
      <c r="AA150" s="2831"/>
      <c r="AB150" s="2831"/>
      <c r="AC150" s="2831"/>
      <c r="AD150" s="2831"/>
      <c r="AE150" s="2831"/>
      <c r="AF150" s="2831"/>
      <c r="AG150" s="2831"/>
      <c r="AH150" s="2831"/>
      <c r="AI150" s="2831"/>
      <c r="AJ150" s="2831"/>
      <c r="AK150" s="2831"/>
      <c r="AL150" s="2831"/>
      <c r="AM150" s="2832"/>
      <c r="AN150" s="2377"/>
      <c r="AO150" s="2377"/>
      <c r="AP150" s="2377"/>
      <c r="AQ150" s="2377"/>
      <c r="AR150" s="2658"/>
      <c r="AS150" s="2659"/>
      <c r="AT150" s="2659"/>
      <c r="AU150" s="2659"/>
      <c r="AV150" s="2766"/>
      <c r="AW150" s="2377"/>
      <c r="AX150" s="2767"/>
      <c r="AY150" s="2773"/>
      <c r="AZ150" s="2774"/>
      <c r="BA150" s="2775"/>
      <c r="BB150" s="2822"/>
      <c r="BC150" s="2823"/>
      <c r="BD150" s="2823"/>
      <c r="BE150" s="2823"/>
      <c r="BF150" s="2824"/>
      <c r="BG150" s="2886"/>
      <c r="BH150" s="2699"/>
      <c r="BI150" s="2699"/>
      <c r="BJ150" s="2818"/>
      <c r="BK150" s="2482"/>
      <c r="BL150" s="2485"/>
      <c r="BM150" s="2485"/>
      <c r="BN150" s="2818"/>
      <c r="BO150" s="2482"/>
      <c r="BP150" s="2485"/>
      <c r="BQ150" s="2485"/>
      <c r="BR150" s="2485"/>
      <c r="BS150" s="2485"/>
      <c r="BT150" s="2835"/>
      <c r="BU150" s="2836"/>
      <c r="BV150" s="2836"/>
      <c r="BW150" s="2836"/>
      <c r="BX150" s="2836"/>
      <c r="BY150" s="2836"/>
      <c r="BZ150" s="2837"/>
      <c r="CA150" s="2840"/>
      <c r="CB150" s="2840"/>
      <c r="CC150" s="2840"/>
      <c r="CD150" s="2358"/>
      <c r="CE150" s="2359"/>
      <c r="CF150" s="2359"/>
      <c r="CG150" s="2359"/>
      <c r="CH150" s="2359"/>
      <c r="CI150" s="2359"/>
      <c r="CJ150" s="2360"/>
      <c r="CK150" s="2850"/>
      <c r="CL150" s="2850"/>
      <c r="CM150" s="2850"/>
      <c r="CN150" s="2850"/>
      <c r="CO150" s="2850"/>
      <c r="CP150" s="2850"/>
      <c r="CQ150" s="2850"/>
      <c r="CR150" s="2847"/>
      <c r="CS150" s="2848"/>
      <c r="CT150" s="2848"/>
      <c r="CU150" s="2848"/>
      <c r="CV150" s="2848"/>
      <c r="CW150" s="2848"/>
      <c r="CX150" s="2848"/>
      <c r="CY150" s="2848"/>
      <c r="CZ150" s="2848"/>
      <c r="DA150" s="2848"/>
      <c r="DB150" s="2848"/>
      <c r="DC150" s="2848"/>
      <c r="DD150" s="2848"/>
      <c r="DE150" s="2848"/>
      <c r="DF150" s="2848"/>
      <c r="DG150" s="2848"/>
      <c r="DH150" s="2848"/>
      <c r="DI150" s="2848"/>
      <c r="DJ150" s="2848"/>
      <c r="DK150" s="2848"/>
      <c r="DL150" s="2849"/>
    </row>
    <row r="151" spans="1:155" ht="11.25" customHeight="1" thickTop="1" thickBot="1">
      <c r="A151" s="44"/>
      <c r="B151" s="2760" t="s">
        <v>235</v>
      </c>
      <c r="C151" s="2761"/>
      <c r="D151" s="2761"/>
      <c r="E151" s="2761"/>
      <c r="F151" s="2761"/>
      <c r="G151" s="2761"/>
      <c r="H151" s="2761"/>
      <c r="I151" s="2761"/>
      <c r="J151" s="2761"/>
      <c r="K151" s="2761"/>
      <c r="L151" s="2761"/>
      <c r="M151" s="2761"/>
      <c r="N151" s="2761"/>
      <c r="O151" s="2761"/>
      <c r="P151" s="2761"/>
      <c r="Q151" s="2761"/>
      <c r="R151" s="2761"/>
      <c r="S151" s="2761"/>
      <c r="T151" s="2761"/>
      <c r="U151" s="2761"/>
      <c r="V151" s="2761"/>
      <c r="W151" s="2761"/>
      <c r="X151" s="2761"/>
      <c r="Y151" s="2761"/>
      <c r="Z151" s="2761"/>
      <c r="AA151" s="2761"/>
      <c r="AB151" s="2761"/>
      <c r="AC151" s="2761"/>
      <c r="AD151" s="2761"/>
      <c r="AE151" s="2761"/>
      <c r="AF151" s="2761"/>
      <c r="AG151" s="2761"/>
      <c r="AH151" s="2761"/>
      <c r="AI151" s="2761"/>
      <c r="AJ151" s="2761"/>
      <c r="AK151" s="2761"/>
      <c r="AL151" s="2761"/>
      <c r="AM151" s="2761"/>
      <c r="AN151" s="2761"/>
      <c r="AO151" s="2761"/>
      <c r="AP151" s="2761"/>
      <c r="AQ151" s="2761"/>
      <c r="AR151" s="2761"/>
      <c r="AS151" s="2761"/>
      <c r="AT151" s="2761"/>
      <c r="AU151" s="2761"/>
      <c r="AV151" s="2761"/>
      <c r="AW151" s="2761"/>
      <c r="AX151" s="2761"/>
      <c r="AY151" s="2761"/>
      <c r="AZ151" s="2761"/>
      <c r="BA151" s="2761"/>
      <c r="BB151" s="2761"/>
      <c r="BC151" s="2761"/>
      <c r="BD151" s="2761"/>
      <c r="BE151" s="2761"/>
      <c r="BF151" s="2761"/>
      <c r="BG151" s="2761"/>
      <c r="BH151" s="2761"/>
      <c r="BI151" s="2761"/>
      <c r="BJ151" s="2761"/>
      <c r="BK151" s="2761"/>
      <c r="BL151" s="2761"/>
      <c r="BM151" s="2761"/>
      <c r="BN151" s="2761"/>
      <c r="BO151" s="2761"/>
      <c r="BP151" s="2761"/>
      <c r="BQ151" s="2761"/>
      <c r="BR151" s="2761"/>
      <c r="BS151" s="2761"/>
      <c r="BT151" s="2761"/>
      <c r="BU151" s="2761"/>
      <c r="BV151" s="2761"/>
      <c r="BW151" s="2761"/>
      <c r="BX151" s="2761"/>
      <c r="BY151" s="2761"/>
      <c r="BZ151" s="2761"/>
      <c r="CA151" s="2761"/>
      <c r="CB151" s="2761"/>
      <c r="CC151" s="2761"/>
      <c r="CD151" s="2761"/>
      <c r="CE151" s="2761"/>
      <c r="CF151" s="2761"/>
      <c r="CG151" s="2761"/>
      <c r="CH151" s="2761"/>
      <c r="CI151" s="2761"/>
      <c r="CJ151" s="2761"/>
      <c r="CK151" s="2761"/>
      <c r="CL151" s="2761"/>
      <c r="CM151" s="2761"/>
      <c r="CN151" s="2761"/>
      <c r="CO151" s="2761"/>
      <c r="CP151" s="2761"/>
      <c r="CQ151" s="2761"/>
      <c r="CR151" s="2761"/>
      <c r="CS151" s="2761"/>
      <c r="CT151" s="2761"/>
      <c r="CU151" s="2761"/>
      <c r="CV151" s="2761"/>
      <c r="CW151" s="2761"/>
      <c r="CX151" s="2761"/>
      <c r="CY151" s="2761"/>
      <c r="CZ151" s="2761"/>
      <c r="DA151" s="2761"/>
      <c r="DB151" s="2761"/>
      <c r="DC151" s="2761"/>
      <c r="DD151" s="2761"/>
      <c r="DE151" s="2761"/>
      <c r="DF151" s="2761"/>
      <c r="DG151" s="2761"/>
      <c r="DH151" s="2761"/>
      <c r="DI151" s="2761"/>
      <c r="DJ151" s="2761"/>
      <c r="DK151" s="2761"/>
      <c r="DL151" s="27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row>
    <row r="152" spans="1:155" ht="7.5" customHeight="1">
      <c r="A152" s="44"/>
      <c r="B152" s="2776" t="s">
        <v>1165</v>
      </c>
      <c r="C152" s="2777"/>
      <c r="D152" s="2777"/>
      <c r="E152" s="2777"/>
      <c r="F152" s="2777"/>
      <c r="G152" s="2777"/>
      <c r="H152" s="2778"/>
      <c r="I152" s="2785"/>
      <c r="J152" s="2786"/>
      <c r="K152" s="2786"/>
      <c r="L152" s="2786"/>
      <c r="M152" s="2786"/>
      <c r="N152" s="2786"/>
      <c r="O152" s="2786"/>
      <c r="P152" s="2786"/>
      <c r="Q152" s="2786"/>
      <c r="R152" s="2786"/>
      <c r="S152" s="2786"/>
      <c r="T152" s="2786"/>
      <c r="U152" s="2786"/>
      <c r="V152" s="2786"/>
      <c r="W152" s="2786"/>
      <c r="X152" s="2337" t="s">
        <v>166</v>
      </c>
      <c r="Y152" s="2338"/>
      <c r="Z152" s="2338"/>
      <c r="AA152" s="2338"/>
      <c r="AB152" s="2338"/>
      <c r="AC152" s="2338"/>
      <c r="AD152" s="2338"/>
      <c r="AE152" s="2339"/>
      <c r="AF152" s="2812"/>
      <c r="AG152" s="2491"/>
      <c r="AH152" s="2491"/>
      <c r="AI152" s="2491"/>
      <c r="AJ152" s="2491"/>
      <c r="AK152" s="2491"/>
      <c r="AL152" s="2491"/>
      <c r="AM152" s="2491"/>
      <c r="AN152" s="2491"/>
      <c r="AO152" s="2491"/>
      <c r="AP152" s="2491"/>
      <c r="AQ152" s="2491"/>
      <c r="AR152" s="2491"/>
      <c r="AS152" s="2491"/>
      <c r="AT152" s="2491"/>
      <c r="AU152" s="2491"/>
      <c r="AV152" s="2491"/>
      <c r="AW152" s="2491"/>
      <c r="AX152" s="2491"/>
      <c r="AY152" s="2492"/>
      <c r="AZ152" s="2803" t="s">
        <v>1200</v>
      </c>
      <c r="BA152" s="2804"/>
      <c r="BB152" s="2804"/>
      <c r="BC152" s="2804"/>
      <c r="BD152" s="2804"/>
      <c r="BE152" s="2804"/>
      <c r="BF152" s="2804"/>
      <c r="BG152" s="2804"/>
      <c r="BH152" s="2804"/>
      <c r="BI152" s="2804"/>
      <c r="BJ152" s="2805"/>
      <c r="BK152" s="2346"/>
      <c r="BL152" s="2347"/>
      <c r="BM152" s="2797" t="s">
        <v>1170</v>
      </c>
      <c r="BN152" s="2797"/>
      <c r="BO152" s="2797"/>
      <c r="BP152" s="2797"/>
      <c r="BQ152" s="2797"/>
      <c r="BR152" s="2797"/>
      <c r="BS152" s="2797"/>
      <c r="BT152" s="2798"/>
      <c r="BU152" s="2791"/>
      <c r="BV152" s="2792"/>
      <c r="BW152" s="2792"/>
      <c r="BX152" s="2792"/>
      <c r="BY152" s="2792"/>
      <c r="BZ152" s="2792"/>
      <c r="CA152" s="2792"/>
      <c r="CB152" s="2792"/>
      <c r="CC152" s="2792"/>
      <c r="CD152" s="2792"/>
      <c r="CE152" s="2792"/>
      <c r="CF152" s="2792"/>
      <c r="CG152" s="2792"/>
      <c r="CH152" s="2792"/>
      <c r="CI152" s="2792"/>
      <c r="CJ152" s="2792"/>
      <c r="CK152" s="2792"/>
      <c r="CL152" s="2325" t="s">
        <v>1511</v>
      </c>
      <c r="CM152" s="2326"/>
      <c r="CN152" s="2326"/>
      <c r="CO152" s="2326"/>
      <c r="CP152" s="2326"/>
      <c r="CQ152" s="2326"/>
      <c r="CR152" s="2331"/>
      <c r="CS152" s="2332"/>
      <c r="CT152" s="664"/>
      <c r="CU152" s="664"/>
      <c r="CV152" s="664"/>
      <c r="CW152" s="664"/>
      <c r="CX152" s="664"/>
      <c r="CY152" s="664"/>
      <c r="CZ152" s="664"/>
      <c r="DA152" s="664"/>
      <c r="DB152" s="664"/>
      <c r="DC152" s="664"/>
      <c r="DD152" s="664"/>
      <c r="DE152" s="664"/>
      <c r="DF152" s="664"/>
      <c r="DG152" s="664"/>
      <c r="DH152" s="664"/>
      <c r="DI152" s="664"/>
      <c r="DJ152" s="664"/>
      <c r="DK152" s="664"/>
      <c r="DL152" s="664"/>
      <c r="DM152" s="62"/>
      <c r="DN152" s="62"/>
      <c r="DO152" s="62"/>
      <c r="DP152" s="62"/>
      <c r="DQ152" s="62"/>
      <c r="DR152" s="62"/>
    </row>
    <row r="153" spans="1:155" s="49" customFormat="1" ht="7.5" customHeight="1">
      <c r="A153" s="63"/>
      <c r="B153" s="2779"/>
      <c r="C153" s="2780"/>
      <c r="D153" s="2780"/>
      <c r="E153" s="2780"/>
      <c r="F153" s="2780"/>
      <c r="G153" s="2780"/>
      <c r="H153" s="2781"/>
      <c r="I153" s="2787"/>
      <c r="J153" s="2788"/>
      <c r="K153" s="2788"/>
      <c r="L153" s="2788"/>
      <c r="M153" s="2788"/>
      <c r="N153" s="2788"/>
      <c r="O153" s="2788"/>
      <c r="P153" s="2788"/>
      <c r="Q153" s="2788"/>
      <c r="R153" s="2788"/>
      <c r="S153" s="2788"/>
      <c r="T153" s="2788"/>
      <c r="U153" s="2788"/>
      <c r="V153" s="2788"/>
      <c r="W153" s="2788"/>
      <c r="X153" s="2340"/>
      <c r="Y153" s="2341"/>
      <c r="Z153" s="2341"/>
      <c r="AA153" s="2341"/>
      <c r="AB153" s="2341"/>
      <c r="AC153" s="2341"/>
      <c r="AD153" s="2341"/>
      <c r="AE153" s="2342"/>
      <c r="AF153" s="2813"/>
      <c r="AG153" s="2493"/>
      <c r="AH153" s="2493"/>
      <c r="AI153" s="2493"/>
      <c r="AJ153" s="2493"/>
      <c r="AK153" s="2493"/>
      <c r="AL153" s="2493"/>
      <c r="AM153" s="2493"/>
      <c r="AN153" s="2493"/>
      <c r="AO153" s="2493"/>
      <c r="AP153" s="2493"/>
      <c r="AQ153" s="2493"/>
      <c r="AR153" s="2493"/>
      <c r="AS153" s="2493"/>
      <c r="AT153" s="2493"/>
      <c r="AU153" s="2493"/>
      <c r="AV153" s="2493"/>
      <c r="AW153" s="2493"/>
      <c r="AX153" s="2493"/>
      <c r="AY153" s="2494"/>
      <c r="AZ153" s="2806"/>
      <c r="BA153" s="2807"/>
      <c r="BB153" s="2807"/>
      <c r="BC153" s="2807"/>
      <c r="BD153" s="2807"/>
      <c r="BE153" s="2807"/>
      <c r="BF153" s="2807"/>
      <c r="BG153" s="2807"/>
      <c r="BH153" s="2807"/>
      <c r="BI153" s="2807"/>
      <c r="BJ153" s="2808"/>
      <c r="BK153" s="2348"/>
      <c r="BL153" s="2349"/>
      <c r="BM153" s="2799"/>
      <c r="BN153" s="2799"/>
      <c r="BO153" s="2799"/>
      <c r="BP153" s="2799"/>
      <c r="BQ153" s="2799"/>
      <c r="BR153" s="2799"/>
      <c r="BS153" s="2799"/>
      <c r="BT153" s="2800"/>
      <c r="BU153" s="2793"/>
      <c r="BV153" s="2794"/>
      <c r="BW153" s="2794"/>
      <c r="BX153" s="2794"/>
      <c r="BY153" s="2794"/>
      <c r="BZ153" s="2794"/>
      <c r="CA153" s="2794"/>
      <c r="CB153" s="2794"/>
      <c r="CC153" s="2794"/>
      <c r="CD153" s="2794"/>
      <c r="CE153" s="2794"/>
      <c r="CF153" s="2794"/>
      <c r="CG153" s="2794"/>
      <c r="CH153" s="2794"/>
      <c r="CI153" s="2794"/>
      <c r="CJ153" s="2794"/>
      <c r="CK153" s="2794"/>
      <c r="CL153" s="2327"/>
      <c r="CM153" s="2328"/>
      <c r="CN153" s="2328"/>
      <c r="CO153" s="2328"/>
      <c r="CP153" s="2328"/>
      <c r="CQ153" s="2328"/>
      <c r="CR153" s="2333"/>
      <c r="CS153" s="2334"/>
      <c r="CT153" s="665"/>
      <c r="CU153" s="665"/>
      <c r="CV153" s="665"/>
      <c r="CW153" s="665"/>
      <c r="CX153" s="665"/>
      <c r="CY153" s="665"/>
      <c r="CZ153" s="665"/>
      <c r="DA153" s="665"/>
      <c r="DB153" s="665"/>
      <c r="DC153" s="665"/>
      <c r="DD153" s="665"/>
      <c r="DE153" s="665"/>
      <c r="DF153" s="665"/>
      <c r="DG153" s="665"/>
      <c r="DH153" s="665"/>
      <c r="DI153" s="665"/>
      <c r="DJ153" s="665"/>
      <c r="DK153" s="665"/>
      <c r="DL153" s="665"/>
      <c r="DM153" s="62"/>
      <c r="DN153" s="62"/>
      <c r="DO153" s="62"/>
      <c r="DP153" s="62"/>
      <c r="DQ153" s="62"/>
      <c r="DR153" s="62"/>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row>
    <row r="154" spans="1:155" s="49" customFormat="1" ht="7.5" customHeight="1" thickBot="1">
      <c r="A154" s="63"/>
      <c r="B154" s="2782"/>
      <c r="C154" s="2783"/>
      <c r="D154" s="2783"/>
      <c r="E154" s="2783"/>
      <c r="F154" s="2783"/>
      <c r="G154" s="2783"/>
      <c r="H154" s="2784"/>
      <c r="I154" s="2789"/>
      <c r="J154" s="2790"/>
      <c r="K154" s="2790"/>
      <c r="L154" s="2790"/>
      <c r="M154" s="2790"/>
      <c r="N154" s="2790"/>
      <c r="O154" s="2790"/>
      <c r="P154" s="2790"/>
      <c r="Q154" s="2790"/>
      <c r="R154" s="2790"/>
      <c r="S154" s="2790"/>
      <c r="T154" s="2790"/>
      <c r="U154" s="2790"/>
      <c r="V154" s="2790"/>
      <c r="W154" s="2790"/>
      <c r="X154" s="2343"/>
      <c r="Y154" s="2344"/>
      <c r="Z154" s="2344"/>
      <c r="AA154" s="2344"/>
      <c r="AB154" s="2344"/>
      <c r="AC154" s="2344"/>
      <c r="AD154" s="2344"/>
      <c r="AE154" s="2345"/>
      <c r="AF154" s="2814"/>
      <c r="AG154" s="2674"/>
      <c r="AH154" s="2674"/>
      <c r="AI154" s="2674"/>
      <c r="AJ154" s="2674"/>
      <c r="AK154" s="2674"/>
      <c r="AL154" s="2674"/>
      <c r="AM154" s="2674"/>
      <c r="AN154" s="2674"/>
      <c r="AO154" s="2674"/>
      <c r="AP154" s="2674"/>
      <c r="AQ154" s="2674"/>
      <c r="AR154" s="2674"/>
      <c r="AS154" s="2674"/>
      <c r="AT154" s="2674"/>
      <c r="AU154" s="2674"/>
      <c r="AV154" s="2674"/>
      <c r="AW154" s="2674"/>
      <c r="AX154" s="2674"/>
      <c r="AY154" s="2815"/>
      <c r="AZ154" s="2809"/>
      <c r="BA154" s="2810"/>
      <c r="BB154" s="2810"/>
      <c r="BC154" s="2810"/>
      <c r="BD154" s="2810"/>
      <c r="BE154" s="2810"/>
      <c r="BF154" s="2810"/>
      <c r="BG154" s="2810"/>
      <c r="BH154" s="2810"/>
      <c r="BI154" s="2810"/>
      <c r="BJ154" s="2811"/>
      <c r="BK154" s="2350"/>
      <c r="BL154" s="2351"/>
      <c r="BM154" s="2801"/>
      <c r="BN154" s="2801"/>
      <c r="BO154" s="2801"/>
      <c r="BP154" s="2801"/>
      <c r="BQ154" s="2801"/>
      <c r="BR154" s="2801"/>
      <c r="BS154" s="2801"/>
      <c r="BT154" s="2802"/>
      <c r="BU154" s="2795"/>
      <c r="BV154" s="2796"/>
      <c r="BW154" s="2796"/>
      <c r="BX154" s="2796"/>
      <c r="BY154" s="2796"/>
      <c r="BZ154" s="2796"/>
      <c r="CA154" s="2796"/>
      <c r="CB154" s="2796"/>
      <c r="CC154" s="2796"/>
      <c r="CD154" s="2796"/>
      <c r="CE154" s="2796"/>
      <c r="CF154" s="2796"/>
      <c r="CG154" s="2796"/>
      <c r="CH154" s="2796"/>
      <c r="CI154" s="2796"/>
      <c r="CJ154" s="2796"/>
      <c r="CK154" s="2796"/>
      <c r="CL154" s="2329"/>
      <c r="CM154" s="2330"/>
      <c r="CN154" s="2330"/>
      <c r="CO154" s="2330"/>
      <c r="CP154" s="2330"/>
      <c r="CQ154" s="2330"/>
      <c r="CR154" s="2335"/>
      <c r="CS154" s="2336"/>
      <c r="CT154" s="666"/>
      <c r="CU154" s="666"/>
      <c r="CV154" s="666"/>
      <c r="CW154" s="666"/>
      <c r="CX154" s="666"/>
      <c r="CY154" s="666"/>
      <c r="CZ154" s="666"/>
      <c r="DA154" s="666"/>
      <c r="DB154" s="666"/>
      <c r="DC154" s="666"/>
      <c r="DD154" s="666"/>
      <c r="DE154" s="666"/>
      <c r="DF154" s="666"/>
      <c r="DG154" s="666"/>
      <c r="DH154" s="666"/>
      <c r="DI154" s="666"/>
      <c r="DJ154" s="666"/>
      <c r="DK154" s="666"/>
      <c r="DL154" s="666"/>
      <c r="DM154" s="652"/>
      <c r="DN154" s="62"/>
      <c r="DO154" s="62"/>
      <c r="DP154" s="62"/>
      <c r="DQ154" s="62"/>
      <c r="DR154" s="62"/>
    </row>
    <row r="155" spans="1:155" customFormat="1" ht="6" customHeight="1">
      <c r="A155" s="127"/>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62"/>
      <c r="DN155" s="62"/>
      <c r="DO155" s="62"/>
      <c r="DP155" s="62"/>
      <c r="DQ155" s="62"/>
      <c r="DR155" s="62"/>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row>
    <row r="156" spans="1:155" ht="8.25" customHeight="1">
      <c r="A156" s="2874" t="s">
        <v>1514</v>
      </c>
      <c r="B156" s="2874"/>
      <c r="C156" s="2874"/>
      <c r="D156" s="2874"/>
      <c r="E156" s="2874"/>
      <c r="F156" s="2874"/>
      <c r="G156" s="2874"/>
      <c r="H156" s="2874"/>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74"/>
      <c r="AD156" s="2874"/>
      <c r="AE156" s="2874"/>
      <c r="AF156" s="2874"/>
      <c r="AG156" s="2874"/>
      <c r="AH156" s="2874"/>
      <c r="AI156" s="2874"/>
      <c r="AJ156" s="2874"/>
      <c r="AK156" s="2874"/>
      <c r="AL156" s="2874"/>
      <c r="AM156" s="2874"/>
      <c r="AN156" s="2874"/>
      <c r="AO156" s="2874"/>
      <c r="AP156" s="2874"/>
      <c r="AQ156" s="2874"/>
      <c r="AR156" s="2874"/>
      <c r="AS156" s="2874"/>
      <c r="AT156" s="2874"/>
      <c r="AU156" s="2874"/>
      <c r="AV156" s="2874"/>
      <c r="AW156" s="2874"/>
      <c r="AX156" s="2874"/>
      <c r="AY156" s="2874"/>
      <c r="AZ156" s="2874"/>
      <c r="BA156" s="2874"/>
      <c r="BB156" s="2874"/>
      <c r="BC156" s="2874"/>
      <c r="BD156" s="2874"/>
      <c r="BE156" s="2874"/>
      <c r="BF156" s="2874"/>
      <c r="BG156" s="2874"/>
      <c r="BH156" s="2874"/>
      <c r="BI156" s="2874"/>
      <c r="BJ156" s="2874"/>
      <c r="BK156" s="2874"/>
      <c r="BL156" s="2874"/>
      <c r="BM156" s="2874"/>
      <c r="BN156" s="2874"/>
      <c r="BO156" s="2874"/>
      <c r="BP156" s="2874"/>
      <c r="BQ156" s="2874"/>
      <c r="BR156" s="2874"/>
      <c r="BS156" s="2874"/>
      <c r="BT156" s="2874"/>
      <c r="BU156" s="2874"/>
      <c r="BV156" s="2874"/>
      <c r="BW156" s="2874"/>
      <c r="BX156" s="2874"/>
      <c r="BY156" s="2874"/>
      <c r="BZ156" s="2874"/>
      <c r="CA156" s="2874"/>
      <c r="CB156" s="2874"/>
      <c r="CC156" s="2874"/>
      <c r="CD156" s="2874"/>
      <c r="CE156" s="2874"/>
      <c r="CF156" s="2874"/>
      <c r="CG156" s="2874"/>
      <c r="CH156" s="2874"/>
      <c r="CI156" s="2874"/>
      <c r="CJ156" s="2874"/>
      <c r="CK156" s="2874"/>
      <c r="CL156" s="2874"/>
      <c r="CM156" s="2874"/>
      <c r="CN156" s="2874"/>
      <c r="CO156" s="2874"/>
      <c r="CP156" s="2874"/>
      <c r="CQ156" s="2874"/>
      <c r="CR156" s="2874"/>
      <c r="CS156" s="2874"/>
      <c r="CT156" s="2874"/>
      <c r="CU156" s="2874"/>
      <c r="CV156" s="2874"/>
      <c r="CW156" s="2874"/>
      <c r="CX156" s="2874"/>
      <c r="CY156" s="2874"/>
      <c r="CZ156" s="2874"/>
      <c r="DA156" s="2874"/>
      <c r="DB156" s="2874"/>
      <c r="DC156" s="2874"/>
      <c r="DD156" s="2874"/>
      <c r="DE156" s="2874"/>
      <c r="DF156" s="2874"/>
      <c r="DG156" s="2874"/>
      <c r="DH156" s="2874"/>
      <c r="DI156" s="2874"/>
      <c r="DJ156" s="2874"/>
      <c r="DK156" s="2874"/>
      <c r="DL156" s="2874"/>
      <c r="DM156" s="62"/>
      <c r="DN156" s="62"/>
      <c r="DO156" s="62"/>
      <c r="DP156" s="62"/>
      <c r="DQ156" s="62"/>
      <c r="DR156" s="62"/>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row>
    <row r="157" spans="1:155" ht="7.5" customHeight="1">
      <c r="A157" s="1505" t="s">
        <v>1515</v>
      </c>
      <c r="B157" s="2874"/>
      <c r="C157" s="2874"/>
      <c r="D157" s="2874"/>
      <c r="E157" s="2874"/>
      <c r="F157" s="2874"/>
      <c r="G157" s="2874"/>
      <c r="H157" s="2874"/>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74"/>
      <c r="AD157" s="2874"/>
      <c r="AE157" s="2874"/>
      <c r="AF157" s="2874"/>
      <c r="AG157" s="2874"/>
      <c r="AH157" s="2874"/>
      <c r="AI157" s="2874"/>
      <c r="AJ157" s="2874"/>
      <c r="AK157" s="2874"/>
      <c r="AL157" s="2874"/>
      <c r="AM157" s="2874"/>
      <c r="AN157" s="2874"/>
      <c r="AO157" s="2874"/>
      <c r="AP157" s="2874"/>
      <c r="AQ157" s="2874"/>
      <c r="AR157" s="2874"/>
      <c r="AS157" s="2874"/>
      <c r="AT157" s="2874"/>
      <c r="AU157" s="2874"/>
      <c r="AV157" s="2874"/>
      <c r="AW157" s="2874"/>
      <c r="AX157" s="2874"/>
      <c r="AY157" s="2874"/>
      <c r="AZ157" s="2874"/>
      <c r="BA157" s="2874"/>
      <c r="BB157" s="2874"/>
      <c r="BC157" s="2874"/>
      <c r="BD157" s="2874"/>
      <c r="BE157" s="2874"/>
      <c r="BF157" s="2874"/>
      <c r="BG157" s="2874"/>
      <c r="BH157" s="2874"/>
      <c r="BI157" s="2874"/>
      <c r="BJ157" s="2874"/>
      <c r="BK157" s="2874"/>
      <c r="BL157" s="2874"/>
      <c r="BM157" s="2874"/>
      <c r="BN157" s="2874"/>
      <c r="BO157" s="2874"/>
      <c r="BP157" s="2874"/>
      <c r="BQ157" s="2874"/>
      <c r="BR157" s="2874"/>
      <c r="BS157" s="2874"/>
      <c r="BT157" s="2874"/>
      <c r="BU157" s="2874"/>
      <c r="BV157" s="2874"/>
      <c r="BW157" s="2874"/>
      <c r="BX157" s="2874"/>
      <c r="BY157" s="2874"/>
      <c r="BZ157" s="2874"/>
      <c r="CA157" s="2874"/>
      <c r="CB157" s="2874"/>
      <c r="CC157" s="2874"/>
      <c r="CD157" s="2874"/>
      <c r="CE157" s="2874"/>
      <c r="CF157" s="2874"/>
      <c r="CG157" s="2874"/>
      <c r="CH157" s="2874"/>
      <c r="CI157" s="2874"/>
      <c r="CJ157" s="2874"/>
      <c r="CK157" s="2874"/>
      <c r="CL157" s="2874"/>
      <c r="CM157" s="2874"/>
      <c r="CN157" s="2874"/>
      <c r="CO157" s="2874"/>
      <c r="CP157" s="2874"/>
      <c r="CQ157" s="2874"/>
      <c r="CR157" s="2874"/>
      <c r="CS157" s="2874"/>
      <c r="CT157" s="2874"/>
      <c r="CU157" s="2874"/>
      <c r="CV157" s="2874"/>
      <c r="CW157" s="2874"/>
      <c r="CX157" s="2874"/>
      <c r="CY157" s="2874"/>
      <c r="CZ157" s="2874"/>
      <c r="DA157" s="2874"/>
      <c r="DB157" s="2874"/>
      <c r="DC157" s="2874"/>
      <c r="DD157" s="2874"/>
      <c r="DE157" s="2874"/>
      <c r="DF157" s="2874"/>
      <c r="DG157" s="2874"/>
      <c r="DH157" s="2874"/>
      <c r="DI157" s="2874"/>
      <c r="DJ157" s="2874"/>
      <c r="DK157" s="2874"/>
      <c r="DL157" s="2874"/>
      <c r="DM157" s="62"/>
      <c r="DN157" s="62"/>
      <c r="DO157" s="62"/>
      <c r="DP157" s="62"/>
      <c r="DQ157" s="62"/>
      <c r="DR157" s="62"/>
    </row>
  </sheetData>
  <sheetProtection algorithmName="SHA-512" hashValue="XfGPY1YLlHj009H0WroE8WDplPKY2BWn8vzabRm+67RbtcS/kJ60u8cG10cN563YVECZHfyonDeuw2f65rwshQ==" saltValue="9J9KEge48c9q02D5PBtv0w==" spinCount="100000" sheet="1" selectLockedCells="1"/>
  <protectedRanges>
    <protectedRange sqref="AF130:AI135 AM136:AV136 BD137:BM138" name="範囲1"/>
  </protectedRanges>
  <dataConsolidate link="1"/>
  <mergeCells count="423">
    <mergeCell ref="BS97:CT99"/>
    <mergeCell ref="B133:AE136"/>
    <mergeCell ref="B137:AE138"/>
    <mergeCell ref="AF133:AI136"/>
    <mergeCell ref="AF137:AI138"/>
    <mergeCell ref="A157:DL157"/>
    <mergeCell ref="DE94:DJ96"/>
    <mergeCell ref="AG97:AH99"/>
    <mergeCell ref="CU97:DB99"/>
    <mergeCell ref="CT94:CU96"/>
    <mergeCell ref="AC94:AJ96"/>
    <mergeCell ref="DC100:DD102"/>
    <mergeCell ref="BQ94:CH96"/>
    <mergeCell ref="BF94:BI96"/>
    <mergeCell ref="CP94:CS96"/>
    <mergeCell ref="DC94:DD96"/>
    <mergeCell ref="AR97:BI99"/>
    <mergeCell ref="U97:AF99"/>
    <mergeCell ref="DE97:DJ99"/>
    <mergeCell ref="BZ100:CF102"/>
    <mergeCell ref="CG100:CK102"/>
    <mergeCell ref="BJ100:BY102"/>
    <mergeCell ref="DE100:DL102"/>
    <mergeCell ref="DC97:DD99"/>
    <mergeCell ref="CU100:DB102"/>
    <mergeCell ref="DK97:DL99"/>
    <mergeCell ref="J100:T102"/>
    <mergeCell ref="U100:AQ102"/>
    <mergeCell ref="AR100:BI102"/>
    <mergeCell ref="H100:I102"/>
    <mergeCell ref="AZ94:BE96"/>
    <mergeCell ref="CN94:CO96"/>
    <mergeCell ref="BD90:BG92"/>
    <mergeCell ref="CC90:CE92"/>
    <mergeCell ref="BH90:BK92"/>
    <mergeCell ref="AI90:AK92"/>
    <mergeCell ref="M94:N96"/>
    <mergeCell ref="H94:L96"/>
    <mergeCell ref="CF90:CG92"/>
    <mergeCell ref="AI97:AQ99"/>
    <mergeCell ref="BR90:BT92"/>
    <mergeCell ref="BU90:BW92"/>
    <mergeCell ref="O94:R96"/>
    <mergeCell ref="AA94:AB96"/>
    <mergeCell ref="W90:Y92"/>
    <mergeCell ref="Z90:AH92"/>
    <mergeCell ref="BJ97:BP99"/>
    <mergeCell ref="BQ97:BR99"/>
    <mergeCell ref="B85:I86"/>
    <mergeCell ref="J85:X86"/>
    <mergeCell ref="DK94:DL96"/>
    <mergeCell ref="CI94:CM96"/>
    <mergeCell ref="AL90:BC92"/>
    <mergeCell ref="B97:G99"/>
    <mergeCell ref="B88:Y89"/>
    <mergeCell ref="Z88:DL89"/>
    <mergeCell ref="CL90:CO92"/>
    <mergeCell ref="F94:G96"/>
    <mergeCell ref="Y94:Z96"/>
    <mergeCell ref="Y83:AW86"/>
    <mergeCell ref="BM85:BP86"/>
    <mergeCell ref="B83:X84"/>
    <mergeCell ref="H97:T99"/>
    <mergeCell ref="B90:D92"/>
    <mergeCell ref="B94:E96"/>
    <mergeCell ref="AX83:BL84"/>
    <mergeCell ref="BM83:BP84"/>
    <mergeCell ref="BQ83:CO84"/>
    <mergeCell ref="BQ85:CO86"/>
    <mergeCell ref="BX90:CB92"/>
    <mergeCell ref="CP85:DL86"/>
    <mergeCell ref="AK94:AY96"/>
    <mergeCell ref="CV37:DA38"/>
    <mergeCell ref="CP28:CZ29"/>
    <mergeCell ref="CK28:CO29"/>
    <mergeCell ref="CC33:DD34"/>
    <mergeCell ref="CP83:DL84"/>
    <mergeCell ref="CV94:DB96"/>
    <mergeCell ref="U94:X96"/>
    <mergeCell ref="BJ94:BP96"/>
    <mergeCell ref="B93:DL93"/>
    <mergeCell ref="CP90:CS92"/>
    <mergeCell ref="AX85:BL86"/>
    <mergeCell ref="BI33:CB34"/>
    <mergeCell ref="DE33:DK34"/>
    <mergeCell ref="DC48:DK51"/>
    <mergeCell ref="CP43:DK44"/>
    <mergeCell ref="BN41:CJ42"/>
    <mergeCell ref="DA41:DK42"/>
    <mergeCell ref="CK43:CO44"/>
    <mergeCell ref="BI41:BM42"/>
    <mergeCell ref="CK37:CU38"/>
    <mergeCell ref="CP41:CZ42"/>
    <mergeCell ref="BI43:BM44"/>
    <mergeCell ref="BI48:DB49"/>
    <mergeCell ref="BN37:BS38"/>
    <mergeCell ref="BT37:CD38"/>
    <mergeCell ref="BN43:CJ44"/>
    <mergeCell ref="CF50:DB51"/>
    <mergeCell ref="CT26:DK27"/>
    <mergeCell ref="BI22:BM23"/>
    <mergeCell ref="B25:F26"/>
    <mergeCell ref="B22:X24"/>
    <mergeCell ref="BI24:BJ24"/>
    <mergeCell ref="Z22:BF24"/>
    <mergeCell ref="AE25:AI26"/>
    <mergeCell ref="AJ25:BF26"/>
    <mergeCell ref="BT24:CD25"/>
    <mergeCell ref="CE24:CJ25"/>
    <mergeCell ref="BI25:BM26"/>
    <mergeCell ref="BN26:BS27"/>
    <mergeCell ref="BN22:CU23"/>
    <mergeCell ref="CK24:CU25"/>
    <mergeCell ref="DF22:DK23"/>
    <mergeCell ref="CV22:DE23"/>
    <mergeCell ref="CV24:DA25"/>
    <mergeCell ref="DB24:DK25"/>
    <mergeCell ref="M33:W34"/>
    <mergeCell ref="BI28:BM29"/>
    <mergeCell ref="AZ31:BF32"/>
    <mergeCell ref="G30:BF30"/>
    <mergeCell ref="BN24:BS25"/>
    <mergeCell ref="AR28:BF29"/>
    <mergeCell ref="AN28:AQ29"/>
    <mergeCell ref="B28:AM29"/>
    <mergeCell ref="AO33:AT34"/>
    <mergeCell ref="G25:AD26"/>
    <mergeCell ref="B31:F32"/>
    <mergeCell ref="X33:AC34"/>
    <mergeCell ref="G31:P32"/>
    <mergeCell ref="BN28:CJ29"/>
    <mergeCell ref="Q31:AY32"/>
    <mergeCell ref="B33:F36"/>
    <mergeCell ref="BT26:CM27"/>
    <mergeCell ref="CK30:CO31"/>
    <mergeCell ref="B30:F30"/>
    <mergeCell ref="G33:L34"/>
    <mergeCell ref="CN26:CS27"/>
    <mergeCell ref="CP30:DK31"/>
    <mergeCell ref="BN30:CJ31"/>
    <mergeCell ref="DA28:DK29"/>
    <mergeCell ref="BI30:BM31"/>
    <mergeCell ref="A156:DL156"/>
    <mergeCell ref="B142:D144"/>
    <mergeCell ref="E142:T144"/>
    <mergeCell ref="U142:W144"/>
    <mergeCell ref="AQ76:AU78"/>
    <mergeCell ref="G61:AY63"/>
    <mergeCell ref="AZ61:BF63"/>
    <mergeCell ref="G59:AA60"/>
    <mergeCell ref="G37:AA39"/>
    <mergeCell ref="G52:L53"/>
    <mergeCell ref="M52:W53"/>
    <mergeCell ref="X52:AC53"/>
    <mergeCell ref="E72:Q74"/>
    <mergeCell ref="H76:I78"/>
    <mergeCell ref="BG148:BI150"/>
    <mergeCell ref="BD145:DL145"/>
    <mergeCell ref="B37:F39"/>
    <mergeCell ref="AB38:AF39"/>
    <mergeCell ref="AT37:BF37"/>
    <mergeCell ref="BI37:BJ37"/>
    <mergeCell ref="AJ128:DL129"/>
    <mergeCell ref="AO52:AT53"/>
    <mergeCell ref="CK120:CM122"/>
    <mergeCell ref="BY120:CJ122"/>
    <mergeCell ref="A1:DL3"/>
    <mergeCell ref="B20:F21"/>
    <mergeCell ref="G20:I21"/>
    <mergeCell ref="J20:L21"/>
    <mergeCell ref="M20:O21"/>
    <mergeCell ref="P20:T21"/>
    <mergeCell ref="U20:W21"/>
    <mergeCell ref="X20:AB21"/>
    <mergeCell ref="AC20:AE21"/>
    <mergeCell ref="AF20:BF21"/>
    <mergeCell ref="A4:AI6"/>
    <mergeCell ref="BI20:CB21"/>
    <mergeCell ref="CC20:DD21"/>
    <mergeCell ref="DE20:DK21"/>
    <mergeCell ref="BY4:CS6"/>
    <mergeCell ref="BD4:BX6"/>
    <mergeCell ref="AG38:AS39"/>
    <mergeCell ref="AD33:AN34"/>
    <mergeCell ref="BN35:DK36"/>
    <mergeCell ref="AU33:BF34"/>
    <mergeCell ref="AT38:BF39"/>
    <mergeCell ref="CE37:CJ38"/>
    <mergeCell ref="CN39:CS40"/>
    <mergeCell ref="AB40:AF41"/>
    <mergeCell ref="AM35:BF36"/>
    <mergeCell ref="AB37:AF37"/>
    <mergeCell ref="AG37:AS37"/>
    <mergeCell ref="BN39:BS40"/>
    <mergeCell ref="BT39:CM40"/>
    <mergeCell ref="M35:AF36"/>
    <mergeCell ref="DB37:DK38"/>
    <mergeCell ref="CT39:DK40"/>
    <mergeCell ref="BI38:BM39"/>
    <mergeCell ref="CK41:CO42"/>
    <mergeCell ref="BI35:BM36"/>
    <mergeCell ref="AG35:AL36"/>
    <mergeCell ref="G40:AA41"/>
    <mergeCell ref="AG40:BF41"/>
    <mergeCell ref="G35:L36"/>
    <mergeCell ref="G42:AY44"/>
    <mergeCell ref="AJ65:DL68"/>
    <mergeCell ref="CN76:CT78"/>
    <mergeCell ref="BI62:CE63"/>
    <mergeCell ref="BX72:CB74"/>
    <mergeCell ref="B70:Y71"/>
    <mergeCell ref="Z70:DL71"/>
    <mergeCell ref="BI56:CE57"/>
    <mergeCell ref="B56:F58"/>
    <mergeCell ref="DC52:DK63"/>
    <mergeCell ref="CF56:DB57"/>
    <mergeCell ref="AG59:BF60"/>
    <mergeCell ref="A65:AI67"/>
    <mergeCell ref="B61:F63"/>
    <mergeCell ref="B59:F60"/>
    <mergeCell ref="AB59:AF60"/>
    <mergeCell ref="M54:AF55"/>
    <mergeCell ref="CU76:CY78"/>
    <mergeCell ref="AI72:AK74"/>
    <mergeCell ref="BD72:BG74"/>
    <mergeCell ref="BJ76:BQ78"/>
    <mergeCell ref="DB76:DF78"/>
    <mergeCell ref="CF54:DB55"/>
    <mergeCell ref="BI54:CE55"/>
    <mergeCell ref="CF58:DB59"/>
    <mergeCell ref="B40:F41"/>
    <mergeCell ref="AL47:BF48"/>
    <mergeCell ref="B42:F44"/>
    <mergeCell ref="AZ42:BF44"/>
    <mergeCell ref="AG57:AS58"/>
    <mergeCell ref="AB57:AF58"/>
    <mergeCell ref="B49:F49"/>
    <mergeCell ref="B50:F51"/>
    <mergeCell ref="AO50:AZ51"/>
    <mergeCell ref="BA50:BF51"/>
    <mergeCell ref="AU52:BF53"/>
    <mergeCell ref="B52:F55"/>
    <mergeCell ref="B45:BD46"/>
    <mergeCell ref="AM54:BF55"/>
    <mergeCell ref="G54:L55"/>
    <mergeCell ref="AG56:AS56"/>
    <mergeCell ref="AT56:BF56"/>
    <mergeCell ref="AB56:AF56"/>
    <mergeCell ref="G56:AA58"/>
    <mergeCell ref="AD52:AN53"/>
    <mergeCell ref="G50:AN51"/>
    <mergeCell ref="B47:AK48"/>
    <mergeCell ref="G49:BF49"/>
    <mergeCell ref="AT57:BF58"/>
    <mergeCell ref="BI50:CE51"/>
    <mergeCell ref="BI52:DB53"/>
    <mergeCell ref="CF62:DB63"/>
    <mergeCell ref="CF60:DB61"/>
    <mergeCell ref="B151:DL151"/>
    <mergeCell ref="AV148:AX150"/>
    <mergeCell ref="AY148:BA150"/>
    <mergeCell ref="B152:H154"/>
    <mergeCell ref="I152:W154"/>
    <mergeCell ref="BU152:CK154"/>
    <mergeCell ref="BM152:BT154"/>
    <mergeCell ref="AZ152:BJ154"/>
    <mergeCell ref="AF152:AY154"/>
    <mergeCell ref="BN148:BO150"/>
    <mergeCell ref="BB148:BF150"/>
    <mergeCell ref="BJ148:BK150"/>
    <mergeCell ref="E148:T150"/>
    <mergeCell ref="X148:AM150"/>
    <mergeCell ref="B148:D150"/>
    <mergeCell ref="BT148:BZ150"/>
    <mergeCell ref="CA148:CC150"/>
    <mergeCell ref="CR148:DL150"/>
    <mergeCell ref="CK148:CQ150"/>
    <mergeCell ref="BI60:CE61"/>
    <mergeCell ref="BI58:CE59"/>
    <mergeCell ref="AG54:AL55"/>
    <mergeCell ref="R72:T74"/>
    <mergeCell ref="B75:R75"/>
    <mergeCell ref="B76:G78"/>
    <mergeCell ref="BB76:BC78"/>
    <mergeCell ref="BR76:BS78"/>
    <mergeCell ref="S75:DL75"/>
    <mergeCell ref="CH72:CI74"/>
    <mergeCell ref="CJ72:CK74"/>
    <mergeCell ref="DI76:DL78"/>
    <mergeCell ref="BH76:BI78"/>
    <mergeCell ref="N76:Q78"/>
    <mergeCell ref="DG76:DH78"/>
    <mergeCell ref="AB76:AI78"/>
    <mergeCell ref="R76:V78"/>
    <mergeCell ref="B72:D74"/>
    <mergeCell ref="J76:M78"/>
    <mergeCell ref="BT76:CA78"/>
    <mergeCell ref="W76:X78"/>
    <mergeCell ref="AJ76:AP78"/>
    <mergeCell ref="CZ76:DA78"/>
    <mergeCell ref="CM76:CM78"/>
    <mergeCell ref="CD76:CL78"/>
    <mergeCell ref="AV76:BA78"/>
    <mergeCell ref="Y76:AA78"/>
    <mergeCell ref="CB76:CC78"/>
    <mergeCell ref="BD76:BG78"/>
    <mergeCell ref="BR72:BT74"/>
    <mergeCell ref="CT72:DL74"/>
    <mergeCell ref="BL72:BO74"/>
    <mergeCell ref="BU72:BW74"/>
    <mergeCell ref="CC72:CE74"/>
    <mergeCell ref="U72:AH74"/>
    <mergeCell ref="AL72:BC74"/>
    <mergeCell ref="BP72:BQ74"/>
    <mergeCell ref="BH72:BK74"/>
    <mergeCell ref="CL72:CO74"/>
    <mergeCell ref="CP72:CS74"/>
    <mergeCell ref="CF72:CG74"/>
    <mergeCell ref="BZ142:CE144"/>
    <mergeCell ref="BP142:BQ144"/>
    <mergeCell ref="AJ140:DL141"/>
    <mergeCell ref="AN142:AQ144"/>
    <mergeCell ref="AR142:AU144"/>
    <mergeCell ref="B146:DL147"/>
    <mergeCell ref="BP148:BS150"/>
    <mergeCell ref="U148:W150"/>
    <mergeCell ref="AN148:AQ150"/>
    <mergeCell ref="AR148:AU150"/>
    <mergeCell ref="BL148:BM150"/>
    <mergeCell ref="AV142:AY144"/>
    <mergeCell ref="BM142:BO144"/>
    <mergeCell ref="BR142:BS144"/>
    <mergeCell ref="CP142:DL144"/>
    <mergeCell ref="B140:AI141"/>
    <mergeCell ref="AZ142:BA144"/>
    <mergeCell ref="BB142:BD144"/>
    <mergeCell ref="CF142:CG144"/>
    <mergeCell ref="BV142:BY144"/>
    <mergeCell ref="AF130:AI132"/>
    <mergeCell ref="DG120:DL122"/>
    <mergeCell ref="CB116:CG118"/>
    <mergeCell ref="CO116:DL118"/>
    <mergeCell ref="B103:N105"/>
    <mergeCell ref="O103:AB105"/>
    <mergeCell ref="AC103:AQ105"/>
    <mergeCell ref="AR103:BU105"/>
    <mergeCell ref="BV103:CH105"/>
    <mergeCell ref="B106:AM108"/>
    <mergeCell ref="AN106:DF108"/>
    <mergeCell ref="B109:BT111"/>
    <mergeCell ref="BU109:DF111"/>
    <mergeCell ref="CI103:DL105"/>
    <mergeCell ref="DG106:DL108"/>
    <mergeCell ref="B112:DL112"/>
    <mergeCell ref="BJ116:BN118"/>
    <mergeCell ref="BV116:BW118"/>
    <mergeCell ref="AA116:AU118"/>
    <mergeCell ref="E116:W118"/>
    <mergeCell ref="CT120:DF122"/>
    <mergeCell ref="BX116:CA118"/>
    <mergeCell ref="X116:Z118"/>
    <mergeCell ref="AZ116:BC118"/>
    <mergeCell ref="B114:AH115"/>
    <mergeCell ref="AI114:DL115"/>
    <mergeCell ref="CR120:CS122"/>
    <mergeCell ref="CN120:CQ122"/>
    <mergeCell ref="AV116:AY118"/>
    <mergeCell ref="B116:D118"/>
    <mergeCell ref="AT120:AX122"/>
    <mergeCell ref="AA120:AG122"/>
    <mergeCell ref="B119:DL119"/>
    <mergeCell ref="BO116:BQ118"/>
    <mergeCell ref="BT116:BU118"/>
    <mergeCell ref="BW120:BX122"/>
    <mergeCell ref="AH120:AS122"/>
    <mergeCell ref="L79:V81"/>
    <mergeCell ref="W79:AI81"/>
    <mergeCell ref="AJ79:AU81"/>
    <mergeCell ref="AV79:BS81"/>
    <mergeCell ref="BT79:CC81"/>
    <mergeCell ref="CD79:DA81"/>
    <mergeCell ref="AJ134:DE138"/>
    <mergeCell ref="B126:DL126"/>
    <mergeCell ref="B79:I81"/>
    <mergeCell ref="J79:K81"/>
    <mergeCell ref="CJ90:CK92"/>
    <mergeCell ref="CH90:CI92"/>
    <mergeCell ref="BL90:BO92"/>
    <mergeCell ref="E90:V92"/>
    <mergeCell ref="BP90:BQ92"/>
    <mergeCell ref="S94:T96"/>
    <mergeCell ref="CT90:DL92"/>
    <mergeCell ref="B100:G102"/>
    <mergeCell ref="CJ116:CN116"/>
    <mergeCell ref="K120:Z122"/>
    <mergeCell ref="B120:J122"/>
    <mergeCell ref="B130:AE132"/>
    <mergeCell ref="BG116:BI118"/>
    <mergeCell ref="CH116:CI118"/>
    <mergeCell ref="CL152:CQ154"/>
    <mergeCell ref="CR152:CS154"/>
    <mergeCell ref="X152:AE154"/>
    <mergeCell ref="BK152:BL154"/>
    <mergeCell ref="CD148:CJ150"/>
    <mergeCell ref="DG109:DL111"/>
    <mergeCell ref="BQ120:BV122"/>
    <mergeCell ref="BD116:BF118"/>
    <mergeCell ref="B123:J125"/>
    <mergeCell ref="Y123:Z125"/>
    <mergeCell ref="M123:X125"/>
    <mergeCell ref="AA123:DL125"/>
    <mergeCell ref="B128:AI129"/>
    <mergeCell ref="AJ130:DL133"/>
    <mergeCell ref="DF134:DL138"/>
    <mergeCell ref="K123:L125"/>
    <mergeCell ref="CJ117:CN118"/>
    <mergeCell ref="BR116:BS118"/>
    <mergeCell ref="AY120:BP122"/>
    <mergeCell ref="CH142:CO144"/>
    <mergeCell ref="BT142:BU144"/>
    <mergeCell ref="BE142:BG144"/>
    <mergeCell ref="BH142:BL144"/>
    <mergeCell ref="X142:AM144"/>
  </mergeCells>
  <phoneticPr fontId="17"/>
  <conditionalFormatting sqref="B76 H76 AJ76 AQ76 AV76 BB76">
    <cfRule type="expression" dxfId="1303" priority="654">
      <formula>$E$72="i‐FILTER_Ver.8.x以下"</formula>
    </cfRule>
  </conditionalFormatting>
  <conditionalFormatting sqref="B100 H100 O103">
    <cfRule type="expression" dxfId="1302" priority="65">
      <formula>NOT($E$90="m‐FILTER_Ver.5")</formula>
    </cfRule>
  </conditionalFormatting>
  <conditionalFormatting sqref="B100">
    <cfRule type="expression" dxfId="1301" priority="143">
      <formula>AND($E$90="m‐FILTER_Ver.5",OR($AL$90="新規",$AL$90="バージョンアップ",$AL$90="追加",$AL$90="追加(バージョンアップ同時)",$AL$90="追加(更新同時)",$AL$90="追加(更新・バージョンアップ同時)"))</formula>
    </cfRule>
  </conditionalFormatting>
  <conditionalFormatting sqref="B106 AN106 DG106">
    <cfRule type="expression" dxfId="1300" priority="193">
      <formula>OR($CN$94="無",$CN$94="")</formula>
    </cfRule>
  </conditionalFormatting>
  <conditionalFormatting sqref="B109 BU109 DG109">
    <cfRule type="expression" dxfId="1299" priority="463">
      <formula>OR(COUNTIF($E$90,"*Ver.4*"),COUNTIF($E$90,"*Ver.3*"),AND($E$90="m‐FILTER_Ver.5",$Y$94&lt;&gt;"無"))</formula>
    </cfRule>
  </conditionalFormatting>
  <conditionalFormatting sqref="B120 K120">
    <cfRule type="expression" dxfId="1298" priority="526" stopIfTrue="1">
      <formula>$AA$116&lt;&gt;"新規"</formula>
    </cfRule>
    <cfRule type="expression" dxfId="1297" priority="516">
      <formula>AND($AA$116="新規",$CH$116="有")</formula>
    </cfRule>
  </conditionalFormatting>
  <conditionalFormatting sqref="B128">
    <cfRule type="expression" dxfId="1296" priority="538" stopIfTrue="1">
      <formula>$AF$130="いいえ"</formula>
    </cfRule>
    <cfRule type="expression" dxfId="1295" priority="18425" stopIfTrue="1">
      <formula>$AF$133="いいえ"</formula>
    </cfRule>
    <cfRule type="expression" dxfId="1294" priority="18426" stopIfTrue="1">
      <formula>$AF$137="いいえ"</formula>
    </cfRule>
  </conditionalFormatting>
  <conditionalFormatting sqref="B152:I152 X152 AZ152:BK152 BM152 BU152 AF152:AY154 B153:H154 AZ153:BJ154">
    <cfRule type="expression" dxfId="1293" priority="94">
      <formula>$E$148="MailAdviser_Ver.2.1以下"</formula>
    </cfRule>
  </conditionalFormatting>
  <conditionalFormatting sqref="B152:I152 AZ152:BK152 B153:H154 AZ153:BJ154 BM152 BU152">
    <cfRule type="expression" dxfId="1292" priority="214">
      <formula>COUNTIF($CR$152,"*有*")&gt;0</formula>
    </cfRule>
  </conditionalFormatting>
  <conditionalFormatting sqref="B79:K81">
    <cfRule type="expression" dxfId="1291" priority="133">
      <formula>OR($AL$72="バージョンアップ",$AL$72="更新",$AL$72="更新(減数)",$AL$72="更新(バージョンアップ同時)")</formula>
    </cfRule>
  </conditionalFormatting>
  <conditionalFormatting sqref="B123:L125">
    <cfRule type="expression" dxfId="1290" priority="212">
      <formula>OR($AA$116="更新（エディション移行同時）",$AA$116="更新（減数・エディション移行同時）")</formula>
    </cfRule>
    <cfRule type="expression" dxfId="1289" priority="211">
      <formula>$BW$120="有"</formula>
    </cfRule>
    <cfRule type="expression" dxfId="1288" priority="204">
      <formula>$AA$116="更新"</formula>
    </cfRule>
    <cfRule type="expression" dxfId="1287" priority="200">
      <formula>$AA$116="更新(減数)"</formula>
    </cfRule>
    <cfRule type="expression" dxfId="1286" priority="213">
      <formula>$E$116=""</formula>
    </cfRule>
  </conditionalFormatting>
  <conditionalFormatting sqref="B94:T96">
    <cfRule type="expression" dxfId="1285" priority="241">
      <formula>$E$90=""</formula>
    </cfRule>
  </conditionalFormatting>
  <conditionalFormatting sqref="B97:T99 BJ97:BR99 B100 H100 B103 O103">
    <cfRule type="expression" dxfId="1284" priority="67">
      <formula>NOT(AND($E$90="m‐FILTER_Ver.5",OR($AL$90="新規",$AL$90="バージョンアップ",$AL$90="追加",$AL$90="追加(バージョンアップ同時)",$AL$90="追加(更新同時)",$AL$90="追加(更新・バージョンアップ同時)",$AL$90="")))</formula>
    </cfRule>
  </conditionalFormatting>
  <conditionalFormatting sqref="B103:AB105">
    <cfRule type="expression" dxfId="1283" priority="59">
      <formula>NOT($F$94="有")</formula>
    </cfRule>
  </conditionalFormatting>
  <conditionalFormatting sqref="B97:AH99">
    <cfRule type="expression" dxfId="1282" priority="160">
      <formula>COUNTIF($AK$94,"*有*")&gt;0</formula>
    </cfRule>
  </conditionalFormatting>
  <conditionalFormatting sqref="B128:AI129 B130:AF130 B131:AE132 B133 AF133 B137 AF137">
    <cfRule type="expression" dxfId="1281" priority="2">
      <formula>$AA$116&lt;&gt;"新規"</formula>
    </cfRule>
  </conditionalFormatting>
  <conditionalFormatting sqref="B103:DL105">
    <cfRule type="expression" dxfId="1280" priority="58">
      <formula>OR($AL$90="更新",$AL$90="更新(減数)",$AL$90="更新(バージョンアップ同時)")</formula>
    </cfRule>
  </conditionalFormatting>
  <conditionalFormatting sqref="E72 E142">
    <cfRule type="notContainsBlanks" dxfId="1279" priority="768">
      <formula>LEN(TRIM(E72))&gt;0</formula>
    </cfRule>
  </conditionalFormatting>
  <conditionalFormatting sqref="E90">
    <cfRule type="expression" dxfId="1278" priority="18738">
      <formula>COUNTIF($BI$48:$CE$63,"*m‐FILTER*")</formula>
    </cfRule>
    <cfRule type="notContainsBlanks" dxfId="1277" priority="18737">
      <formula>LEN(TRIM(E90))&gt;0</formula>
    </cfRule>
    <cfRule type="expression" dxfId="1276" priority="18510">
      <formula>AND($E$90="",OR($F$94="有",$M$94="有",$S$94="有"))</formula>
    </cfRule>
  </conditionalFormatting>
  <conditionalFormatting sqref="E116">
    <cfRule type="notContainsBlanks" dxfId="1275" priority="18739" stopIfTrue="1">
      <formula>LEN(TRIM(E116))&gt;0</formula>
    </cfRule>
    <cfRule type="expression" dxfId="1274" priority="18740">
      <formula>COUNTIF($BI$48:$CE$63,"*FinalCode*")</formula>
    </cfRule>
  </conditionalFormatting>
  <conditionalFormatting sqref="E148">
    <cfRule type="expression" dxfId="1273" priority="18742">
      <formula>COUNTIF($BI$48:$CE$63,"*MailAdviser*")</formula>
    </cfRule>
    <cfRule type="notContainsBlanks" dxfId="1272" priority="18741" stopIfTrue="1">
      <formula>LEN(TRIM(E148))&gt;0</formula>
    </cfRule>
  </conditionalFormatting>
  <conditionalFormatting sqref="E72:Q74">
    <cfRule type="expression" dxfId="1271" priority="18743">
      <formula>COUNTIF($BI$48:$CE$63,"*i‐FILTER*")&gt;0</formula>
    </cfRule>
  </conditionalFormatting>
  <conditionalFormatting sqref="E142:T144">
    <cfRule type="expression" dxfId="1270" priority="18744">
      <formula>COUNTIF($BI$48:$CE$63,"*ブラウザー*")&gt;0</formula>
    </cfRule>
  </conditionalFormatting>
  <conditionalFormatting sqref="G30:G31 Q31 AZ31">
    <cfRule type="notContainsBlanks" dxfId="1269" priority="51" stopIfTrue="1">
      <formula>LEN(TRIM(G30))&gt;0</formula>
    </cfRule>
  </conditionalFormatting>
  <conditionalFormatting sqref="G37 G40">
    <cfRule type="notContainsBlanks" dxfId="1268" priority="46" stopIfTrue="1">
      <formula>LEN(TRIM(G37))&gt;0</formula>
    </cfRule>
  </conditionalFormatting>
  <conditionalFormatting sqref="G49:G50">
    <cfRule type="notContainsBlanks" dxfId="1267" priority="42" stopIfTrue="1">
      <formula>LEN(TRIM(G49))&gt;0</formula>
    </cfRule>
  </conditionalFormatting>
  <conditionalFormatting sqref="G56 G59">
    <cfRule type="notContainsBlanks" dxfId="1266" priority="37" stopIfTrue="1">
      <formula>LEN(TRIM(G56))&gt;0</formula>
    </cfRule>
  </conditionalFormatting>
  <conditionalFormatting sqref="H76 W76 AQ76 BB76 BH76">
    <cfRule type="expression" dxfId="1265" priority="19005">
      <formula>$E$72="i‐FILTER_Ver.10"</formula>
    </cfRule>
  </conditionalFormatting>
  <conditionalFormatting sqref="H97 DK97 DC94 DC97">
    <cfRule type="expression" dxfId="1264" priority="19019">
      <formula>$F$94="有"</formula>
    </cfRule>
  </conditionalFormatting>
  <conditionalFormatting sqref="H97:T99">
    <cfRule type="expression" dxfId="1263" priority="194">
      <formula>AND(OR(COUNTIF($AL$90,"*更新*")&gt;0,COUNTIF($AL$90,"*追加*")&gt;0),NOT(COUNTIF($AL$90,"*バージョンアップ*")&gt;0))</formula>
    </cfRule>
  </conditionalFormatting>
  <conditionalFormatting sqref="I152 AF152 BK152 BU152">
    <cfRule type="notContainsBlanks" dxfId="1262" priority="96" stopIfTrue="1">
      <formula>LEN(TRIM(I152))&gt;0</formula>
    </cfRule>
  </conditionalFormatting>
  <conditionalFormatting sqref="I152">
    <cfRule type="expression" dxfId="1261" priority="18239">
      <formula>$E$148="Outlook/Becky!/Thunderbird版"</formula>
    </cfRule>
    <cfRule type="expression" dxfId="1260" priority="20229">
      <formula>AND(COUNTIF($CR$152,"*有*")&gt;0,COUNTIF($I$152,"*有*")&gt;0)</formula>
    </cfRule>
  </conditionalFormatting>
  <conditionalFormatting sqref="J20 P20 X20">
    <cfRule type="notContainsBlanks" dxfId="1259" priority="334" stopIfTrue="1">
      <formula>LEN(TRIM(J20))&gt;0</formula>
    </cfRule>
  </conditionalFormatting>
  <conditionalFormatting sqref="J100 U100:AQ102">
    <cfRule type="expression" dxfId="1258" priority="24">
      <formula>NOT(OR($AL$90="新規",$AL$90="バージョンアップ",COUNTIF($AL$90,"*追加*")&gt;0))</formula>
    </cfRule>
  </conditionalFormatting>
  <conditionalFormatting sqref="J79:K81">
    <cfRule type="notContainsBlanks" dxfId="1257" priority="19718" stopIfTrue="1">
      <formula>LEN(TRIM(J79))&gt;0</formula>
    </cfRule>
    <cfRule type="containsBlanks" dxfId="1256" priority="19718">
      <formula>LEN(TRIM(J79))=0</formula>
    </cfRule>
  </conditionalFormatting>
  <conditionalFormatting sqref="J76:N76 J77:M78">
    <cfRule type="expression" dxfId="1255" priority="655">
      <formula>$H$76="無"</formula>
    </cfRule>
  </conditionalFormatting>
  <conditionalFormatting sqref="J100:AQ102 B97:T99 BJ97:BR99 B100 H100 B103 O103">
    <cfRule type="expression" dxfId="1254" priority="66">
      <formula>OR($F$94="無",$F$94="")</formula>
    </cfRule>
  </conditionalFormatting>
  <conditionalFormatting sqref="K120">
    <cfRule type="expression" dxfId="1253" priority="550">
      <formula>AND($AA$116="新規",$CH$116="無")</formula>
    </cfRule>
    <cfRule type="notContainsBlanks" dxfId="1252" priority="528" stopIfTrue="1">
      <formula>LEN(TRIM(K120))&gt;0</formula>
    </cfRule>
  </conditionalFormatting>
  <conditionalFormatting sqref="K123:L125">
    <cfRule type="notContainsBlanks" dxfId="1251" priority="208">
      <formula>LEN(TRIM(K123))&gt;0</formula>
    </cfRule>
    <cfRule type="expression" dxfId="1250" priority="348" stopIfTrue="1">
      <formula>$AA$116="新規"</formula>
    </cfRule>
  </conditionalFormatting>
  <conditionalFormatting sqref="L79:DA81">
    <cfRule type="expression" dxfId="1249" priority="70">
      <formula>OR($AL$72="更新",$AL$72="更新(減数)",$AL$72="更新(バージョンアップ同時)")</formula>
    </cfRule>
  </conditionalFormatting>
  <conditionalFormatting sqref="M33">
    <cfRule type="notContainsBlanks" dxfId="1248" priority="50" stopIfTrue="1">
      <formula>LEN(TRIM(M33))&gt;0</formula>
    </cfRule>
  </conditionalFormatting>
  <conditionalFormatting sqref="M35">
    <cfRule type="notContainsBlanks" dxfId="1247" priority="47" stopIfTrue="1">
      <formula>LEN(TRIM(M35))&gt;0</formula>
    </cfRule>
  </conditionalFormatting>
  <conditionalFormatting sqref="M52">
    <cfRule type="notContainsBlanks" dxfId="1246" priority="41" stopIfTrue="1">
      <formula>LEN(TRIM(M52))&gt;0</formula>
    </cfRule>
  </conditionalFormatting>
  <conditionalFormatting sqref="M54">
    <cfRule type="notContainsBlanks" dxfId="1245" priority="38" stopIfTrue="1">
      <formula>LEN(TRIM(M54))&gt;0</formula>
    </cfRule>
  </conditionalFormatting>
  <conditionalFormatting sqref="M123">
    <cfRule type="expression" dxfId="1244" priority="53">
      <formula>$E$116=""</formula>
    </cfRule>
  </conditionalFormatting>
  <conditionalFormatting sqref="M123:Z125">
    <cfRule type="expression" dxfId="1243" priority="55">
      <formula>OR($AA$116="更新",$AA$116="更新(減数)",$AA$116="更新（エディション移行同時）",$AA$116="更新（減数・エディション移行同時）",$AA$116="")</formula>
    </cfRule>
  </conditionalFormatting>
  <conditionalFormatting sqref="N76">
    <cfRule type="expression" dxfId="1241" priority="19002">
      <formula>$H$76="有"</formula>
    </cfRule>
  </conditionalFormatting>
  <conditionalFormatting sqref="N76:Q78 AB76:AI78 BJ148 BN148 H76:I78 AQ76:AU78 BB76:BC78 AY148 W76:X78 BH76:BI78">
    <cfRule type="notContainsBlanks" dxfId="1240" priority="2150">
      <formula>LEN(TRIM(H76))&gt;0</formula>
    </cfRule>
  </conditionalFormatting>
  <conditionalFormatting sqref="N76:Q78">
    <cfRule type="expression" dxfId="1239" priority="1673">
      <formula>AND($BH$72&lt;&gt;"",$N$76&gt;$BH$72)</formula>
    </cfRule>
  </conditionalFormatting>
  <conditionalFormatting sqref="O103">
    <cfRule type="expression" dxfId="1238" priority="162">
      <formula>NOT(OR($AL$90="更新",$AL$90="更新(減数)",$AL$90="更新(バージョンアップ同時)"))</formula>
    </cfRule>
  </conditionalFormatting>
  <conditionalFormatting sqref="O103:AB105">
    <cfRule type="notContainsBlanks" dxfId="1237" priority="139" stopIfTrue="1">
      <formula>LEN(TRIM(O103))&gt;0</formula>
    </cfRule>
  </conditionalFormatting>
  <conditionalFormatting sqref="R72:DL74 CU76 DB76 B76:CC78 CN76:CT78 CZ76:DA78 DG76:DH78 DF78 DL78 B79 J79 L79 L79:DL81">
    <cfRule type="expression" dxfId="1236" priority="68">
      <formula>$E$72=""</formula>
    </cfRule>
  </conditionalFormatting>
  <conditionalFormatting sqref="U97">
    <cfRule type="expression" dxfId="1235" priority="159">
      <formula>$E$90="m‐FILTER_Ver.3.x以下"</formula>
    </cfRule>
    <cfRule type="expression" dxfId="1234" priority="158">
      <formula>$F$94="無"</formula>
    </cfRule>
    <cfRule type="expression" dxfId="1233" priority="138">
      <formula>$E$90=""</formula>
    </cfRule>
    <cfRule type="expression" dxfId="1232" priority="157">
      <formula>OR($E$90="m‐FILTER_Ver.4__Ver.4.82以上",$E$90="m‐FILTER_Ver.4__Ver.4.81以下")</formula>
    </cfRule>
  </conditionalFormatting>
  <conditionalFormatting sqref="U100 G25">
    <cfRule type="notContainsBlanks" dxfId="1231" priority="26" stopIfTrue="1">
      <formula>LEN(TRIM(G25))&gt;0</formula>
    </cfRule>
  </conditionalFormatting>
  <conditionalFormatting sqref="U94:Z96">
    <cfRule type="expression" dxfId="1230" priority="467">
      <formula>AND(OR($E$90="m‐FILTER_Ver.4__Ver.4.82以上",$E$90="m‐FILTER_Ver.4__Ver.4.81以下",$E$90="m‐FILTER_Ver.3.x以下"),AND($F$94="無",$M$94="無"))</formula>
    </cfRule>
  </conditionalFormatting>
  <conditionalFormatting sqref="U100:AQ102">
    <cfRule type="expression" dxfId="1229" priority="52">
      <formula>AND($F$94="有",OR($AL$90="新規",$AL$90="バージョンアップ",COUNTIF($AL$90,"*追加*")&gt;0))</formula>
    </cfRule>
    <cfRule type="expression" dxfId="1228" priority="25">
      <formula>AND($AL$90="新規",$U$100="プラン変更なし")</formula>
    </cfRule>
  </conditionalFormatting>
  <conditionalFormatting sqref="U97:BI99">
    <cfRule type="expression" dxfId="1227" priority="230">
      <formula>$H$97=""</formula>
    </cfRule>
    <cfRule type="expression" dxfId="1226" priority="223">
      <formula>$H$97="無"</formula>
    </cfRule>
  </conditionalFormatting>
  <conditionalFormatting sqref="U148:BT148 CA148:CD148 CK148 CR148 U149:BS150 CA149:CC150 B152:CS154">
    <cfRule type="expression" dxfId="1225" priority="3">
      <formula>$E$148=""</formula>
    </cfRule>
  </conditionalFormatting>
  <conditionalFormatting sqref="U142:DL144">
    <cfRule type="expression" dxfId="1224" priority="414">
      <formula>$E$142=""</formula>
    </cfRule>
  </conditionalFormatting>
  <conditionalFormatting sqref="W79">
    <cfRule type="expression" dxfId="1223" priority="76">
      <formula>NOT(OR($AL$72="更新",$AL$72="更新(減数)",$AL$72="更新(バージョンアップ同時)",$AL$72=""))</formula>
    </cfRule>
  </conditionalFormatting>
  <conditionalFormatting sqref="W90 Z90 AI90 AL90 BD90 BH90 BL90 BP90 BR90 BU90 BX90 CC90 CF90 CH90 CJ90 CL90 CP90 CT90 U94:AC94 AZ94 BQ94 CI94 CP94 DE94 DK94 AK94:AY96 BF94:BP96 CN94:CO96 CT94:CU96 U95:AB96 B97:H97 AR97 DE97 DK97 U97:AQ99 CU97:DD102 B98:G99 AR100 B106 AN106 DG106 B109 BU109 DG109 B112">
    <cfRule type="expression" dxfId="1222" priority="6">
      <formula>$E$90=""</formula>
    </cfRule>
  </conditionalFormatting>
  <conditionalFormatting sqref="W79:AI81">
    <cfRule type="notContainsBlanks" dxfId="1221" priority="72" stopIfTrue="1">
      <formula>LEN(TRIM(W79))&gt;0</formula>
    </cfRule>
  </conditionalFormatting>
  <conditionalFormatting sqref="X142">
    <cfRule type="expression" dxfId="1220" priority="16159">
      <formula>$E$142="i-FILTER ブラウザー&amp;クラウド"</formula>
    </cfRule>
  </conditionalFormatting>
  <conditionalFormatting sqref="X148 AR148">
    <cfRule type="expression" dxfId="1219" priority="17320">
      <formula>$E$148&lt;&gt;""</formula>
    </cfRule>
  </conditionalFormatting>
  <conditionalFormatting sqref="X152 AF152:AY154">
    <cfRule type="expression" dxfId="1218" priority="20232">
      <formula>OR(AND($CR$152&lt;&gt;"有/FinalCode保有",$I$152&lt;&gt;"有/暗号化強固OP保有あり"))</formula>
    </cfRule>
  </conditionalFormatting>
  <conditionalFormatting sqref="Y94">
    <cfRule type="expression" dxfId="1217" priority="19020">
      <formula>AND($E$90="m‐FILTER_Ver.5",COUNTIF($AL$90,"*追加*"),OR($F$94="有",$M$94="有"))</formula>
    </cfRule>
    <cfRule type="expression" dxfId="1216" priority="19032">
      <formula>AND(OR($E$90="m‐FILTER_Ver.4__Ver.4.82以上",$E$90="m‐FILTER_Ver.4__Ver.4.81以下",$E$90="m‐FILTER_Ver.3.x以下"),OR($F$94="有",$M$94="有"))</formula>
    </cfRule>
  </conditionalFormatting>
  <conditionalFormatting sqref="Y123">
    <cfRule type="expression" dxfId="1215" priority="57">
      <formula>NOT(OR($AA$116="更新",$AA$116="更新(減数)",$AA$116="更新（エディション移行同時）",$AA$116="更新（減数・エディション移行同時）",$AA$116=""))</formula>
    </cfRule>
  </conditionalFormatting>
  <conditionalFormatting sqref="Y94:Z96">
    <cfRule type="expression" dxfId="1214" priority="19033">
      <formula>AND($E$90="m‐FILTER_Ver.5",$AL$90="新規")</formula>
    </cfRule>
  </conditionalFormatting>
  <conditionalFormatting sqref="Y123:Z125">
    <cfRule type="notContainsBlanks" dxfId="1213" priority="56" stopIfTrue="1">
      <formula>LEN(TRIM(Y123))&gt;0</formula>
    </cfRule>
  </conditionalFormatting>
  <conditionalFormatting sqref="Y76:AB76 Y77:AA78">
    <cfRule type="expression" dxfId="1212" priority="1659">
      <formula>$W$76="無"</formula>
    </cfRule>
  </conditionalFormatting>
  <conditionalFormatting sqref="AA94">
    <cfRule type="expression" dxfId="1211" priority="19031">
      <formula>AND($E$90="m‐FILTER_Ver.5",$AL$90="新規",OR($F$94="有",$M$94="有"))</formula>
    </cfRule>
  </conditionalFormatting>
  <conditionalFormatting sqref="AA116">
    <cfRule type="notContainsBlanks" dxfId="1210" priority="595">
      <formula>LEN(TRIM(AA116))&gt;0</formula>
    </cfRule>
  </conditionalFormatting>
  <conditionalFormatting sqref="AA120:AS122">
    <cfRule type="expression" dxfId="1209" priority="202">
      <formula>$AA$116="更新(減数)"</formula>
    </cfRule>
    <cfRule type="expression" dxfId="1208" priority="206">
      <formula>$AA$116="更新"</formula>
    </cfRule>
  </conditionalFormatting>
  <conditionalFormatting sqref="AA120:BP122">
    <cfRule type="expression" dxfId="1207" priority="32">
      <formula>$AA$116&lt;&gt;"新規"</formula>
    </cfRule>
  </conditionalFormatting>
  <conditionalFormatting sqref="AA120:BX122 CN120:DL122">
    <cfRule type="expression" dxfId="1206" priority="345">
      <formula>OR($AA$116="更新（エディション移行同時）",$AA$116="更新（減数・エディション移行同時）")</formula>
    </cfRule>
  </conditionalFormatting>
  <conditionalFormatting sqref="AB76">
    <cfRule type="expression" dxfId="1205" priority="17307">
      <formula>$W$76="有"</formula>
    </cfRule>
  </conditionalFormatting>
  <conditionalFormatting sqref="AC94">
    <cfRule type="expression" dxfId="1204" priority="245">
      <formula>$E$90="m‐FILTER_Ver.3.x以下"</formula>
    </cfRule>
  </conditionalFormatting>
  <conditionalFormatting sqref="AC94:BI96">
    <cfRule type="expression" dxfId="1203" priority="512">
      <formula>LEFT($H$97,1)="有"</formula>
    </cfRule>
  </conditionalFormatting>
  <conditionalFormatting sqref="AC103:BU105">
    <cfRule type="expression" dxfId="1202" priority="63">
      <formula>OR($O$103="有（f-FILTERシリアルなし）",$O$103="無",$O$103="")</formula>
    </cfRule>
  </conditionalFormatting>
  <conditionalFormatting sqref="AD33">
    <cfRule type="notContainsBlanks" dxfId="1201" priority="49" stopIfTrue="1">
      <formula>LEN(TRIM(AD33))&gt;0</formula>
    </cfRule>
  </conditionalFormatting>
  <conditionalFormatting sqref="AD52">
    <cfRule type="notContainsBlanks" dxfId="1200" priority="40" stopIfTrue="1">
      <formula>LEN(TRIM(AD52))&gt;0</formula>
    </cfRule>
  </conditionalFormatting>
  <conditionalFormatting sqref="AF130 AF133 AF137">
    <cfRule type="cellIs" dxfId="1199" priority="594" stopIfTrue="1" operator="equal">
      <formula>"いいえ"</formula>
    </cfRule>
    <cfRule type="cellIs" dxfId="1198" priority="609" stopIfTrue="1" operator="equal">
      <formula>0</formula>
    </cfRule>
  </conditionalFormatting>
  <conditionalFormatting sqref="AF152:AY154 X152">
    <cfRule type="expression" dxfId="1197" priority="20231">
      <formula>$E$148="Microsoft 365版"</formula>
    </cfRule>
    <cfRule type="expression" dxfId="1196" priority="20230">
      <formula>$E$148=""</formula>
    </cfRule>
  </conditionalFormatting>
  <conditionalFormatting sqref="AG97 AR97">
    <cfRule type="expression" dxfId="1195" priority="1079">
      <formula>$H$97="有/暗号化強固OP保有なし"</formula>
    </cfRule>
  </conditionalFormatting>
  <conditionalFormatting sqref="AG37:BF39 AG40">
    <cfRule type="notContainsBlanks" dxfId="1194" priority="45" stopIfTrue="1">
      <formula>LEN(TRIM(AG37))&gt;0</formula>
    </cfRule>
  </conditionalFormatting>
  <conditionalFormatting sqref="AG56:BF58 AG59">
    <cfRule type="notContainsBlanks" dxfId="1193" priority="36" stopIfTrue="1">
      <formula>LEN(TRIM(AG56))&gt;0</formula>
    </cfRule>
  </conditionalFormatting>
  <conditionalFormatting sqref="AH120">
    <cfRule type="expression" dxfId="1192" priority="640">
      <formula>$AA$116="新規"</formula>
    </cfRule>
    <cfRule type="expression" dxfId="1191" priority="520">
      <formula>$AH$120&lt;&gt;""</formula>
    </cfRule>
  </conditionalFormatting>
  <conditionalFormatting sqref="AI97:BI99">
    <cfRule type="expression" dxfId="1190" priority="178">
      <formula>$H$97="有/暗号化強固OP保有あり"</formula>
    </cfRule>
  </conditionalFormatting>
  <conditionalFormatting sqref="AJ25">
    <cfRule type="notContainsBlanks" dxfId="1189" priority="431" stopIfTrue="1">
      <formula>LEN(TRIM(AJ25))&gt;0</formula>
    </cfRule>
  </conditionalFormatting>
  <conditionalFormatting sqref="AJ128 AJ130 AJ134 DF134">
    <cfRule type="expression" dxfId="1188" priority="517">
      <formula>COUNTIF($AA$116,"&lt;&gt;*エディション移行*")</formula>
    </cfRule>
  </conditionalFormatting>
  <conditionalFormatting sqref="AJ79:BS81">
    <cfRule type="expression" dxfId="1187" priority="71">
      <formula>OR($W$79="有（f-FILTERシリアルなし）",$W$79="無",$W$79="")</formula>
    </cfRule>
  </conditionalFormatting>
  <conditionalFormatting sqref="AK94 H97">
    <cfRule type="expression" dxfId="1186" priority="648">
      <formula>AND(COUNTIF($AK$94,"*有*")&gt;0,COUNTIF($H$97,"*有*")&gt;0)</formula>
    </cfRule>
  </conditionalFormatting>
  <conditionalFormatting sqref="AK94:AY96">
    <cfRule type="expression" dxfId="1185" priority="17775">
      <formula>AND($F$94="有",$E$90&lt;&gt;"m‐FILTER_Ver.3.x以下")</formula>
    </cfRule>
  </conditionalFormatting>
  <conditionalFormatting sqref="AM35">
    <cfRule type="notContainsBlanks" dxfId="1184" priority="430" stopIfTrue="1">
      <formula>LEN(TRIM(AM35))&gt;0</formula>
    </cfRule>
  </conditionalFormatting>
  <conditionalFormatting sqref="AM54">
    <cfRule type="notContainsBlanks" dxfId="1183" priority="429" stopIfTrue="1">
      <formula>LEN(TRIM(AM54))&gt;0</formula>
    </cfRule>
  </conditionalFormatting>
  <conditionalFormatting sqref="AN148:AU150">
    <cfRule type="expression" dxfId="1182" priority="221">
      <formula>OR($X$148="更新",$X$148="更新(同時バージョンアップ)")</formula>
    </cfRule>
  </conditionalFormatting>
  <conditionalFormatting sqref="AN142:BA144">
    <cfRule type="expression" dxfId="1181" priority="504">
      <formula>$X$142="更新"</formula>
    </cfRule>
  </conditionalFormatting>
  <conditionalFormatting sqref="AN148:BA150">
    <cfRule type="expression" dxfId="1180" priority="503">
      <formula>$X$148="バージョンアップ"</formula>
    </cfRule>
  </conditionalFormatting>
  <conditionalFormatting sqref="AR28">
    <cfRule type="notContainsBlanks" dxfId="1179" priority="44" stopIfTrue="1">
      <formula>LEN(TRIM(AR28))&gt;0</formula>
    </cfRule>
  </conditionalFormatting>
  <conditionalFormatting sqref="AR100 J100 U100 BJ100">
    <cfRule type="expression" dxfId="1178" priority="22">
      <formula>$E$90&lt;&gt;"m‐FILTER_Ver.5"</formula>
    </cfRule>
  </conditionalFormatting>
  <conditionalFormatting sqref="AR100 AK94 AZ94 BF94 BJ94 BQ94 CI94 CN94">
    <cfRule type="expression" dxfId="1177" priority="123">
      <formula>$E$90="m‐FILTER_Ver.3.x以下"</formula>
    </cfRule>
  </conditionalFormatting>
  <conditionalFormatting sqref="AR100 BZ100 CG100 BD90:BQ92 B94:BI96 CN94:CO96 DK94:DL96 DE97:DL99 CU97:DD102 CI94 CP94 DE94 CT94:CU96 B106:DF108">
    <cfRule type="expression" dxfId="1176" priority="30">
      <formula>OR($AL$90="更新",$AL$90="保守更新")</formula>
    </cfRule>
  </conditionalFormatting>
  <conditionalFormatting sqref="AR100 BZ100 CG100 BD90:BQ92 B94:CI94 CN94:CO96 DK94:DL96 DE97:DL99 CU97:DD102 CP94 DE94 CT94:CU96 B95:CH96">
    <cfRule type="expression" dxfId="1175" priority="81">
      <formula>$AL$90="更新(バージョンアップ同時)"</formula>
    </cfRule>
  </conditionalFormatting>
  <conditionalFormatting sqref="AR100">
    <cfRule type="expression" dxfId="1174" priority="199">
      <formula>$BP$97="無"</formula>
    </cfRule>
    <cfRule type="expression" dxfId="1173" priority="192">
      <formula>$F$94="無"</formula>
    </cfRule>
  </conditionalFormatting>
  <conditionalFormatting sqref="AR103">
    <cfRule type="expression" dxfId="1172" priority="136">
      <formula>NOT(OR($O$103="有（f-FILTERシリアルなし）",$O$103="無",$O$103=""))</formula>
    </cfRule>
  </conditionalFormatting>
  <conditionalFormatting sqref="AR142">
    <cfRule type="expression" dxfId="1171" priority="1042">
      <formula>$E$142="i-FILTER ブラウザー&amp;クラウド"</formula>
    </cfRule>
  </conditionalFormatting>
  <conditionalFormatting sqref="AR28:BF29">
    <cfRule type="expression" dxfId="1170" priority="43" stopIfTrue="1">
      <formula>OR($AR$28="文教",$AR$28="官公庁／自治体",$AR$28="その他公共",$AR$28="企業")</formula>
    </cfRule>
  </conditionalFormatting>
  <conditionalFormatting sqref="AR103:BU105">
    <cfRule type="notContainsBlanks" dxfId="1169" priority="64" stopIfTrue="1">
      <formula>LEN(TRIM(AR103))&gt;0</formula>
    </cfRule>
  </conditionalFormatting>
  <conditionalFormatting sqref="AR100:CK102">
    <cfRule type="expression" dxfId="1168" priority="27">
      <formula>OR($U$100="",COUNTIF($U$100,"*無*"))</formula>
    </cfRule>
  </conditionalFormatting>
  <conditionalFormatting sqref="AT120 AY120">
    <cfRule type="expression" dxfId="1167" priority="383">
      <formula>$AH$120&lt;&gt;"有/m-FILTER保有"</formula>
    </cfRule>
  </conditionalFormatting>
  <conditionalFormatting sqref="AU33">
    <cfRule type="notContainsBlanks" dxfId="1166" priority="48" stopIfTrue="1">
      <formula>LEN(TRIM(AU33))&gt;0</formula>
    </cfRule>
  </conditionalFormatting>
  <conditionalFormatting sqref="AU52">
    <cfRule type="notContainsBlanks" dxfId="1165" priority="39" stopIfTrue="1">
      <formula>LEN(TRIM(AU52))&gt;0</formula>
    </cfRule>
  </conditionalFormatting>
  <conditionalFormatting sqref="AV76 BB76 B76:Q78 B79 J79 L79 L79:DA81">
    <cfRule type="expression" dxfId="1164" priority="69">
      <formula>OR($E$72="i‐FILTER_Ver.9",$E$72="i‐FILTER_Ver.8.x以下")</formula>
    </cfRule>
  </conditionalFormatting>
  <conditionalFormatting sqref="AV79">
    <cfRule type="expression" dxfId="1163" priority="303">
      <formula>NOT(OR($W$79="有（f-FILTER保有・無）",$W$79="無",$W$79=""))</formula>
    </cfRule>
  </conditionalFormatting>
  <conditionalFormatting sqref="AV116 AZ116">
    <cfRule type="expression" dxfId="1162" priority="253">
      <formula>$AA$116="更新（エディション移行同時）"</formula>
    </cfRule>
  </conditionalFormatting>
  <conditionalFormatting sqref="AV148">
    <cfRule type="expression" dxfId="1161" priority="573">
      <formula>$E$148&lt;&gt;""</formula>
    </cfRule>
  </conditionalFormatting>
  <conditionalFormatting sqref="AV148:BA150">
    <cfRule type="expression" dxfId="1160" priority="541">
      <formula>$X$148="追加"</formula>
    </cfRule>
  </conditionalFormatting>
  <conditionalFormatting sqref="AV116:BC118">
    <cfRule type="expression" dxfId="1159" priority="203">
      <formula>$AA$116="更新"</formula>
    </cfRule>
  </conditionalFormatting>
  <conditionalFormatting sqref="AV79:BS81">
    <cfRule type="notContainsBlanks" dxfId="1158" priority="75" stopIfTrue="1">
      <formula>LEN(TRIM(AV79))&gt;0</formula>
    </cfRule>
  </conditionalFormatting>
  <conditionalFormatting sqref="AX83 AX85">
    <cfRule type="expression" dxfId="1157" priority="843" stopIfTrue="1">
      <formula>OR($AL$72="新規",$AL$90="新規")</formula>
    </cfRule>
  </conditionalFormatting>
  <conditionalFormatting sqref="AX83:BL84 BQ83:CO86 AX85">
    <cfRule type="expression" dxfId="1156" priority="127">
      <formula>NOT(OR($AL$72="新規",COUNTIF($AL$72,"追加*")&gt;0,,$AL$90="新規",COUNTIF($AL$90,"追加*")&gt;0,))</formula>
    </cfRule>
    <cfRule type="expression" dxfId="1155" priority="1">
      <formula>NOT(OR($E$72="i‐FILTER_Ver.10",$E$90="m‐FILTER_Ver.5"))</formula>
    </cfRule>
  </conditionalFormatting>
  <conditionalFormatting sqref="AX85:BL86">
    <cfRule type="notContainsBlanks" dxfId="1154" priority="146">
      <formula>LEN(TRIM(AX85))&gt;0</formula>
    </cfRule>
  </conditionalFormatting>
  <conditionalFormatting sqref="AY120">
    <cfRule type="expression" dxfId="1153" priority="515">
      <formula>$AH$120="有/m-FILTER保有"</formula>
    </cfRule>
    <cfRule type="notContainsBlanks" dxfId="1152" priority="387">
      <formula>LEN(TRIM(AY120))&gt;0</formula>
    </cfRule>
  </conditionalFormatting>
  <conditionalFormatting sqref="AY148 BG116 BR116 BV116 AR148 AZ116 X148">
    <cfRule type="notContainsBlanks" dxfId="1151" priority="596" stopIfTrue="1">
      <formula>LEN(TRIM(X116))&gt;0</formula>
    </cfRule>
  </conditionalFormatting>
  <conditionalFormatting sqref="AY148">
    <cfRule type="expression" dxfId="1150" priority="18237">
      <formula>$E$148&lt;&gt;""</formula>
    </cfRule>
  </conditionalFormatting>
  <conditionalFormatting sqref="AZ116 AA116">
    <cfRule type="expression" dxfId="1149" priority="2221">
      <formula>$E$116&lt;&gt;""</formula>
    </cfRule>
  </conditionalFormatting>
  <conditionalFormatting sqref="AZ142">
    <cfRule type="expression" dxfId="1148" priority="1067">
      <formula>$E$142="i-FILTER ブラウザー&amp;クラウド"</formula>
    </cfRule>
  </conditionalFormatting>
  <conditionalFormatting sqref="AZ116:BC118">
    <cfRule type="expression" dxfId="1147" priority="2149">
      <formula>AND($AZ$116&lt;10,$AZ$116&lt;&gt;"")</formula>
    </cfRule>
  </conditionalFormatting>
  <conditionalFormatting sqref="AZ42:BF44">
    <cfRule type="expression" dxfId="1146" priority="509">
      <formula>$AZ$42="はい"</formula>
    </cfRule>
    <cfRule type="expression" dxfId="1145" priority="510">
      <formula>$AZ$42="いいえ"</formula>
    </cfRule>
  </conditionalFormatting>
  <conditionalFormatting sqref="AZ61:BF63">
    <cfRule type="expression" dxfId="1144" priority="508">
      <formula>$AZ$61="はい"</formula>
    </cfRule>
    <cfRule type="expression" dxfId="1143" priority="507">
      <formula>$AZ$61="いいえ"</formula>
    </cfRule>
  </conditionalFormatting>
  <conditionalFormatting sqref="AZ94:BI96">
    <cfRule type="expression" dxfId="1142" priority="246">
      <formula>$AK$94="無"</formula>
    </cfRule>
  </conditionalFormatting>
  <conditionalFormatting sqref="AZ152:BK152 B152:W154 AZ153:BJ154">
    <cfRule type="expression" dxfId="1141" priority="119">
      <formula>$E$148&lt;&gt;"Outlook/Becky!/Thunderbird版"</formula>
    </cfRule>
  </conditionalFormatting>
  <conditionalFormatting sqref="AZ152:CK154">
    <cfRule type="expression" dxfId="1140" priority="20190">
      <formula>$I$152="無"</formula>
    </cfRule>
  </conditionalFormatting>
  <conditionalFormatting sqref="BB142:BG144">
    <cfRule type="expression" dxfId="1139" priority="542">
      <formula>$X$142="追加"</formula>
    </cfRule>
  </conditionalFormatting>
  <conditionalFormatting sqref="BB148:BJ148 BL148 BN148 BP148 BB149:BI150">
    <cfRule type="expression" dxfId="1138" priority="1040">
      <formula>OR($X$148="更新",$X$148="更新(減数)",$X$148="更新(同時バージョンアップ)",$X$148="追加",$X$148="追加(更新同時)",$X$148="バージョンアップ")</formula>
    </cfRule>
  </conditionalFormatting>
  <conditionalFormatting sqref="BD4">
    <cfRule type="expression" dxfId="1137" priority="18747">
      <formula>OR($DE$20="",AND($DE$20="異なる",$DE$33=""))</formula>
    </cfRule>
  </conditionalFormatting>
  <conditionalFormatting sqref="BD116 BG116">
    <cfRule type="expression" dxfId="1136" priority="540">
      <formula>OR($AA$116="追加",$AA$116="エディション移行",$AA$116="追加（エディション移行同時）")</formula>
    </cfRule>
  </conditionalFormatting>
  <conditionalFormatting sqref="BD72:BK74">
    <cfRule type="expression" dxfId="1135" priority="15907">
      <formula>$U$72="アカデミックサイトライセンス"</formula>
    </cfRule>
  </conditionalFormatting>
  <conditionalFormatting sqref="BE142">
    <cfRule type="expression" dxfId="1134" priority="642">
      <formula>$E$142="i-FILTER ブラウザー&amp;クラウド"</formula>
    </cfRule>
  </conditionalFormatting>
  <conditionalFormatting sqref="BF94:BI96">
    <cfRule type="expression" dxfId="1133" priority="18624">
      <formula>OR($AK$94="有/FinalCode保有",$AK$94="有/FinalCodeを同時購入")</formula>
    </cfRule>
  </conditionalFormatting>
  <conditionalFormatting sqref="BG116">
    <cfRule type="expression" dxfId="1132" priority="614">
      <formula>OR(COUNTIF($AA$116,"*更新*"),$AA$116="新規")</formula>
    </cfRule>
  </conditionalFormatting>
  <conditionalFormatting sqref="BH142:BM142 BP142 BR142 BT142 BV142 BH143:BL144">
    <cfRule type="expression" dxfId="1131" priority="635">
      <formula>OR($X$142="更新",$X$142="更新(減数)",$X$142="追加",$X$142="追加(更新同時)")</formula>
    </cfRule>
  </conditionalFormatting>
  <conditionalFormatting sqref="BI50">
    <cfRule type="containsBlanks" dxfId="1130" priority="35">
      <formula>LEN(TRIM(BI50))=0</formula>
    </cfRule>
  </conditionalFormatting>
  <conditionalFormatting sqref="BI22:BN22 BI23:BM23 BI24:DK31 BI33:DK34 BI35:BN35 BI36:BM36 BI37:DK44">
    <cfRule type="expression" dxfId="1129" priority="355">
      <formula>$DE$20="同じ"</formula>
    </cfRule>
  </conditionalFormatting>
  <conditionalFormatting sqref="BI35:BN35 BI36:BM36 BI37:DK44">
    <cfRule type="expression" dxfId="1128" priority="356">
      <formula>$DE$33="同じ"</formula>
    </cfRule>
  </conditionalFormatting>
  <conditionalFormatting sqref="BI54:CE63">
    <cfRule type="notContainsBlanks" dxfId="1127" priority="358">
      <formula>LEN(TRIM(BI54))&gt;0</formula>
    </cfRule>
  </conditionalFormatting>
  <conditionalFormatting sqref="BJ116 BX116 CB116 CH116 BO116:BW118">
    <cfRule type="expression" dxfId="1126" priority="535">
      <formula>AND($AA$116&lt;&gt;"新規",$AA$116&lt;&gt;"")</formula>
    </cfRule>
  </conditionalFormatting>
  <conditionalFormatting sqref="BJ148 BN148">
    <cfRule type="expression" dxfId="1125" priority="3819">
      <formula>OR($X$148="新規",$X$148="追加")</formula>
    </cfRule>
  </conditionalFormatting>
  <conditionalFormatting sqref="BJ100:BY102">
    <cfRule type="notContainsBlanks" dxfId="1124" priority="28" stopIfTrue="1">
      <formula>LEN(TRIM(BJ100))&gt;0</formula>
    </cfRule>
  </conditionalFormatting>
  <conditionalFormatting sqref="BJ94:CH96">
    <cfRule type="expression" dxfId="1123" priority="247">
      <formula>AND($AK$94&lt;&gt;"有/FinalCode保有",$H$97&lt;&gt;"有/暗号化強固OP保有あり")</formula>
    </cfRule>
    <cfRule type="expression" dxfId="1122" priority="198">
      <formula>OR($AL$90="保守更新",$AL$90="保守更新(減数)")</formula>
    </cfRule>
  </conditionalFormatting>
  <conditionalFormatting sqref="BK152 AF152:AY154">
    <cfRule type="expression" dxfId="1121" priority="20191">
      <formula>OR($CR$152="有/FinalCode保有",$I$152="有/暗号化強固OP保有あり")</formula>
    </cfRule>
  </conditionalFormatting>
  <conditionalFormatting sqref="BK152 BU152">
    <cfRule type="expression" dxfId="1120" priority="20193">
      <formula>$I$152="有/暗号化強固OP保有なし"</formula>
    </cfRule>
  </conditionalFormatting>
  <conditionalFormatting sqref="BL90:BQ92 B94:CI94 CP94 DE94 CN94:CO96 CT94:CU96 DK94:DL96 B95:CH96 DE97:DL99 CU97:DD102 AR100 B106:DF108 BZ100 CG100">
    <cfRule type="expression" dxfId="1119" priority="7">
      <formula>OR($AL$90="保守更新(減数)",$AL$90="更新(減数)")</formula>
    </cfRule>
  </conditionalFormatting>
  <conditionalFormatting sqref="BM152 BU152 AF152:AY154 X152">
    <cfRule type="expression" dxfId="1118" priority="20184">
      <formula>OR(AND($CR$152="有/FinalCode保有",$I$152="有/暗号化強固OP保有なし"),AND($CR$152="有/FinalCode保有",$I$152="有/暗号化強固OP保有あり"),AND($CR$152="有/FinalCodeを同時購入",$I$152="有/暗号化強固OP保有あり"),AND($CR$152="有/FinalCodeを同時購入",$I$152="有/暗号化強固OP保有なし"))</formula>
    </cfRule>
  </conditionalFormatting>
  <conditionalFormatting sqref="BM152:CK154">
    <cfRule type="expression" dxfId="1117" priority="115">
      <formula>$E$148="Microsoft 365版"</formula>
    </cfRule>
    <cfRule type="expression" dxfId="1116" priority="117">
      <formula>$CA$148="有"</formula>
    </cfRule>
  </conditionalFormatting>
  <conditionalFormatting sqref="BN35 BT37 CK37 DB37 BT39 CT39 BN41:CJ44 CP41:DK44 BN22 BT24 CK24 DB24 BT26 CT26 BN28:CJ31 CP28:DK31 DE33 CM76:CM78 DE20">
    <cfRule type="notContainsBlanks" dxfId="1115" priority="18745" stopIfTrue="1">
      <formula>LEN(TRIM(BN20))&gt;0</formula>
    </cfRule>
  </conditionalFormatting>
  <conditionalFormatting sqref="BP72 BH72 AX83 BQ83 U72 AL72 BU72 CF72 CJ72 CT72">
    <cfRule type="notContainsBlanks" dxfId="1114" priority="397">
      <formula>LEN(TRIM(U72))&gt;0</formula>
    </cfRule>
  </conditionalFormatting>
  <conditionalFormatting sqref="BP90 F94 M94 S94 Y94 AK94 BF94 BQ94 CN94 DK94 DC97 DK97 DC100 Z90 AL90 BH90 BU90 H97 AG97 AR97">
    <cfRule type="notContainsBlanks" dxfId="1113" priority="23" stopIfTrue="1">
      <formula>LEN(TRIM(F90))&gt;0</formula>
    </cfRule>
  </conditionalFormatting>
  <conditionalFormatting sqref="BP142 BT142 CF142">
    <cfRule type="expression" dxfId="1112" priority="3976">
      <formula>$X$142="新規"</formula>
    </cfRule>
  </conditionalFormatting>
  <conditionalFormatting sqref="BQ83">
    <cfRule type="expression" dxfId="1111" priority="19064">
      <formula>$AX$83="はい/通知先記入"</formula>
    </cfRule>
  </conditionalFormatting>
  <conditionalFormatting sqref="BQ94 AG97">
    <cfRule type="expression" dxfId="1110" priority="3054">
      <formula>OR($AK$94="有/FinalCode保有",$H$97="有/暗号化強固OP保有あり")</formula>
    </cfRule>
  </conditionalFormatting>
  <conditionalFormatting sqref="BQ97 H100 H97">
    <cfRule type="expression" dxfId="1109" priority="142">
      <formula>AND($E$90="m‐FILTER_Ver.5",OR($AL$90="新規",$AL$90="バージョンアップ",$AL$90="追加",$AL$90="追加(バージョンアップ同時)",$AL$90="追加(更新同時)",$AL$90="追加(更新・バージョンアップ同時)",$AL$90=""),AND($F$94="有"))</formula>
    </cfRule>
  </conditionalFormatting>
  <conditionalFormatting sqref="BQ97 H100">
    <cfRule type="notContainsBlanks" dxfId="1108" priority="141" stopIfTrue="1">
      <formula>LEN(TRIM(H97))&gt;0</formula>
    </cfRule>
  </conditionalFormatting>
  <conditionalFormatting sqref="BQ120:BX122 CN120:DL122">
    <cfRule type="expression" dxfId="1107" priority="201">
      <formula>$AA$116="更新(減数)"</formula>
    </cfRule>
  </conditionalFormatting>
  <conditionalFormatting sqref="BQ120:BX122">
    <cfRule type="expression" dxfId="1106" priority="209">
      <formula>$K$123="有"</formula>
    </cfRule>
  </conditionalFormatting>
  <conditionalFormatting sqref="BQ83:CO84">
    <cfRule type="expression" dxfId="1105" priority="126">
      <formula>OR($AX$83="はい/お客様アドレス",$AX$83="いいえ")</formula>
    </cfRule>
  </conditionalFormatting>
  <conditionalFormatting sqref="BQ85:CO86">
    <cfRule type="notContainsBlanks" dxfId="1104" priority="128">
      <formula>LEN(TRIM(BQ85))&gt;0</formula>
    </cfRule>
    <cfRule type="expression" dxfId="1103" priority="124">
      <formula>OR($AX$85="はい/お客様アドレス",$AX$85="いいえ")</formula>
    </cfRule>
    <cfRule type="expression" dxfId="1102" priority="149">
      <formula>$AX$85="はい/通知先記入"</formula>
    </cfRule>
  </conditionalFormatting>
  <conditionalFormatting sqref="BQ120:DL122 B128:DL129 X116:DL118 B120:AT120 B130:AF130 AF133 AF137 AJ130:DL138 AY120 K123 B131:AE132 B133 B137 B121:AS122 B123 B126:DL126">
    <cfRule type="expression" dxfId="1101" priority="19212">
      <formula>$E$116=""</formula>
    </cfRule>
  </conditionalFormatting>
  <conditionalFormatting sqref="BQ120:DL122">
    <cfRule type="expression" dxfId="1100" priority="31">
      <formula>$AA$116="更新"</formula>
    </cfRule>
  </conditionalFormatting>
  <conditionalFormatting sqref="BR76:BS78 CB76:CC78">
    <cfRule type="notContainsBlanks" dxfId="1099" priority="1953">
      <formula>LEN(TRIM(BR76))&gt;0</formula>
    </cfRule>
    <cfRule type="expression" dxfId="1098" priority="2076">
      <formula>$U$72="GIGAスクール版"</formula>
    </cfRule>
  </conditionalFormatting>
  <conditionalFormatting sqref="BT76 CB76 BJ76:BS78">
    <cfRule type="expression" dxfId="1097" priority="299">
      <formula>$U$72&lt;&gt;"GIGAスクール版"</formula>
    </cfRule>
  </conditionalFormatting>
  <conditionalFormatting sqref="BT76 CB76">
    <cfRule type="expression" dxfId="1096" priority="257" stopIfTrue="1">
      <formula>$BR$76="無"</formula>
    </cfRule>
  </conditionalFormatting>
  <conditionalFormatting sqref="BT148:CD148 BT149:CC150 CL152:CS154">
    <cfRule type="expression" dxfId="1095" priority="4">
      <formula>$E$148&lt;&gt;"Microsoft 365版"</formula>
    </cfRule>
  </conditionalFormatting>
  <conditionalFormatting sqref="BT148:CD148 BT149:CC150">
    <cfRule type="expression" dxfId="1094" priority="90">
      <formula>AND($E$148="Microsoft 365版",OR(ISNUMBER(SEARCH("更新",$X$148)),ISNUMBER(SEARCH("追加",$X$148))))</formula>
    </cfRule>
  </conditionalFormatting>
  <conditionalFormatting sqref="BT79:DA81">
    <cfRule type="expression" dxfId="1093" priority="73">
      <formula>NOT($W$79="有（f-FILTERシリアルなし）")</formula>
    </cfRule>
  </conditionalFormatting>
  <conditionalFormatting sqref="BU72 BH72 U72 AL72 BP72">
    <cfRule type="expression" dxfId="1092" priority="19016">
      <formula>OR($E$72="i‐FILTER_Ver.10",$E$72="i‐FILTER_Ver.9",$E$72="i‐FILTER_Ver.8.x以下")</formula>
    </cfRule>
  </conditionalFormatting>
  <conditionalFormatting sqref="BU72 BR72">
    <cfRule type="expression" dxfId="1091" priority="18987">
      <formula>AND($AL$72&lt;&gt;"",$AL$72&lt;&gt;"新規",COUNTIF($AL$72,"*更新*")=0)</formula>
    </cfRule>
  </conditionalFormatting>
  <conditionalFormatting sqref="BU90 F94 M94 S94 BH90 BP90 Z90 AL90">
    <cfRule type="expression" dxfId="1090" priority="19048">
      <formula>OR($E$90="m‐FILTER_Ver.5",$E$90="m‐FILTER_Ver.4__Ver.4.82以上",$E$90="m‐FILTER_Ver.4__Ver.4.81以下",$E$90="m‐FILTER_Ver.3.x以下")</formula>
    </cfRule>
  </conditionalFormatting>
  <conditionalFormatting sqref="BU90 BR90">
    <cfRule type="expression" dxfId="1089" priority="19017">
      <formula>AND($AL$90&lt;&gt;"",$AL$90&lt;&gt;"新規",COUNTIF($AL$90,"*更新*")=0)</formula>
    </cfRule>
  </conditionalFormatting>
  <conditionalFormatting sqref="BU152 BM152">
    <cfRule type="expression" dxfId="1088" priority="20195">
      <formula>$I$152="有/暗号化強固OP保有あり"</formula>
    </cfRule>
  </conditionalFormatting>
  <conditionalFormatting sqref="BU152:CK154">
    <cfRule type="expression" dxfId="1087" priority="20251">
      <formula>AND($E$148="Microsoft 365版",$X$148="新規",$AF$152="")</formula>
    </cfRule>
    <cfRule type="expression" dxfId="1086" priority="20200">
      <formula>AND($E$148="Microsoft 365版",$X$148="新規",$CA$148,"有",$CH$148="無")</formula>
    </cfRule>
  </conditionalFormatting>
  <conditionalFormatting sqref="BV103:DL105">
    <cfRule type="expression" dxfId="1085" priority="60">
      <formula>NOT($O$103="有（f-FILTERシリアルなし）")</formula>
    </cfRule>
  </conditionalFormatting>
  <conditionalFormatting sqref="BW120 CK120 CR120 BR116 BV116 CH116">
    <cfRule type="expression" dxfId="1084" priority="1940">
      <formula>$AA$116="新規"</formula>
    </cfRule>
  </conditionalFormatting>
  <conditionalFormatting sqref="BY4">
    <cfRule type="expression" dxfId="1083" priority="19717">
      <formula>AND(NOT($U$72=""),OR($AL$72="バージョンアップ",$AL$72="更新",$AL$72="更新(減数)",$AL$72="更新(バージョンアップ同時)"),$E$72="i-FILTER_Ver.10")</formula>
    </cfRule>
  </conditionalFormatting>
  <conditionalFormatting sqref="BY120:CM122">
    <cfRule type="expression" dxfId="1082" priority="205">
      <formula>$AA$116="更新（エディション移行同時）"</formula>
    </cfRule>
  </conditionalFormatting>
  <conditionalFormatting sqref="BZ100 CG100">
    <cfRule type="expression" dxfId="1081" priority="8">
      <formula>$U$100=""</formula>
    </cfRule>
    <cfRule type="expression" dxfId="1080" priority="16">
      <formula>$E$90="m‐FILTER_Ver.3.x以下"</formula>
    </cfRule>
    <cfRule type="expression" dxfId="1079" priority="19">
      <formula>$BH$90&gt;=1000</formula>
    </cfRule>
    <cfRule type="expression" dxfId="1078" priority="21">
      <formula>$U$100="無"</formula>
    </cfRule>
    <cfRule type="expression" dxfId="1077" priority="17">
      <formula>$E$90="m‐FILTER_Ver.3.x以下"</formula>
    </cfRule>
  </conditionalFormatting>
  <conditionalFormatting sqref="BZ142 CF142">
    <cfRule type="expression" dxfId="1076" priority="636">
      <formula>AND($X$142&lt;&gt;"新規",$X$142&lt;&gt;"")</formula>
    </cfRule>
  </conditionalFormatting>
  <conditionalFormatting sqref="CA148:CC150 CR152">
    <cfRule type="notContainsBlanks" dxfId="1075" priority="78" stopIfTrue="1">
      <formula>LEN(TRIM(CA148))&gt;0</formula>
    </cfRule>
  </conditionalFormatting>
  <conditionalFormatting sqref="CA148:CC150">
    <cfRule type="expression" dxfId="1074" priority="628">
      <formula>AND($E$148="Microsoft 365版",$X$148="新規")</formula>
    </cfRule>
  </conditionalFormatting>
  <conditionalFormatting sqref="CD76:CM78">
    <cfRule type="expression" dxfId="1073" priority="168">
      <formula>OR($AL$72="更新",$AL$72="更新(減数)",$AL$72="更新(バージョンアップ同時)")</formula>
    </cfRule>
    <cfRule type="expression" dxfId="1072" priority="165">
      <formula>NOT($E$72="i‐FILTER_Ver.10")</formula>
    </cfRule>
  </conditionalFormatting>
  <conditionalFormatting sqref="CD79:DA81">
    <cfRule type="notContainsBlanks" dxfId="1071" priority="74" stopIfTrue="1">
      <formula>LEN(TRIM(CD79))&gt;0</formula>
    </cfRule>
    <cfRule type="expression" dxfId="1070" priority="255">
      <formula>$W$79="有（f-FILTERシリアルなし）"</formula>
    </cfRule>
  </conditionalFormatting>
  <conditionalFormatting sqref="CF72 CJ72 BX72 CC72 CH72 CL72">
    <cfRule type="expression" dxfId="1069" priority="18989">
      <formula>AND($AL$72&lt;&gt;"",$AL$72&lt;&gt;"新規")</formula>
    </cfRule>
  </conditionalFormatting>
  <conditionalFormatting sqref="CF72 CJ72">
    <cfRule type="expression" dxfId="1068" priority="18995">
      <formula>OR($AL$72="新規",$AL$72="乗換")</formula>
    </cfRule>
  </conditionalFormatting>
  <conditionalFormatting sqref="CF90 CJ90 BX90 CC90 CH90 CL90">
    <cfRule type="expression" dxfId="1067" priority="19021">
      <formula>OR($AL$90="バージョンアップ",$AL$90="更新",$AL$90="更新(バージョンアップ同時)",$AL$90="更新(減数)",$AL$90="追加",$AL$90="追加(更新同時)",$AL$90="追加(バージョンアップ同時)",$AL$90="追加(更新・バージョンアップ同時)",$AL$90="保守更新",$AL$90="保守更新(減数)",,$AL$90="追加(保守更新同時)")</formula>
    </cfRule>
  </conditionalFormatting>
  <conditionalFormatting sqref="CF90 CJ90 CT90">
    <cfRule type="notContainsBlanks" dxfId="1066" priority="18507" stopIfTrue="1">
      <formula>LEN(TRIM(CF90))&gt;0</formula>
    </cfRule>
  </conditionalFormatting>
  <conditionalFormatting sqref="CF90 CJ90">
    <cfRule type="expression" dxfId="1065" priority="19027">
      <formula>OR($AL$90="新規",$AL$90="新規+保守",$AL$90="乗換+保守")</formula>
    </cfRule>
  </conditionalFormatting>
  <conditionalFormatting sqref="CF142 BM142 BP142 BT142 CP142 CK120 BE142 AR142 AZ142 X142 BW120 CR120">
    <cfRule type="notContainsBlanks" dxfId="1064" priority="638">
      <formula>LEN(TRIM(X120))&gt;0</formula>
    </cfRule>
  </conditionalFormatting>
  <conditionalFormatting sqref="CF54:DB55">
    <cfRule type="notContainsBlanks" dxfId="1063" priority="332">
      <formula>LEN(TRIM(CF54))&gt;0</formula>
    </cfRule>
  </conditionalFormatting>
  <conditionalFormatting sqref="CF56:DB63">
    <cfRule type="expression" dxfId="1062" priority="326">
      <formula>AND(BI56&lt;&gt;"",CF56="")</formula>
    </cfRule>
  </conditionalFormatting>
  <conditionalFormatting sqref="CG100 BJ100">
    <cfRule type="expression" dxfId="1061" priority="19230">
      <formula>OR(COUNTIF($U$100,"*有*"),$U$100="プラン変更なし")</formula>
    </cfRule>
  </conditionalFormatting>
  <conditionalFormatting sqref="CG100 BZ100">
    <cfRule type="expression" dxfId="1060" priority="10">
      <formula>$E$90=""</formula>
    </cfRule>
  </conditionalFormatting>
  <conditionalFormatting sqref="CG100">
    <cfRule type="expression" dxfId="1059" priority="169">
      <formula>$BH$90&lt;$CG$100</formula>
    </cfRule>
    <cfRule type="notContainsBlanks" dxfId="1058" priority="9" stopIfTrue="1">
      <formula>LEN(TRIM(CG100))&gt;0</formula>
    </cfRule>
    <cfRule type="expression" dxfId="1057" priority="171">
      <formula>COUNTIF($U$100,"*有*")</formula>
    </cfRule>
  </conditionalFormatting>
  <conditionalFormatting sqref="CH116">
    <cfRule type="notContainsBlanks" dxfId="1056" priority="570" stopIfTrue="1">
      <formula>LEN(TRIM(CH116))&gt;0</formula>
    </cfRule>
  </conditionalFormatting>
  <conditionalFormatting sqref="CH142 CP142">
    <cfRule type="expression" dxfId="1055" priority="553">
      <formula>AND($X$142="新規",$CF$142="無")</formula>
    </cfRule>
  </conditionalFormatting>
  <conditionalFormatting sqref="CI94 CN94">
    <cfRule type="expression" dxfId="1054" priority="650">
      <formula>AND(OR($E$90="m‐FILTER_Ver.5",$E$90="m‐FILTER_Ver.4__Ver.4.82以上",$E$90="m‐FILTER_Ver.4__Ver.4.81以下"),$F$94="無")</formula>
    </cfRule>
  </conditionalFormatting>
  <conditionalFormatting sqref="CI94 CP94 CV94 AC94:CH96 CN94:CO96 CT94:CU96 AI97:AR97 B97:AQ99 DE97:DL99 CU97:DD102 B100 AR100 BZ100 CG100 J100:AQ102">
    <cfRule type="expression" dxfId="1053" priority="5">
      <formula>$F$94="無"</formula>
    </cfRule>
  </conditionalFormatting>
  <conditionalFormatting sqref="CI103">
    <cfRule type="expression" dxfId="1052" priority="62">
      <formula>$O$103="有（f-FILTERシリアルなし）"</formula>
    </cfRule>
  </conditionalFormatting>
  <conditionalFormatting sqref="CI94:CO96">
    <cfRule type="expression" dxfId="1051" priority="227">
      <formula>$DC$94="有"</formula>
    </cfRule>
  </conditionalFormatting>
  <conditionalFormatting sqref="CI103:DL105">
    <cfRule type="notContainsBlanks" dxfId="1050" priority="61" stopIfTrue="1">
      <formula>LEN(TRIM(CI103))&gt;0</formula>
    </cfRule>
  </conditionalFormatting>
  <conditionalFormatting sqref="CJ116:CJ117">
    <cfRule type="expression" dxfId="1049" priority="531">
      <formula>AND($AA$116="新規",$CH$116="無")</formula>
    </cfRule>
  </conditionalFormatting>
  <conditionalFormatting sqref="CK120">
    <cfRule type="expression" dxfId="1048" priority="548">
      <formula>AND($AZ$116&lt;&gt;"",$AZ$116&lt;$CK$120)</formula>
    </cfRule>
    <cfRule type="cellIs" dxfId="1047" priority="547" operator="between">
      <formula>1</formula>
      <formula>4</formula>
    </cfRule>
  </conditionalFormatting>
  <conditionalFormatting sqref="CK148:DL150">
    <cfRule type="expression" dxfId="1046" priority="79">
      <formula>AND($E$148="Microsoft 365版",$CA$148="無")</formula>
    </cfRule>
    <cfRule type="expression" dxfId="1045" priority="77">
      <formula>AND($E$148="Outlook/Becky!/Thunderbird版",$X$148="新規")</formula>
    </cfRule>
  </conditionalFormatting>
  <conditionalFormatting sqref="CL152:CS154">
    <cfRule type="expression" dxfId="1044" priority="80">
      <formula>$X$148="更新"</formula>
    </cfRule>
  </conditionalFormatting>
  <conditionalFormatting sqref="CN76">
    <cfRule type="expression" dxfId="1043" priority="19065">
      <formula>$E$72&lt;&gt;"i‐FILTER_Ver.8.x以下"</formula>
    </cfRule>
    <cfRule type="expression" dxfId="1042" priority="293">
      <formula>AND(COUNTIF($AL$72,"*更新*")&gt;0,COUNTIF($AL$72,"*減数*")=0,COUNTIF($AL$72,"*追加*")=0,COUNTIF($AL$72,"*移行*")=0)</formula>
    </cfRule>
    <cfRule type="expression" dxfId="1041" priority="295">
      <formula>$AL$72="更新(減数)"</formula>
    </cfRule>
  </conditionalFormatting>
  <conditionalFormatting sqref="CN94">
    <cfRule type="expression" dxfId="1040" priority="1233">
      <formula>AND(OR($E$90="m‐FILTER_Ver.5",$E$90="m‐FILTER_Ver.4__Ver.4.82以上",$E$90="m‐FILTER_Ver.4__Ver.4.81以下"),$F$94="有")</formula>
    </cfRule>
  </conditionalFormatting>
  <conditionalFormatting sqref="CO116">
    <cfRule type="notContainsBlanks" dxfId="1039" priority="532">
      <formula>LEN(TRIM(CO116))&gt;0</formula>
    </cfRule>
    <cfRule type="expression" dxfId="1038" priority="533">
      <formula>$CH$116="有"</formula>
    </cfRule>
    <cfRule type="expression" dxfId="1037" priority="537">
      <formula>AND($AA$116&lt;&gt;"新規",$AA$116&lt;&gt;"")</formula>
    </cfRule>
    <cfRule type="expression" dxfId="1036" priority="525">
      <formula>AND($AA$116="新規",$CH$116="無")</formula>
    </cfRule>
  </conditionalFormatting>
  <conditionalFormatting sqref="CP90 CT90">
    <cfRule type="expression" dxfId="1035" priority="19029">
      <formula>OR($AL$90="新規",$AL$90="新規+保守",$AL$90="乗換+保守")</formula>
    </cfRule>
  </conditionalFormatting>
  <conditionalFormatting sqref="CP94 CT94">
    <cfRule type="expression" dxfId="1034" priority="671">
      <formula>OR($E$90="m‐FILTER_Ver.5",$E$90="m‐FILTER_Ver.4__Ver.4.82以上",$E$90="m‐FILTER_Ver.3.x以下")</formula>
    </cfRule>
  </conditionalFormatting>
  <conditionalFormatting sqref="CP94 CT94:CU96">
    <cfRule type="expression" dxfId="1033" priority="647">
      <formula>$E$90&lt;&gt;"m‐FILTER_Ver.4__Ver.4.81以下"</formula>
    </cfRule>
  </conditionalFormatting>
  <conditionalFormatting sqref="CP142">
    <cfRule type="expression" dxfId="1032" priority="16794">
      <formula>$CP$142&lt;&gt;""</formula>
    </cfRule>
    <cfRule type="expression" dxfId="1031" priority="16795">
      <formula>OR(COUNTIF($X$142,"*更新*"),COUNTIF($X$142,"*追加*"),AND($X$142="新規",$CF$142="有"))</formula>
    </cfRule>
  </conditionalFormatting>
  <conditionalFormatting sqref="CP90:CS92">
    <cfRule type="expression" dxfId="1030" priority="18975" stopIfTrue="1">
      <formula>$AH$120="有/m-FILTER保有"</formula>
    </cfRule>
  </conditionalFormatting>
  <conditionalFormatting sqref="CP69:DL69">
    <cfRule type="expression" dxfId="1029" priority="16769">
      <formula>AND(#REF!="Windows",OR(#REF!="i-FILTER ICAP Server",#REF!="i-FILTER ICAP Server with Squid"))</formula>
    </cfRule>
  </conditionalFormatting>
  <conditionalFormatting sqref="CR148">
    <cfRule type="expression" dxfId="1028" priority="113">
      <formula>$CA$148="有"</formula>
    </cfRule>
    <cfRule type="expression" dxfId="1027" priority="629">
      <formula>AND($E$148="Microsoft 365版",$X$148="新規",$CA$148="有")</formula>
    </cfRule>
  </conditionalFormatting>
  <conditionalFormatting sqref="CR152:CS154">
    <cfRule type="expression" dxfId="1026" priority="411">
      <formula>$E$148="Microsoft 365版"</formula>
    </cfRule>
  </conditionalFormatting>
  <conditionalFormatting sqref="CR148:DL150">
    <cfRule type="expression" dxfId="1025" priority="99">
      <formula>AND($E$148="Outlook/Becky!/Thunderbird版",OR($X$148="追加",COUNTIF($X$148,"*更新*")&gt;0))</formula>
    </cfRule>
    <cfRule type="expression" dxfId="1024" priority="100">
      <formula>AND($E$148="Microsoft 365版",OR($X$148="追加",COUNTIF($X$148,"*更新*")&gt;0))</formula>
    </cfRule>
    <cfRule type="notContainsBlanks" dxfId="1023" priority="89" stopIfTrue="1">
      <formula>LEN(TRIM(CR148))&gt;0</formula>
    </cfRule>
    <cfRule type="expression" dxfId="1022" priority="92">
      <formula>AND($E$148="Microsoft 365版",$X$148="新規",$CA$148,"無",$CH$148="無")</formula>
    </cfRule>
    <cfRule type="expression" dxfId="1021" priority="91">
      <formula>AND($E$148="Microsoft 365版",$X$148="新規",$CA$148,"無",$CH$148="有")</formula>
    </cfRule>
  </conditionalFormatting>
  <conditionalFormatting sqref="CT72 CP72">
    <cfRule type="expression" dxfId="1020" priority="18997">
      <formula>OR($AL$72="新規",$AL$72="乗換")</formula>
    </cfRule>
  </conditionalFormatting>
  <conditionalFormatting sqref="CT72">
    <cfRule type="expression" dxfId="1019" priority="19582">
      <formula>$AK$83="有"</formula>
    </cfRule>
    <cfRule type="expression" dxfId="1018" priority="19581">
      <formula>AND($AL$72&lt;&gt;"",$AL$72&lt;&gt;"新規")</formula>
    </cfRule>
  </conditionalFormatting>
  <conditionalFormatting sqref="CT90">
    <cfRule type="expression" dxfId="1017" priority="19060">
      <formula>OR($AL$90="バージョンアップ",$AL$90="更新",$AL$90="更新(バージョンアップ同時)",$AL$90="更新(減数)",$AL$90="追加",$AL$90="追加(更新同時)",$AL$90="追加(バージョンアップ同時)",$AL$90="追加(更新・バージョンアップ同時)",$AL$90="保守更新",$AL$90="保守更新(減数)",,$AL$90="追加(保守更新同時)")</formula>
    </cfRule>
  </conditionalFormatting>
  <conditionalFormatting sqref="CT94">
    <cfRule type="notContainsBlanks" dxfId="1016" priority="18960">
      <formula>LEN(TRIM(CT94))&gt;0</formula>
    </cfRule>
  </conditionalFormatting>
  <conditionalFormatting sqref="CU76 DB76">
    <cfRule type="expression" dxfId="1015" priority="309">
      <formula>$AL$72="更新(減数)"</formula>
    </cfRule>
    <cfRule type="expression" dxfId="1014" priority="308">
      <formula>AND(COUNTIF($AL$72,"*更新*")&gt;0,COUNTIF($AL$72,"*減数*")=0,COUNTIF($AL$72,"*追加*")=0,COUNTIF($AL$72,"*移行*")=0)</formula>
    </cfRule>
  </conditionalFormatting>
  <conditionalFormatting sqref="CU76">
    <cfRule type="expression" dxfId="1013" priority="307">
      <formula>$E$72&lt;&gt;"i‐FILTER_Ver.8.x以下"</formula>
    </cfRule>
  </conditionalFormatting>
  <conditionalFormatting sqref="CU97:DD102 DE94 DK94:DL96 DE97 DK97 AR100 B97:H97 AR97 U97:AQ99 B98:G99">
    <cfRule type="expression" dxfId="1012" priority="122">
      <formula>$E$90="m‐FILTER_Ver.3.x以下"</formula>
    </cfRule>
  </conditionalFormatting>
  <conditionalFormatting sqref="CU97:DD102">
    <cfRule type="expression" dxfId="1011" priority="121">
      <formula>COUNTIF($DK$97,"有")&gt;0</formula>
    </cfRule>
  </conditionalFormatting>
  <conditionalFormatting sqref="CU100:DD102">
    <cfRule type="expression" dxfId="1010" priority="222">
      <formula>OR($DC$97="",$DC$97="無")</formula>
    </cfRule>
  </conditionalFormatting>
  <conditionalFormatting sqref="CV94">
    <cfRule type="expression" dxfId="1009" priority="179">
      <formula>$E$90=""</formula>
    </cfRule>
    <cfRule type="expression" dxfId="1008" priority="182">
      <formula>OR($E$90="m‐FILTER_Ver.4__Ver.4.82以上",$E$90="m‐FILTER_Ver.4__Ver.4.81以下")</formula>
    </cfRule>
    <cfRule type="expression" dxfId="1007" priority="187">
      <formula>$F$94="無"</formula>
    </cfRule>
    <cfRule type="expression" dxfId="1006" priority="185">
      <formula>$AL$90="更新(バージョンアップ同時)"</formula>
    </cfRule>
    <cfRule type="expression" dxfId="1005" priority="186">
      <formula>$E$90="m‐FILTER_Ver.3.x以下"</formula>
    </cfRule>
    <cfRule type="expression" dxfId="1004" priority="184">
      <formula>OR($AL$90="更新",$AL$90="保守更新")</formula>
    </cfRule>
    <cfRule type="expression" dxfId="1003" priority="183">
      <formula>OR($AL$90="保守更新(減数)",$AL$90="更新(減数)")</formula>
    </cfRule>
  </conditionalFormatting>
  <conditionalFormatting sqref="CV94:DD96">
    <cfRule type="expression" dxfId="1002" priority="170">
      <formula>$CN$94="有"</formula>
    </cfRule>
  </conditionalFormatting>
  <conditionalFormatting sqref="CZ76">
    <cfRule type="expression" dxfId="1001" priority="272">
      <formula>$E$72&lt;&gt;"i‐FILTER_Ver.8.x以下"</formula>
    </cfRule>
    <cfRule type="expression" dxfId="1000" priority="279">
      <formula>$E$72="i‐FILTER_Ver.8.x以下"</formula>
    </cfRule>
  </conditionalFormatting>
  <conditionalFormatting sqref="CZ76:DA78 DG76:DH78 B76:CC78 BD72:BQ74 B79 J79 L79">
    <cfRule type="expression" dxfId="999" priority="294">
      <formula>AND(COUNTIF($AL$72,"*更新*")&gt;0,COUNTIF($AL$72,"*減数*")=0,COUNTIF($AL$72,"*追加*")=0,COUNTIF($AL$72,"*移行*")=0)</formula>
    </cfRule>
  </conditionalFormatting>
  <conditionalFormatting sqref="CZ76:DA78 DG76:DH78 B76:CC78 BL72:BQ74 B79 J79 L79">
    <cfRule type="expression" dxfId="998" priority="302">
      <formula>$AL$72="更新(減数)"</formula>
    </cfRule>
  </conditionalFormatting>
  <conditionalFormatting sqref="CZ76:DA78 DG76:DH78">
    <cfRule type="notContainsBlanks" dxfId="997" priority="276">
      <formula>LEN(TRIM(CZ76))&gt;0</formula>
    </cfRule>
  </conditionalFormatting>
  <conditionalFormatting sqref="DB76">
    <cfRule type="expression" dxfId="996" priority="313">
      <formula>$E$72&lt;&gt;"i‐FILTER_Ver.8.x以下"</formula>
    </cfRule>
  </conditionalFormatting>
  <conditionalFormatting sqref="DC94">
    <cfRule type="notContainsBlanks" dxfId="995" priority="188">
      <formula>LEN(TRIM(DC94))&gt;0</formula>
    </cfRule>
    <cfRule type="expression" dxfId="994" priority="172">
      <formula>$E$90=""</formula>
    </cfRule>
  </conditionalFormatting>
  <conditionalFormatting sqref="DC94:DD96">
    <cfRule type="expression" dxfId="993" priority="177">
      <formula>$E$90="m‐FILTER_Ver.3.x以下"</formula>
    </cfRule>
    <cfRule type="expression" dxfId="992" priority="176">
      <formula>$AL$90="更新(バージョンアップ同時)"</formula>
    </cfRule>
    <cfRule type="expression" dxfId="991" priority="175">
      <formula>OR($AL$90="更新",$AL$90="保守更新")</formula>
    </cfRule>
    <cfRule type="expression" dxfId="990" priority="173">
      <formula>OR($E$90="m‐FILTER_Ver.4__Ver.4.82以上",$E$90="m‐FILTER_Ver.4__Ver.4.81以下")</formula>
    </cfRule>
    <cfRule type="expression" dxfId="989" priority="137">
      <formula>OR($F$94="",$F$94="無")</formula>
    </cfRule>
    <cfRule type="expression" dxfId="988" priority="174">
      <formula>OR($AL$90="保守更新(減数)",$AL$90="更新(減数)")</formula>
    </cfRule>
  </conditionalFormatting>
  <conditionalFormatting sqref="DC100:DD102">
    <cfRule type="expression" dxfId="987" priority="233">
      <formula>$DC$97="有"</formula>
    </cfRule>
  </conditionalFormatting>
  <conditionalFormatting sqref="DE94:DJ96">
    <cfRule type="expression" dxfId="986" priority="144">
      <formula>AND($E$90="m‐FILTER_Ver.5",OR($AL$90="新規",$AL$90="バージョンアップ",$AL$90="追加",$AL$90="追加(バージョンアップ同時)",$AL$90="追加(更新同時)",$AL$90="追加(更新・バージョンアップ同時)"),$F$94="有")</formula>
    </cfRule>
  </conditionalFormatting>
  <conditionalFormatting sqref="DE94:DL96">
    <cfRule type="expression" dxfId="985" priority="152">
      <formula>OR($F$94="",$F$94="無")</formula>
    </cfRule>
    <cfRule type="expression" dxfId="984" priority="242">
      <formula>OR($S$94="有",$S$94="無",$S$94="")</formula>
    </cfRule>
    <cfRule type="expression" dxfId="983" priority="191">
      <formula>OR($S$94="",$S$94="無")</formula>
    </cfRule>
  </conditionalFormatting>
  <conditionalFormatting sqref="DE97:DL99">
    <cfRule type="expression" dxfId="982" priority="195">
      <formula>$DC$97="有"</formula>
    </cfRule>
  </conditionalFormatting>
  <conditionalFormatting sqref="DF134:DL138">
    <cfRule type="expression" dxfId="981" priority="518">
      <formula>OR($DF$134="",$DF$134="いいえ")</formula>
    </cfRule>
  </conditionalFormatting>
  <conditionalFormatting sqref="DG76">
    <cfRule type="expression" dxfId="980" priority="261">
      <formula>$E$72&lt;&gt;"i‐FILTER_Ver.8.x以下"</formula>
    </cfRule>
    <cfRule type="expression" dxfId="979" priority="268">
      <formula>$E$72="i‐FILTER_Ver.8.x以下"</formula>
    </cfRule>
  </conditionalFormatting>
  <conditionalFormatting sqref="DG106">
    <cfRule type="expression" dxfId="978" priority="19301">
      <formula>$CN$94="有"</formula>
    </cfRule>
    <cfRule type="expression" dxfId="977" priority="19299">
      <formula>$DG$106="はい"</formula>
    </cfRule>
    <cfRule type="expression" dxfId="976" priority="19300">
      <formula>$DG$106="いいえ"</formula>
    </cfRule>
  </conditionalFormatting>
  <conditionalFormatting sqref="DG109">
    <cfRule type="cellIs" dxfId="975" priority="465" operator="equal">
      <formula>"はい"</formula>
    </cfRule>
    <cfRule type="expression" dxfId="974" priority="18230">
      <formula>$Y$94="無"</formula>
    </cfRule>
  </conditionalFormatting>
  <conditionalFormatting sqref="DG120 CT120">
    <cfRule type="expression" dxfId="973" priority="18983">
      <formula>$CR$120="無"</formula>
    </cfRule>
  </conditionalFormatting>
  <conditionalFormatting sqref="DG120">
    <cfRule type="cellIs" dxfId="972" priority="546" operator="equal">
      <formula>"未提出(×)"</formula>
    </cfRule>
    <cfRule type="expression" dxfId="971" priority="18986">
      <formula>$CR$120="有"</formula>
    </cfRule>
    <cfRule type="notContainsBlanks" dxfId="970" priority="18985" stopIfTrue="1">
      <formula>LEN(TRIM(DG120))&gt;0</formula>
    </cfRule>
  </conditionalFormatting>
  <conditionalFormatting sqref="DI76">
    <cfRule type="expression" dxfId="969" priority="315">
      <formula>$AL$72="更新(減数)"</formula>
    </cfRule>
    <cfRule type="expression" dxfId="968" priority="314">
      <formula>AND(COUNTIF($AL$72,"*更新*")&gt;0,COUNTIF($AL$72,"*減数*")=0,COUNTIF($AL$72,"*追加*")=0,COUNTIF($AL$72,"*移行*")=0)</formula>
    </cfRule>
  </conditionalFormatting>
  <conditionalFormatting sqref="DK94:DL96 B97:H97 AR97 DK97 U97:AQ99 CU97:DD102 DE94 DE97 B98:G99">
    <cfRule type="expression" dxfId="967" priority="29">
      <formula>OR($E$90="m‐FILTER_Ver.4__Ver.4.82以上",$E$90="m‐FILTER_Ver.4__Ver.4.81以下")</formula>
    </cfRule>
  </conditionalFormatting>
  <conditionalFormatting sqref="DK94:DL96">
    <cfRule type="expression" dxfId="966" priority="145">
      <formula>AND($E$90="m‐FILTER_Ver.5",OR($AL$90="新規",$AL$90="バージョンアップ",$AL$90="追加",$AL$90="追加(バージョンアップ同時)",$AL$90="追加(更新同時)",$AL$90="追加(更新・バージョンアップ同時)"),$F$94="有")</formula>
    </cfRule>
  </conditionalFormatting>
  <dataValidations xWindow="423" yWindow="634" count="76">
    <dataValidation type="list" allowBlank="1" showInputMessage="1" showErrorMessage="1" sqref="AY148 BU90 BU72 BE142" xr:uid="{34507F27-C355-4259-BD57-694965A9A221}">
      <formula1>"1年,2年,3年,4年,5年"</formula1>
    </dataValidation>
    <dataValidation type="list" allowBlank="1" showInputMessage="1" showErrorMessage="1" sqref="CF142 F94 M94 S94 H100 CT94 W76 CR120 BH76 CN94:CO96 BB76 H76 Y123:Z125 CH116 DC94:DD96 DK97:DL99 CA148:CC150 AG97:AH99 J79:K81 CM76:CM78 CR152:CS154 BQ97:BR99" xr:uid="{D3422FF1-A514-4A01-B162-375556ED7119}">
      <formula1>"有,無"</formula1>
    </dataValidation>
    <dataValidation type="list" allowBlank="1" showInputMessage="1" showErrorMessage="1" sqref="Z90" xr:uid="{0737065E-E8F4-4A7A-B982-D2F884CE735A}">
      <formula1>"スタンダード,アカデミック"</formula1>
    </dataValidation>
    <dataValidation type="list" allowBlank="1" showInputMessage="1" showErrorMessage="1" sqref="DG106 DG109 DF134:DK138 AF137 AF133 AF130" xr:uid="{12BC941E-4401-42A6-986B-D945D0CBE1BE}">
      <formula1>"はい,いいえ"</formula1>
    </dataValidation>
    <dataValidation type="list" allowBlank="1" showInputMessage="1" showErrorMessage="1" sqref="AK94:AY96" xr:uid="{0AC917FD-466D-4CDA-9D02-748CE9C2659B}">
      <formula1>"有/FinalCode保有,有/FinalCodeを同時購入,無"</formula1>
    </dataValidation>
    <dataValidation type="list" allowBlank="1" showInputMessage="1" showErrorMessage="1" sqref="AQ76" xr:uid="{61B04777-FAB3-4359-859A-AE2942D1A580}">
      <formula1>"有/FE,有/DDI,無"</formula1>
    </dataValidation>
    <dataValidation type="list" allowBlank="1" showInputMessage="1" showErrorMessage="1" sqref="E72" xr:uid="{97C62099-0B05-4A4D-A298-1097AAD6B9D2}">
      <formula1>iF製品区分</formula1>
    </dataValidation>
    <dataValidation imeMode="off" allowBlank="1" showInputMessage="1" showErrorMessage="1" sqref="CF56:DB63" xr:uid="{45F35ABD-D17C-4725-9F9A-096EBE4F1BD5}"/>
    <dataValidation type="custom" imeMode="disabled" allowBlank="1" showInputMessage="1" showErrorMessage="1" errorTitle="E-Mail形式ではありません。" error="「,」「..」「/」のいずれかが含まれるか、「＠」がありません。" sqref="K120:Z122" xr:uid="{C70C30C3-7E00-4CCB-AF49-1AD663D036A9}">
      <formula1>COUNTIF(K120,"*,*")+COUNTIF(K120,"*..*")+COUNTIF(K120,"*/*")+COUNTIF(K120,"&lt;&gt;*@*")=0</formula1>
    </dataValidation>
    <dataValidation type="list" allowBlank="1" showInputMessage="1" showErrorMessage="1" sqref="AL90:BC92" xr:uid="{AE4FCE83-B64B-4EC7-8A44-D0E043D46276}">
      <formula1>INDEX(INDIRECT(E90),0,1)</formula1>
    </dataValidation>
    <dataValidation type="list" allowBlank="1" showInputMessage="1" showErrorMessage="1" sqref="E90" xr:uid="{BABC7A62-E4F3-4FC3-84E1-68FEB9816ACB}">
      <formula1>mF製品区分</formula1>
    </dataValidation>
    <dataValidation type="list" allowBlank="1" showInputMessage="1" showErrorMessage="1" sqref="AA94:AB96" xr:uid="{A20E84EB-FCB5-4205-861A-1AC9273DC0C9}">
      <formula1>"有"</formula1>
    </dataValidation>
    <dataValidation type="list" allowBlank="1" showInputMessage="1" showErrorMessage="1" sqref="AB76" xr:uid="{F9293F45-3188-4879-969F-3DB37B4E6E33}">
      <formula1>"カスペルスキー,シマンテック,トレンドマイクロ,エフセキュア,マカフィー"</formula1>
    </dataValidation>
    <dataValidation type="list" allowBlank="1" showInputMessage="1" showErrorMessage="1" sqref="E142" xr:uid="{5167F07A-7749-465E-BDD9-0A80738F9683}">
      <formula1>"i-FILTER ブラウザー&amp;クラウド"</formula1>
    </dataValidation>
    <dataValidation type="list" allowBlank="1" showInputMessage="1" showErrorMessage="1" sqref="X142" xr:uid="{D154EEB9-D836-492C-A382-1D8E0F09BBC6}">
      <formula1>"新規,更新,更新(減数),追加,追加(更新同時)"</formula1>
    </dataValidation>
    <dataValidation type="list" allowBlank="1" showInputMessage="1" showErrorMessage="1" sqref="AA116:AU118" xr:uid="{FC9F2A86-BC82-449D-9A5B-8948BB87B1B9}">
      <formula1>FinalCode_Ver.6_申請区分</formula1>
    </dataValidation>
    <dataValidation type="list" allowBlank="1" showInputMessage="1" showErrorMessage="1" sqref="E116" xr:uid="{05BE8F42-179E-4A29-8F3B-41B2A1DEA097}">
      <formula1>FinalCode_Ver.6_製品区分</formula1>
    </dataValidation>
    <dataValidation type="list" allowBlank="1" showInputMessage="1" showErrorMessage="1" sqref="AH120" xr:uid="{31DCF71C-6444-4D5F-A231-56037849D784}">
      <formula1>"有/m-FILTER保有,有/m-FILTERを同時購入,無"</formula1>
    </dataValidation>
    <dataValidation type="whole" operator="greaterThanOrEqual" allowBlank="1" showInputMessage="1" showErrorMessage="1" sqref="BP90:BQ92 BP72:BQ74 BF94:BI96" xr:uid="{847636EF-5D91-4787-93A5-D77A884067AD}">
      <formula1>1</formula1>
    </dataValidation>
    <dataValidation type="custom" allowBlank="1" showInputMessage="1" showErrorMessage="1" errorTitle="E-Mail形式ではありません。" error="「,」「..」「/」のいずれかが含まれるか、「＠」がありません。" sqref="AH120 AA120:AG122" xr:uid="{5932A01F-B449-4822-829F-765AAC8CCC19}">
      <formula1>COUNTIF(AA120,"*,*")+COUNTIF(AA120,"*..*")+COUNTIF(AA120,"*/*")+COUNTIF(AA120,"&lt;&gt;*@*")=0</formula1>
    </dataValidation>
    <dataValidation type="whole" imeMode="disabled" operator="greaterThanOrEqual" allowBlank="1" showInputMessage="1" showErrorMessage="1" sqref="BP142:BQ144 CF72:CG74 J20:L21 BR116:BS118 CF90:CG92" xr:uid="{9463F404-D50F-4469-968F-0CE7DB06F0DE}">
      <formula1>20</formula1>
    </dataValidation>
    <dataValidation type="whole" imeMode="disabled" allowBlank="1" showInputMessage="1" showErrorMessage="1" sqref="BN148:BO150 P20:T21 CJ72:CK74 CJ90:CK92 BV116:BW118 BT142:BU144" xr:uid="{5AE62747-C99E-4843-8F9A-7262F2D3794C}">
      <formula1>1</formula1>
      <formula2>12</formula2>
    </dataValidation>
    <dataValidation type="list" imeMode="on" allowBlank="1" showInputMessage="1" showErrorMessage="1" sqref="AZ42:BF44 AZ61:BF63" xr:uid="{09B11083-A407-420D-858A-37DD3F4FAC9B}">
      <formula1>"はい,いいえ"</formula1>
    </dataValidation>
    <dataValidation type="custom" imeMode="disabled" allowBlank="1" showInputMessage="1" showErrorMessage="1" promptTitle="入力方法" prompt="(例)03-1111-2222_x000a_のように半角数字で_x000a_ハイフンを入れて_x000a_入力してください" sqref="G40:AA41 BN43:CJ44 BN30:CJ31 G59:AA60" xr:uid="{5D0F2EE6-52CE-4887-A923-7C4A776EDBE0}">
      <formula1>AND(COUNTIF(G30,"*-*"),LEN(G30)=LENB(G30),LEN(G30)&lt;14)</formula1>
    </dataValidation>
    <dataValidation type="custom" imeMode="disabled" operator="equal" allowBlank="1" showInputMessage="1" showErrorMessage="1" promptTitle="入力方法" prompt="半角数字でハイフンを入れて入力をしてください。" sqref="BT37:CD38 M33:W34 BT24:CD25 M52:W53" xr:uid="{262328DF-8DCB-4CF8-A39C-90C221B9E658}">
      <formula1>AND(COUNTIF(M24,"*-*"),LEN(M24)=LENB(M24),LEN(M24)=8)</formula1>
    </dataValidation>
    <dataValidation type="custom" imeMode="fullKatakana" allowBlank="1" showInputMessage="1" showErrorMessage="1" error="全角カタカナで入力してください" prompt="全角カタカナで入力してください。" sqref="AG37:BF37 AG56:BF56 G49" xr:uid="{BF364A3D-E1CD-44FD-BB19-ECAD6E868513}">
      <formula1>AND(G37=DBCS(G37))</formula1>
    </dataValidation>
    <dataValidation type="custom" imeMode="fullKatakana" allowBlank="1" showInputMessage="1" showErrorMessage="1" error="全角カナで入力してください" prompt="全角カタカナで入力してください。" sqref="G30" xr:uid="{93B2EAEE-EDF3-4B23-89A9-977F44A279DB}">
      <formula1>AND(G30=DBCS(G30))</formula1>
    </dataValidation>
    <dataValidation type="list" imeMode="on" allowBlank="1" showInputMessage="1" showErrorMessage="1" sqref="CK24:CU25 AD33:AN34 CK37:CU38 AD52:AN53" xr:uid="{BC48B2BC-9B3A-4454-9A4D-D398A92F86BF}">
      <formula1>都道府県</formula1>
    </dataValidation>
    <dataValidation type="list" allowBlank="1" showInputMessage="1" showErrorMessage="1" sqref="DE20:DK21 DE33:DK34" xr:uid="{56D76C26-EF56-40E8-951D-CCA57271FF07}">
      <formula1>"同じ,異なる"</formula1>
    </dataValidation>
    <dataValidation type="list" imeMode="off" allowBlank="1" showInputMessage="1" showErrorMessage="1" prompt="ご発注対象製品をプルダウンよりご選択ください。" sqref="BI54:CE55" xr:uid="{48717948-CA8F-419C-AD4B-118EC90272AB}">
      <formula1>"i‐FILTER,m‐FILTER,FinalCode Ver.6 VA,i-FILTER ブラウザー&amp;クラウド,m-FILTER MailAdviser"</formula1>
    </dataValidation>
    <dataValidation imeMode="off" allowBlank="1" showInputMessage="1" showErrorMessage="1" prompt="ご発注対象に対応するお見積番号をご入力ください。" sqref="CF54:DB55" xr:uid="{E2DF8220-3DE3-4821-B1B5-4AABEBBC92C4}"/>
    <dataValidation type="list" imeMode="off" allowBlank="1" showInputMessage="1" showErrorMessage="1" sqref="BI56:CE63" xr:uid="{4B2EB626-6EE6-4A46-A9EC-3D6172A10F2E}">
      <formula1>"i‐FILTER,m‐FILTER,FinalCode Ver.6 VA,i-FILTER ブラウザー&amp;クラウド,m-FILTER MailAdviser"</formula1>
    </dataValidation>
    <dataValidation type="custom" imeMode="on" allowBlank="1" showInputMessage="1" showErrorMessage="1" error="半角文字が入っている可能性があります。" promptTitle="入力方法" prompt="番地も含めてすべて全角で入力してください。" sqref="BT39:CM40 BT26:CM27" xr:uid="{F5A6AC57-4D3E-4F5D-ACBB-7A8B5754CA88}">
      <formula1>AND(BT26=DBCS(BT26))</formula1>
    </dataValidation>
    <dataValidation type="custom" imeMode="on" allowBlank="1" showInputMessage="1" showErrorMessage="1" error="半角文字が入っている可能性があります。" promptTitle="入力方法" prompt="階数なども含めてすべて全角で入力してください。" sqref="CT39:DK40 AM35:BF36 AM54:BF55 CT26:DK27" xr:uid="{A5D551BC-8A64-48FC-AC18-5BF06BBEC3ED}">
      <formula1>AND(AM26=DBCS(AM26))</formula1>
    </dataValidation>
    <dataValidation type="custom" imeMode="on" allowBlank="1" showInputMessage="1" showErrorMessage="1" error="半角文字が入っている可能性があります。" prompt="全角文字で入力してください。" sqref="BN22 G56:AA58 AG38:BF39 G50 AU33:BF34 CP28:DK29 CP41:DK42 BN35 G37:AA39 BN28:CJ29 BN41:CJ42 DB24:DK25 DB37:DK38 AU52:BF53 AG57:BF58" xr:uid="{8B49496C-60D6-40E5-A8B4-585C2FDB6970}">
      <formula1>AND(G22=DBCS(G22))</formula1>
    </dataValidation>
    <dataValidation type="custom" imeMode="on" allowBlank="1" showInputMessage="1" showErrorMessage="1" error="半角文字が入っている可能性があります。" prompt="番地も含めてすべて全角で入力してください。" sqref="M35:AF36 M54:AF55" xr:uid="{96AC7EFF-BE8A-48A3-9116-EE8535797B90}">
      <formula1>AND(M35=DBCS(M35))</formula1>
    </dataValidation>
    <dataValidation type="custom" imeMode="disabled" allowBlank="1" showInputMessage="1" showErrorMessage="1" error="半角英数字で入力してください" sqref="BI50:DB51" xr:uid="{41C68A93-B519-43AA-808F-55CABBBCFAD7}">
      <formula1>LENB(BI50)=LEN(BI50)</formula1>
    </dataValidation>
    <dataValidation type="list" allowBlank="1" showInputMessage="1" showErrorMessage="1" sqref="BG116:BI118" xr:uid="{7A1E0AC9-BFF1-4AAB-8F34-EB34E070A85E}">
      <formula1>契約期間</formula1>
    </dataValidation>
    <dataValidation type="list" allowBlank="1" showInputMessage="1" showErrorMessage="1" sqref="DG120" xr:uid="{F80A8F02-E6CE-420A-B788-227636F618E9}">
      <formula1>"提出済(○),未提出(×)"</formula1>
    </dataValidation>
    <dataValidation type="whole" imeMode="disabled" allowBlank="1" showInputMessage="1" showErrorMessage="1" sqref="X20:AB21" xr:uid="{9600712A-46B1-4CA6-A1DD-1C46C8423951}">
      <formula1>1</formula1>
      <formula2>31</formula2>
    </dataValidation>
    <dataValidation type="whole" imeMode="disabled" operator="greaterThanOrEqual" allowBlank="1" showInputMessage="1" showErrorMessage="1" sqref="CK120:CM122" xr:uid="{4763509A-9F40-410A-B566-C46172BCB0D7}">
      <formula1>0</formula1>
    </dataValidation>
    <dataValidation type="whole" imeMode="disabled" operator="greaterThanOrEqual" allowBlank="1" showInputMessage="1" showErrorMessage="1" sqref="AZ142:BA144" xr:uid="{518D5BF7-5A59-472D-ADC8-8EEB7B275AAA}">
      <formula1>1</formula1>
    </dataValidation>
    <dataValidation imeMode="disabled" allowBlank="1" showInputMessage="1" showErrorMessage="1" sqref="CP142:DL144 AY120:BP122 CO116:DL118 BQ94:CH96 CT72:DL74 CT90:DL92 CK148" xr:uid="{ECE4CAC7-DFA3-49EB-9309-6C75F967E0D2}"/>
    <dataValidation type="list" imeMode="hiragana" allowBlank="1" showInputMessage="1" showErrorMessage="1" error="半角文字が入っている可能性があります。" sqref="G31" xr:uid="{0A98523D-2CFD-4DF5-AE71-B9CD42B9A672}">
      <formula1>法人格_前</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616DBC7B-3334-4302-91C8-5461ADCD7343}">
      <formula1>AND(Q31=DBCS(Q31))</formula1>
    </dataValidation>
    <dataValidation type="list" imeMode="hiragana" allowBlank="1" showInputMessage="1" showErrorMessage="1" error="半角文字が入っている可能性があります。" sqref="AZ31" xr:uid="{214C1C18-DF39-413E-B85F-3C699CFDBB96}">
      <formula1>法人格_後</formula1>
    </dataValidation>
    <dataValidation type="list" allowBlank="1" showInputMessage="1" showErrorMessage="1" sqref="AI90:AK92" xr:uid="{C201464A-C500-48C3-A9AC-2A4303AEC1D2}">
      <formula1>INDEX(INDIRECT(N90),0,1)</formula1>
    </dataValidation>
    <dataValidation type="list" allowBlank="1" showInputMessage="1" showErrorMessage="1" sqref="U72:AH74" xr:uid="{932624E7-8C6F-47C9-88B6-2D1402E06972}">
      <formula1>INDEX(INDIRECT(E72),0,1)</formula1>
    </dataValidation>
    <dataValidation type="list" allowBlank="1" showInputMessage="1" showErrorMessage="1" sqref="AL72:BC74" xr:uid="{CD25E31B-69D1-48F8-9ECF-394D705E2D2D}">
      <formula1>IF(AND(RIGHT($E$72,2)="10",$U$72="アカデミックサイトライセンス"),INDEX(INDIRECT(E72),0,3),IF(AND(RIGHT($E$72,2)="10",$U$72="GIGAスクール版"),INDEX(INDIRECT(E72),0,4),INDEX(INDIRECT(E72),0,2)))</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C511E595-659A-4AB9-96D5-A9B084E3645A}">
      <formula1>業種</formula1>
    </dataValidation>
    <dataValidation type="custom" imeMode="disabled" allowBlank="1" showInputMessage="1" showErrorMessage="1" errorTitle="E-Mail形式ではありません。" error="「,」「..」「/」「;」「:」「&lt;」「&gt;」のいずれかが含まれるか、「＠」がありません。" sqref="G25:AD26 AG40:BF41 CP30:DL31 CP43:DL44 AJ25:BF26 AG59:BF60" xr:uid="{E70F97F5-2562-4AE6-B501-59F3D213798A}">
      <formula1>COUNTIF(G25,"*,*")+COUNTIF(G25,"*..*")+COUNTIF(G25,"*&lt;*")+COUNTIF(G25,"*&gt;*")+COUNTIF(G25,"*;*")+COUNTIF(G25,"*:*")+COUNTIF(G25,"*/*")+COUNTIF(G25,"&lt;&gt;*@*")=0</formula1>
    </dataValidation>
    <dataValidation type="whole" operator="greaterThanOrEqual" allowBlank="1" showInputMessage="1" showErrorMessage="1" prompt="「追加」のときは追加後の合計ライセンス数を入力してください" sqref="BH72:BK74 BH90:BK92 AZ116:BC118 AR142:AU144 AR148:AU150" xr:uid="{D431E149-3BED-4138-BEDA-1995EE42E016}">
      <formula1>1</formula1>
    </dataValidation>
    <dataValidation type="list" imeMode="disabled" allowBlank="1" showInputMessage="1" showErrorMessage="1" errorTitle="E-Mail形式ではありません。" error="「,」「..」「/」のいずれかが含まれるか、「＠」がありません。" prompt="オフライン環境で暗号化とファイル閲覧を実施する場合は『オフライン暗号・閲覧オプション』、オフライン環境でファイル閲覧のみを実施する場合は『オフライン閲覧オプション』をご選択ください。" sqref="K123:L125" xr:uid="{094ECB69-FF91-49E4-ABAD-3120CE941D91}">
      <formula1>"有,無"</formula1>
    </dataValidation>
    <dataValidation type="list" allowBlank="1" showInputMessage="1" showErrorMessage="1" promptTitle="File Scanについて" prompt="「マクロ除去」機能のご利用に必要なオプションです。_x000a_2018年7月2日出荷以降のVer.5の「MailFilter」もしくは「Archive」を新規でご購入の場合は標準搭載機能です。" sqref="Y94:Z96" xr:uid="{77196F91-36CB-4001-A74A-35C0B8A0BEBE}">
      <formula1>"有,無"</formula1>
    </dataValidation>
    <dataValidation type="list" operator="greaterThanOrEqual" allowBlank="1" showInputMessage="1" showErrorMessage="1" sqref="DC97:DD99" xr:uid="{A414098F-F487-4D30-A11B-C029E70C2BD9}">
      <formula1>"有,無"</formula1>
    </dataValidation>
    <dataValidation type="list"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DK94:DL96 BK152" xr:uid="{20C68CB0-1927-4AC1-9F71-4F02FECDA829}">
      <formula1>"有,無"</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AR97" xr:uid="{8BE5F04C-8745-46C6-8FF0-0D04369C2F66}">
      <formula1>AND(COUNTIF(AR97,"*,*")+COUNTIF(AR97,"*..*")+COUNTIF(AR97,"*&lt;*")+COUNTIF(AR97,"*&gt;*")+COUNTIF(AR97,"*;*")+COUNTIF(AG59,"*:*")+COUNTIF(AR97,"*/*")+COUNTIF(AR97,"&lt;&gt;*@*")=0,LEN(AR97)&lt;65)</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BU152 BM152" xr:uid="{748AA1CB-F089-4EAB-8770-B33894E9C51A}">
      <formula1>AND(COUNTIF(BM152,"*,*")+COUNTIF(BM152,"*..*")+COUNTIF(BM152,"*&lt;*")+COUNTIF(BM152,"*&gt;*")+COUNTIF(BM152,"*;*")+COUNTIF(BM152,"*:*")+COUNTIF(BM152,"*/*")+COUNTIF(BM152,"&lt;&gt;*@*")=0,LEN(BM152)&lt;65)</formula1>
    </dataValidation>
    <dataValidation type="custom" allowBlank="1" showInputMessage="1" showErrorMessage="1" errorTitle="E-Mail形式ではないか、文字数がオーバーしています。" error="「,」「..」「/」「;」「:」「&lt;」「&gt;」のいずれかが含まれるか、「＠」がありません。_x000a_もしくは入力されたアドレスの文字数が65文字以上になっています。" sqref="BR83:CO84 BQ83:BQ85" xr:uid="{2412E170-EC6F-4FBA-A578-5ABDE23AA739}">
      <formula1>AND(COUNTIF(BQ83,"*,*")+COUNTIF(BQ83,"*..*")+COUNTIF(BQ83,"*&lt;*")+COUNTIF(BQ83,"*&gt;*")+COUNTIF(BQ83,"*;*")+COUNTIF(BQ83,"*:*")+COUNTIF(BQ83,"*/*")+COUNTIF(BQ83,"&lt;&gt;*@*")=0,LEN(BQ83)&lt;65)</formula1>
    </dataValidation>
    <dataValidation type="list" allowBlank="1" showInputMessage="1" showErrorMessage="1" prompt="オフライン環境で暗号化とファイル閲覧を実施する場合は『オフライン暗号・閲覧オプション』、オフライン環境でファイル閲覧のみを実施する場合は『オフライン閲覧オプション』をご選択ください。" sqref="BW120:BX122" xr:uid="{D688A352-2898-4794-A728-5AFF933F155D}">
      <formula1>"有,無"</formula1>
    </dataValidation>
    <dataValidation type="list" allowBlank="1" showInputMessage="1" showErrorMessage="1" prompt="GIGAスクール版のお客様で_x000a_「子ども見守りシステム」(無償)を使用予定のお客様は_x000a_「有」をご選択ください。" sqref="BR76:BS78" xr:uid="{B48433F4-83F7-4AE3-974A-E1FBDC674E7A}">
      <formula1>有無</formula1>
    </dataValidation>
    <dataValidation type="list" allowBlank="1" showInputMessage="1" showErrorMessage="1" prompt="「子ども見守りシステム」を使用予定のお客様で_x000a_パトランプ（メル丸くん）を弊社から購入予定のお客様は_x000a_「有」をご選択ください。" sqref="CB76:CC78" xr:uid="{18BDE203-281D-471B-9903-D330276B4772}">
      <formula1>"有,無"</formula1>
    </dataValidation>
    <dataValidation type="list" allowBlank="1" showInputMessage="1" showErrorMessage="1" sqref="DG76:DH78 CZ76:DA78" xr:uid="{03C39F51-2C7C-42F3-9659-30838A83D36B}">
      <formula1>有無</formula1>
    </dataValidation>
    <dataValidation type="whole" operator="greaterThanOrEqual" allowBlank="1" showInputMessage="1" showErrorMessage="1" promptTitle="i-FILTER Global DataBaseのライセンス数" prompt="i-FILTER Global DataBaseのライセンス数をご入力ください_x000a_（「i-FILTER Ver.10」のライセンス数以下）" sqref="N76:Q78" xr:uid="{7F01027B-A651-43B0-AF26-13C90B3AE290}">
      <formula1>1</formula1>
    </dataValidation>
    <dataValidation type="list" allowBlank="1" showInputMessage="1" showErrorMessage="1" promptTitle="Dアラート通知先について" prompt="【Dアラート通知を希望する場合】_x000a_・「はい/お客様アドレス」を選択した場合_x000a_「エンドユーザー様情報欄」に入力した「E-mail」宛に通知されます。_x000a_・「はい/通知先記入」を選択した場合_x000a_「Dアラート通知先」に登録されたアドレス宛に通知されます。_x000a__x000a_【Dアラート通知が不要な場合】_x000a_・「いいえ」を選択してください。" sqref="AX83:BL86" xr:uid="{C9573C19-C86E-44BF-B9A3-B9B84367B5D6}">
      <formula1>"はい/お客様アドレス,はい/通知先記入,いいえ"</formula1>
    </dataValidation>
    <dataValidation type="custom" imeMode="on" allowBlank="1" showInputMessage="1" showErrorMessage="1" error="半角文字が入っている可能性があります。" sqref="AO50:AZ51" xr:uid="{126B470E-CFED-4EA7-AF84-46DA989E5D8A}">
      <formula1>AND(AO50=DBCS(AO50))</formula1>
    </dataValidation>
    <dataValidation imeMode="on" allowBlank="1" showInputMessage="1" showErrorMessage="1" error="半角文字が入っている可能性があります。" sqref="BA50:BF51" xr:uid="{813D56A7-875D-4795-89F4-20DBF37E4298}"/>
    <dataValidation type="list" allowBlank="1" showInputMessage="1" showErrorMessage="1" promptTitle="暗号化強固OPについて" prompt="FinalCodeの試用版からの引継ぎをご希望される場合は、_x000a_「有/暗号化強固OP保有あり」を選択し「FinalCode保有シリアル」欄に試用版のシリアルを記入してください。" sqref="H97:T99 I152:W154" xr:uid="{4C11B0BD-29BD-4A9F-8531-3660809DEE57}">
      <formula1>"有/暗号化強固OP保有あり,有/暗号化強固OP保有なし,無"</formula1>
    </dataValidation>
    <dataValidation type="custom" operator="greaterThanOrEqual" allowBlank="1" showInputMessage="1" showErrorMessage="1" error="購入しない場合は「無」を入力してください。_x000a_購入の場合は購入するサーバー台数を入力してください。" prompt="購入しない場合は「無」を入力してください。_x000a_購入の場合は購入するサーバー台数を入力してください。" sqref="DC100:DD102" xr:uid="{11033882-D623-421B-A5BE-4D14BB24BA7B}">
      <formula1>OR(AND(DC100&gt;=1,DC100&lt;=100),DC100="無")</formula1>
    </dataValidation>
    <dataValidation type="list" allowBlank="1" showInputMessage="1" showErrorMessage="1" sqref="E148:T150" xr:uid="{BF0633FA-795B-45FA-A1B4-6851260EAA2B}">
      <formula1>"Outlook/Becky!/Thunderbird版,Microsoft 365版"</formula1>
    </dataValidation>
    <dataValidation imeMode="disabled" allowBlank="1" showInputMessage="1" showErrorMessage="1" prompt="FinalCodeをご利用中の場合は、お使いのFinalCodeのシリアルを入力してください。_x000a_ご利用中でない場合、入力は不要です。" sqref="AF152:AY154" xr:uid="{29C04E15-14A9-4E41-88C1-029AC923B697}"/>
    <dataValidation allowBlank="1" showInputMessage="1" showErrorMessage="1" prompt="・ご利用中もしくは、試用版のMailAdviserのシリアルを入力してください。" sqref="CR148:DL150" xr:uid="{D8D7BC8C-B45F-4705-ACB2-C8F83824CEFD}"/>
    <dataValidation type="whole" imeMode="disabled" operator="greaterThanOrEqual" allowBlank="1" showInputMessage="1" showErrorMessage="1" sqref="BJ148:BK150" xr:uid="{8C8225D7-3A22-4A1E-BF29-98EFAA963469}">
      <formula1>23</formula1>
    </dataValidation>
    <dataValidation type="custom" allowBlank="1" showInputMessage="1" showErrorMessage="1" sqref="CD79:DA81 CI103:DL105" xr:uid="{05544880-364E-4705-AFF1-46F4DDB894EF}">
      <formula1>COUNTIF(CD79,"*,*")+COUNTIF(CD79,"*..*")+COUNTIF(CD79,"*&lt;*")+COUNTIF(CD79,"*&gt;*")+COUNTIF(CD79,"*;*")+COUNTIF(CD79,"*:*")+COUNTIF(CD79,"*/*")+COUNTIF(CD79,"&lt;&gt;*@*")=0</formula1>
    </dataValidation>
    <dataValidation type="list" allowBlank="1" showInputMessage="1" showErrorMessage="1" sqref="U100" xr:uid="{B9C24930-D1E4-4936-9024-82686D7F5067}">
      <formula1>クリプト便エディション</formula1>
    </dataValidation>
    <dataValidation type="custom" operator="greaterThanOrEqual" allowBlank="1" showInputMessage="1" showErrorMessage="1" error="・新規でクリプト便をご購入される場合_x000a_　ライセンス数以下での購入が可能です_x000a__x000a_・クリプト便を既に保有しており、ライセンス追加を希望される場合（2024/03/31までにクリプト便を契約していたユーザーが対象）_x000a_　Ver.5のお客様はライセンス数以下で購入が可能です_x000a_　Ver.5（優待）のお客様はライセンス数と同数の購入が必要となります" promptTitle="m-FILTER クリプト便 Adapterのライセンス数" prompt="・新規でクリプト便をご購入される場合_x000a_　ライセンス数以下での購入が可能です_x000a__x000a_・クリプト便を既に保有しており、ライセンス追加を希望される場合（2024/03/31までにクリプト便を契約していたユーザーが対象）_x000a_　Ver.5のお客様はライセンス数以下で購入が可能です_x000a_　Ver.5（優待）のお客様はライセンス数と同数の購入が必要となります" sqref="CG100:CK102" xr:uid="{64E8B438-A1C0-409F-91C1-5F559EF17EF6}">
      <formula1>CG100&lt;=BH90</formula1>
    </dataValidation>
  </dataValidations>
  <hyperlinks>
    <hyperlink ref="J85" r:id="rId1" xr:uid="{00000000-0004-0000-0200-000000000000}"/>
    <hyperlink ref="CP83:DL84" r:id="rId2" display="Dアラート通知先申請サイトはこちら" xr:uid="{00000000-0004-0000-0200-000001000000}"/>
    <hyperlink ref="A157" r:id="rId3" xr:uid="{AFB944F1-BBC6-4243-BEAE-154C426183E6}"/>
  </hyperlinks>
  <printOptions horizontalCentered="1"/>
  <pageMargins left="0.11811023622047245" right="0.11811023622047245" top="0.39370078740157483" bottom="0.19685039370078741" header="0.11811023622047245" footer="0.11811023622047245"/>
  <pageSetup paperSize="9" scale="66" fitToHeight="0" orientation="portrait" horizontalDpi="300" verticalDpi="300" r:id="rId4"/>
  <headerFooter>
    <oddFooter>&amp;LDigital Arts Inc.&amp;C&amp;P ページ&amp;R&amp;D</oddFooter>
  </headerFooter>
  <drawing r:id="rId5"/>
  <extLst>
    <ext xmlns:x14="http://schemas.microsoft.com/office/spreadsheetml/2009/9/main" uri="{78C0D931-6437-407d-A8EE-F0AAD7539E65}">
      <x14:conditionalFormattings>
        <x14:conditionalFormatting xmlns:xm="http://schemas.microsoft.com/office/excel/2006/main">
          <x14:cfRule type="expression" priority="54" id="{526A19B1-DBF7-4B79-B036-E6B379B94DE8}">
            <xm:f>お客様情報!$E$41&lt;&gt;"株式会社日立ソリューションズ"</xm:f>
            <x14:dxf>
              <font>
                <color theme="0" tint="-0.24994659260841701"/>
              </font>
              <fill>
                <patternFill>
                  <bgColor theme="0" tint="-0.24994659260841701"/>
                </patternFill>
              </fill>
            </x14:dxf>
          </x14:cfRule>
          <xm:sqref>M123:Z125</xm:sqref>
        </x14:conditionalFormatting>
      </x14:conditionalFormattings>
    </ext>
    <ext xmlns:x14="http://schemas.microsoft.com/office/spreadsheetml/2009/9/main" uri="{CCE6A557-97BC-4b89-ADB6-D9C93CAAB3DF}">
      <x14:dataValidations xmlns:xm="http://schemas.microsoft.com/office/excel/2006/main" xWindow="423" yWindow="634" count="3">
        <x14:dataValidation type="list" allowBlank="1" showInputMessage="1" showErrorMessage="1" xr:uid="{C3C672A4-3C0F-4649-A0F1-65FA35B83875}">
          <x14:formula1>
            <xm:f>'中間データ共通・Desk・f-FILTER・Z-FILTER'!$AA$34:$AA$37</xm:f>
          </x14:formula1>
          <xm:sqref>O103:AB105</xm:sqref>
        </x14:dataValidation>
        <x14:dataValidation type="list" allowBlank="1" showInputMessage="1" showErrorMessage="1" xr:uid="{8E52E565-D372-462A-9368-07172CF1D619}">
          <x14:formula1>
            <xm:f>INDEX(INDIRECT(中間データオンプレ!$Y$26),0,1)</xm:f>
          </x14:formula1>
          <xm:sqref>X148:AM150</xm:sqref>
        </x14:dataValidation>
        <x14:dataValidation type="list" allowBlank="1" showErrorMessage="1" xr:uid="{6B026855-CBB3-4B79-A913-E2C4A0DDC2CD}">
          <x14:formula1>
            <xm:f>'中間データ共通・Desk・f-FILTER・Z-FILTER'!$AA$34:$AA$37</xm:f>
          </x14:formula1>
          <xm:sqref>W79:AI81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X121"/>
  <sheetViews>
    <sheetView workbookViewId="0">
      <selection activeCell="J20" sqref="J20:L21"/>
    </sheetView>
  </sheetViews>
  <sheetFormatPr defaultColWidth="1.26953125" defaultRowHeight="7.5" customHeight="1"/>
  <cols>
    <col min="1" max="1" width="2.6328125" style="198" customWidth="1"/>
    <col min="2" max="2" width="1.26953125" style="198" customWidth="1"/>
    <col min="3" max="116" width="1.26953125" style="198"/>
    <col min="117" max="117" width="1.26953125" style="690" customWidth="1"/>
    <col min="118" max="118" width="8.08984375" style="45" bestFit="1" customWidth="1"/>
    <col min="119" max="122" width="1.26953125" style="45"/>
    <col min="123" max="123" width="1.26953125" style="45" customWidth="1"/>
    <col min="124" max="165" width="1.26953125" style="45"/>
    <col min="166" max="16384" width="1.26953125" style="198"/>
  </cols>
  <sheetData>
    <row r="1" spans="1:118" ht="7.5" customHeight="1">
      <c r="A1" s="879" t="s">
        <v>1521</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c r="BB1" s="879"/>
      <c r="BC1" s="879"/>
      <c r="BD1" s="879"/>
      <c r="BE1" s="879"/>
      <c r="BF1" s="879"/>
      <c r="BG1" s="879"/>
      <c r="BH1" s="879"/>
      <c r="BI1" s="879"/>
      <c r="BJ1" s="879"/>
      <c r="BK1" s="879"/>
      <c r="BL1" s="879"/>
      <c r="BM1" s="879"/>
      <c r="BN1" s="879"/>
      <c r="BO1" s="879"/>
      <c r="BP1" s="879"/>
      <c r="BQ1" s="879"/>
      <c r="BR1" s="879"/>
      <c r="BS1" s="879"/>
      <c r="BT1" s="879"/>
      <c r="BU1" s="879"/>
      <c r="BV1" s="879"/>
      <c r="BW1" s="879"/>
      <c r="BX1" s="879"/>
      <c r="BY1" s="879"/>
      <c r="BZ1" s="879"/>
      <c r="CA1" s="879"/>
      <c r="CB1" s="879"/>
      <c r="CC1" s="879"/>
      <c r="CD1" s="879"/>
      <c r="CE1" s="879"/>
      <c r="CF1" s="879"/>
      <c r="CG1" s="879"/>
      <c r="CH1" s="879"/>
      <c r="CI1" s="879"/>
      <c r="CJ1" s="879"/>
      <c r="CK1" s="879"/>
      <c r="CL1" s="879"/>
      <c r="CM1" s="879"/>
      <c r="CN1" s="879"/>
      <c r="CO1" s="879"/>
      <c r="CP1" s="879"/>
      <c r="CQ1" s="879"/>
      <c r="CR1" s="879"/>
      <c r="CS1" s="879"/>
      <c r="CT1" s="879"/>
      <c r="CU1" s="879"/>
      <c r="CV1" s="879"/>
      <c r="CW1" s="879"/>
      <c r="CX1" s="879"/>
      <c r="CY1" s="879"/>
      <c r="CZ1" s="879"/>
      <c r="DA1" s="879"/>
      <c r="DB1" s="879"/>
      <c r="DC1" s="879"/>
      <c r="DD1" s="879"/>
      <c r="DE1" s="879"/>
      <c r="DF1" s="879"/>
      <c r="DG1" s="879"/>
      <c r="DH1" s="879"/>
      <c r="DI1" s="879"/>
      <c r="DJ1" s="879"/>
      <c r="DK1" s="879"/>
      <c r="DL1" s="879"/>
      <c r="DM1" s="879"/>
      <c r="DN1" s="49"/>
    </row>
    <row r="2" spans="1:118" ht="7.5" customHeight="1">
      <c r="A2" s="879"/>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49"/>
    </row>
    <row r="3" spans="1:118" ht="7.5" customHeigh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49"/>
    </row>
    <row r="4" spans="1:118" ht="7.5" customHeight="1">
      <c r="A4" s="880" t="s">
        <v>1346</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80"/>
      <c r="BC4" s="880"/>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313"/>
      <c r="CV4" s="313"/>
      <c r="CW4" s="313"/>
      <c r="CX4" s="313"/>
      <c r="CY4" s="313"/>
      <c r="CZ4" s="313"/>
      <c r="DA4" s="313"/>
      <c r="DB4" s="313"/>
      <c r="DC4" s="313"/>
      <c r="DD4" s="313"/>
      <c r="DE4" s="313"/>
      <c r="DF4" s="313"/>
      <c r="DG4" s="313"/>
      <c r="DH4" s="313"/>
      <c r="DI4" s="313"/>
      <c r="DJ4" s="313"/>
      <c r="DK4" s="313"/>
      <c r="DL4" s="313"/>
      <c r="DM4" s="313"/>
      <c r="DN4" s="313"/>
    </row>
    <row r="5" spans="1:118" ht="7.5" customHeight="1">
      <c r="A5" s="880"/>
      <c r="B5" s="880"/>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313"/>
      <c r="CV5" s="313"/>
      <c r="CW5" s="313"/>
      <c r="CX5" s="313"/>
      <c r="CY5" s="313"/>
      <c r="CZ5" s="313"/>
      <c r="DA5" s="313"/>
      <c r="DB5" s="313"/>
      <c r="DC5" s="313"/>
      <c r="DD5" s="313"/>
      <c r="DE5" s="313"/>
      <c r="DF5" s="313"/>
      <c r="DG5" s="313"/>
      <c r="DH5" s="313"/>
      <c r="DI5" s="313"/>
      <c r="DJ5" s="313"/>
      <c r="DK5" s="313"/>
      <c r="DL5" s="313"/>
      <c r="DM5" s="313"/>
      <c r="DN5" s="313"/>
    </row>
    <row r="6" spans="1:118" ht="7.5" customHeight="1">
      <c r="A6" s="880"/>
      <c r="B6" s="880"/>
      <c r="C6" s="880"/>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313"/>
      <c r="CV6" s="313"/>
      <c r="CW6" s="313"/>
      <c r="CX6" s="313"/>
      <c r="CY6" s="313"/>
      <c r="CZ6" s="313"/>
      <c r="DA6" s="313"/>
      <c r="DB6" s="313"/>
      <c r="DC6" s="313"/>
      <c r="DD6" s="313"/>
      <c r="DE6" s="313"/>
      <c r="DF6" s="313"/>
      <c r="DG6" s="313"/>
      <c r="DH6" s="313"/>
      <c r="DI6" s="313"/>
      <c r="DJ6" s="313"/>
      <c r="DK6" s="313"/>
      <c r="DL6" s="313"/>
      <c r="DM6" s="313"/>
      <c r="DN6" s="313"/>
    </row>
    <row r="7" spans="1:118" ht="7.5" customHeight="1">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row>
    <row r="8" spans="1:118" ht="7.5" customHeight="1">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row>
    <row r="9" spans="1:118" ht="7.5" customHeight="1">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row>
    <row r="10" spans="1:118" ht="7.5" customHeight="1">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row>
    <row r="11" spans="1:118" ht="7.5" customHeight="1">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row>
    <row r="12" spans="1:118" ht="7.5" customHeight="1">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row>
    <row r="13" spans="1:118" ht="7.5" customHeight="1">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row>
    <row r="14" spans="1:118" ht="7.5" customHeight="1">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row>
    <row r="15" spans="1:118" ht="7.5" customHeight="1">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row>
    <row r="16" spans="1:118" ht="7.5" customHeight="1">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row>
    <row r="17" spans="1:120" ht="7.5" customHeight="1">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row>
    <row r="18" spans="1:120" ht="7.5" customHeight="1">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row>
    <row r="19" spans="1:120" ht="7.5" customHeight="1" thickBot="1">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row>
    <row r="20" spans="1:120" s="45" customFormat="1"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511</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c r="DM20" s="44"/>
    </row>
    <row r="21" spans="1:120"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c r="DM21" s="44"/>
    </row>
    <row r="22" spans="1:120" s="45" customFormat="1"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5" t="s">
        <v>1260</v>
      </c>
      <c r="CW22" s="846"/>
      <c r="CX22" s="846"/>
      <c r="CY22" s="846"/>
      <c r="CZ22" s="846"/>
      <c r="DA22" s="846"/>
      <c r="DB22" s="846"/>
      <c r="DC22" s="846"/>
      <c r="DD22" s="846"/>
      <c r="DE22" s="846"/>
      <c r="DF22" s="849"/>
      <c r="DG22" s="850"/>
      <c r="DH22" s="850"/>
      <c r="DI22" s="850"/>
      <c r="DJ22" s="850"/>
      <c r="DK22" s="851"/>
      <c r="DL22" s="47"/>
      <c r="DM22" s="44"/>
    </row>
    <row r="23" spans="1:120"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7"/>
      <c r="CW23" s="848"/>
      <c r="CX23" s="848"/>
      <c r="CY23" s="848"/>
      <c r="CZ23" s="848"/>
      <c r="DA23" s="848"/>
      <c r="DB23" s="848"/>
      <c r="DC23" s="848"/>
      <c r="DD23" s="848"/>
      <c r="DE23" s="848"/>
      <c r="DF23" s="852"/>
      <c r="DG23" s="853"/>
      <c r="DH23" s="853"/>
      <c r="DI23" s="853"/>
      <c r="DJ23" s="853"/>
      <c r="DK23" s="854"/>
      <c r="DL23" s="47"/>
      <c r="DM23" s="44"/>
    </row>
    <row r="24" spans="1:120" s="45" customFormat="1"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855"/>
      <c r="BJ24" s="856"/>
      <c r="BK24" s="547"/>
      <c r="BL24" s="547"/>
      <c r="BM24" s="548"/>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c r="DM24" s="44"/>
    </row>
    <row r="25" spans="1:120" s="45" customFormat="1" ht="7.5" customHeight="1" thickTop="1">
      <c r="A25" s="48"/>
      <c r="B25" s="807" t="s">
        <v>566</v>
      </c>
      <c r="C25" s="808"/>
      <c r="D25" s="808"/>
      <c r="E25" s="808"/>
      <c r="F25" s="809"/>
      <c r="G25" s="3121"/>
      <c r="H25" s="3122"/>
      <c r="I25" s="3122"/>
      <c r="J25" s="3122"/>
      <c r="K25" s="3122"/>
      <c r="L25" s="3122"/>
      <c r="M25" s="3122"/>
      <c r="N25" s="3122"/>
      <c r="O25" s="3122"/>
      <c r="P25" s="3122"/>
      <c r="Q25" s="3122"/>
      <c r="R25" s="3122"/>
      <c r="S25" s="3122"/>
      <c r="T25" s="3122"/>
      <c r="U25" s="3122"/>
      <c r="V25" s="3122"/>
      <c r="W25" s="3122"/>
      <c r="X25" s="3122"/>
      <c r="Y25" s="3122"/>
      <c r="Z25" s="3122"/>
      <c r="AA25" s="3122"/>
      <c r="AB25" s="3122"/>
      <c r="AC25" s="3122"/>
      <c r="AD25" s="3123"/>
      <c r="AE25" s="819" t="s">
        <v>170</v>
      </c>
      <c r="AF25" s="819"/>
      <c r="AG25" s="819"/>
      <c r="AH25" s="819"/>
      <c r="AI25" s="819"/>
      <c r="AJ25" s="821"/>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3"/>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c r="DM25" s="44"/>
    </row>
    <row r="26" spans="1:120" s="45" customFormat="1" ht="7.5" customHeight="1" thickBot="1">
      <c r="A26" s="48"/>
      <c r="B26" s="810"/>
      <c r="C26" s="811"/>
      <c r="D26" s="811"/>
      <c r="E26" s="811"/>
      <c r="F26" s="812"/>
      <c r="G26" s="3124"/>
      <c r="H26" s="3125"/>
      <c r="I26" s="3125"/>
      <c r="J26" s="3125"/>
      <c r="K26" s="3125"/>
      <c r="L26" s="3125"/>
      <c r="M26" s="3125"/>
      <c r="N26" s="3125"/>
      <c r="O26" s="3125"/>
      <c r="P26" s="3125"/>
      <c r="Q26" s="3125"/>
      <c r="R26" s="3125"/>
      <c r="S26" s="3125"/>
      <c r="T26" s="3125"/>
      <c r="U26" s="3125"/>
      <c r="V26" s="3125"/>
      <c r="W26" s="3125"/>
      <c r="X26" s="3125"/>
      <c r="Y26" s="3125"/>
      <c r="Z26" s="3125"/>
      <c r="AA26" s="3125"/>
      <c r="AB26" s="3125"/>
      <c r="AC26" s="3125"/>
      <c r="AD26" s="3126"/>
      <c r="AE26" s="820"/>
      <c r="AF26" s="820"/>
      <c r="AG26" s="820"/>
      <c r="AH26" s="820"/>
      <c r="AI26" s="820"/>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6"/>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8"/>
      <c r="DN26" s="49"/>
      <c r="DO26" s="49"/>
      <c r="DP26" s="49"/>
    </row>
    <row r="27" spans="1:120"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9"/>
      <c r="BJ27" s="550"/>
      <c r="BK27" s="550"/>
      <c r="BL27" s="550"/>
      <c r="BM27" s="551"/>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8"/>
      <c r="DN27" s="49"/>
      <c r="DO27" s="49"/>
      <c r="DP27" s="49"/>
    </row>
    <row r="28" spans="1:120" s="45" customFormat="1" ht="7.5" customHeight="1" thickTop="1">
      <c r="A28" s="48"/>
      <c r="B28" s="934" t="s">
        <v>792</v>
      </c>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6"/>
      <c r="AN28" s="940" t="s">
        <v>1149</v>
      </c>
      <c r="AO28" s="941"/>
      <c r="AP28" s="941"/>
      <c r="AQ28" s="942"/>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8"/>
      <c r="DN28" s="49"/>
      <c r="DO28" s="49"/>
      <c r="DP28" s="49"/>
    </row>
    <row r="29" spans="1:120" s="45" customFormat="1" ht="7.5" customHeight="1">
      <c r="A29" s="48"/>
      <c r="B29" s="937"/>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9"/>
      <c r="AN29" s="943"/>
      <c r="AO29" s="944"/>
      <c r="AP29" s="944"/>
      <c r="AQ29" s="945"/>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8"/>
      <c r="DN29" s="49"/>
      <c r="DO29" s="49"/>
      <c r="DP29" s="49"/>
    </row>
    <row r="30" spans="1:120" s="45" customFormat="1" ht="7.5" customHeight="1">
      <c r="A30" s="48"/>
      <c r="B30" s="1090" t="s">
        <v>72</v>
      </c>
      <c r="C30" s="1091"/>
      <c r="D30" s="1091"/>
      <c r="E30" s="1091"/>
      <c r="F30" s="1092"/>
      <c r="G30" s="3139"/>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0"/>
      <c r="AK30" s="3140"/>
      <c r="AL30" s="3140"/>
      <c r="AM30" s="3140"/>
      <c r="AN30" s="3140"/>
      <c r="AO30" s="3140"/>
      <c r="AP30" s="3140"/>
      <c r="AQ30" s="3140"/>
      <c r="AR30" s="3140"/>
      <c r="AS30" s="3140"/>
      <c r="AT30" s="3140"/>
      <c r="AU30" s="3140"/>
      <c r="AV30" s="3140"/>
      <c r="AW30" s="3140"/>
      <c r="AX30" s="3140"/>
      <c r="AY30" s="3140"/>
      <c r="AZ30" s="3140"/>
      <c r="BA30" s="3140"/>
      <c r="BB30" s="3140"/>
      <c r="BC30" s="3140"/>
      <c r="BD30" s="3140"/>
      <c r="BE30" s="3140"/>
      <c r="BF30" s="3141"/>
      <c r="BG30" s="48"/>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c r="DM30" s="44"/>
    </row>
    <row r="31" spans="1:120" s="45" customFormat="1" ht="7.5" customHeight="1" thickBot="1">
      <c r="A31" s="48"/>
      <c r="B31" s="1093" t="s">
        <v>794</v>
      </c>
      <c r="C31" s="1094"/>
      <c r="D31" s="1094"/>
      <c r="E31" s="1094"/>
      <c r="F31" s="1095"/>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c r="DM31" s="44"/>
    </row>
    <row r="32" spans="1:120" s="45" customFormat="1" ht="7.5" customHeight="1" thickBot="1">
      <c r="A32" s="48"/>
      <c r="B32" s="1096"/>
      <c r="C32" s="1097"/>
      <c r="D32" s="1097"/>
      <c r="E32" s="1097"/>
      <c r="F32" s="1098"/>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391"/>
      <c r="DK32" s="392"/>
      <c r="DL32" s="51"/>
      <c r="DM32" s="44"/>
    </row>
    <row r="33" spans="1:117" s="45" customFormat="1" ht="7.5" customHeight="1">
      <c r="A33" s="48"/>
      <c r="B33" s="1117" t="s">
        <v>75</v>
      </c>
      <c r="C33" s="1118"/>
      <c r="D33" s="1118"/>
      <c r="E33" s="1118"/>
      <c r="F33" s="1119"/>
      <c r="G33" s="3127" t="s">
        <v>73</v>
      </c>
      <c r="H33" s="3128"/>
      <c r="I33" s="3128"/>
      <c r="J33" s="3128"/>
      <c r="K33" s="3128"/>
      <c r="L33" s="3129"/>
      <c r="M33" s="3133"/>
      <c r="N33" s="3134"/>
      <c r="O33" s="3134"/>
      <c r="P33" s="3134"/>
      <c r="Q33" s="3134"/>
      <c r="R33" s="3134"/>
      <c r="S33" s="3134"/>
      <c r="T33" s="3134"/>
      <c r="U33" s="3134"/>
      <c r="V33" s="3134"/>
      <c r="W33" s="3135"/>
      <c r="X33" s="3127" t="s">
        <v>11</v>
      </c>
      <c r="Y33" s="3128"/>
      <c r="Z33" s="3128"/>
      <c r="AA33" s="3128"/>
      <c r="AB33" s="3128"/>
      <c r="AC33" s="3129"/>
      <c r="AD33" s="3133"/>
      <c r="AE33" s="3134"/>
      <c r="AF33" s="3134"/>
      <c r="AG33" s="3134"/>
      <c r="AH33" s="3134"/>
      <c r="AI33" s="3134"/>
      <c r="AJ33" s="3134"/>
      <c r="AK33" s="3134"/>
      <c r="AL33" s="3134"/>
      <c r="AM33" s="3134"/>
      <c r="AN33" s="3135"/>
      <c r="AO33" s="3127" t="s">
        <v>74</v>
      </c>
      <c r="AP33" s="3128"/>
      <c r="AQ33" s="3128"/>
      <c r="AR33" s="3128"/>
      <c r="AS33" s="3128"/>
      <c r="AT33" s="3129"/>
      <c r="AU33" s="3133"/>
      <c r="AV33" s="3134"/>
      <c r="AW33" s="3134"/>
      <c r="AX33" s="3134"/>
      <c r="AY33" s="3134"/>
      <c r="AZ33" s="3134"/>
      <c r="BA33" s="3134"/>
      <c r="BB33" s="3134"/>
      <c r="BC33" s="3134"/>
      <c r="BD33" s="3134"/>
      <c r="BE33" s="3134"/>
      <c r="BF33" s="3142"/>
      <c r="BG33" s="48"/>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511</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c r="DM33" s="44"/>
    </row>
    <row r="34" spans="1:117" s="45" customFormat="1" ht="7.5" customHeight="1">
      <c r="A34" s="48"/>
      <c r="B34" s="1120"/>
      <c r="C34" s="1121"/>
      <c r="D34" s="1121"/>
      <c r="E34" s="1121"/>
      <c r="F34" s="1122"/>
      <c r="G34" s="3130"/>
      <c r="H34" s="3131"/>
      <c r="I34" s="3131"/>
      <c r="J34" s="3131"/>
      <c r="K34" s="3131"/>
      <c r="L34" s="3132"/>
      <c r="M34" s="3136"/>
      <c r="N34" s="3137"/>
      <c r="O34" s="3137"/>
      <c r="P34" s="3137"/>
      <c r="Q34" s="3137"/>
      <c r="R34" s="3137"/>
      <c r="S34" s="3137"/>
      <c r="T34" s="3137"/>
      <c r="U34" s="3137"/>
      <c r="V34" s="3137"/>
      <c r="W34" s="3138"/>
      <c r="X34" s="3130"/>
      <c r="Y34" s="3131"/>
      <c r="Z34" s="3131"/>
      <c r="AA34" s="3131"/>
      <c r="AB34" s="3131"/>
      <c r="AC34" s="3132"/>
      <c r="AD34" s="3136"/>
      <c r="AE34" s="3137"/>
      <c r="AF34" s="3137"/>
      <c r="AG34" s="3137"/>
      <c r="AH34" s="3137"/>
      <c r="AI34" s="3137"/>
      <c r="AJ34" s="3137"/>
      <c r="AK34" s="3137"/>
      <c r="AL34" s="3137"/>
      <c r="AM34" s="3137"/>
      <c r="AN34" s="3138"/>
      <c r="AO34" s="3130"/>
      <c r="AP34" s="3131"/>
      <c r="AQ34" s="3131"/>
      <c r="AR34" s="3131"/>
      <c r="AS34" s="3131"/>
      <c r="AT34" s="3132"/>
      <c r="AU34" s="3136"/>
      <c r="AV34" s="3137"/>
      <c r="AW34" s="3137"/>
      <c r="AX34" s="3137"/>
      <c r="AY34" s="3137"/>
      <c r="AZ34" s="3137"/>
      <c r="BA34" s="3137"/>
      <c r="BB34" s="3137"/>
      <c r="BC34" s="3137"/>
      <c r="BD34" s="3137"/>
      <c r="BE34" s="3137"/>
      <c r="BF34" s="3143"/>
      <c r="BG34" s="48"/>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c r="DM34" s="44"/>
    </row>
    <row r="35" spans="1:117" s="45" customFormat="1" ht="7.5" customHeight="1">
      <c r="A35" s="48"/>
      <c r="B35" s="1120"/>
      <c r="C35" s="1121"/>
      <c r="D35" s="1121"/>
      <c r="E35" s="1121"/>
      <c r="F35" s="1122"/>
      <c r="G35" s="3127" t="s">
        <v>76</v>
      </c>
      <c r="H35" s="3128"/>
      <c r="I35" s="3128"/>
      <c r="J35" s="3128"/>
      <c r="K35" s="3128"/>
      <c r="L35" s="3129"/>
      <c r="M35" s="793"/>
      <c r="N35" s="794"/>
      <c r="O35" s="794"/>
      <c r="P35" s="794"/>
      <c r="Q35" s="794"/>
      <c r="R35" s="794"/>
      <c r="S35" s="794"/>
      <c r="T35" s="794"/>
      <c r="U35" s="794"/>
      <c r="V35" s="794"/>
      <c r="W35" s="794"/>
      <c r="X35" s="794"/>
      <c r="Y35" s="794"/>
      <c r="Z35" s="794"/>
      <c r="AA35" s="794"/>
      <c r="AB35" s="794"/>
      <c r="AC35" s="794"/>
      <c r="AD35" s="794"/>
      <c r="AE35" s="794"/>
      <c r="AF35" s="795"/>
      <c r="AG35" s="3127" t="s">
        <v>77</v>
      </c>
      <c r="AH35" s="3128"/>
      <c r="AI35" s="3128"/>
      <c r="AJ35" s="3128"/>
      <c r="AK35" s="3128"/>
      <c r="AL35" s="3129"/>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c r="DM35" s="44"/>
    </row>
    <row r="36" spans="1:117" s="45" customFormat="1" ht="7.5" customHeight="1">
      <c r="A36" s="48"/>
      <c r="B36" s="1123"/>
      <c r="C36" s="1124"/>
      <c r="D36" s="1124"/>
      <c r="E36" s="1124"/>
      <c r="F36" s="1125"/>
      <c r="G36" s="3130"/>
      <c r="H36" s="3131"/>
      <c r="I36" s="3131"/>
      <c r="J36" s="3131"/>
      <c r="K36" s="3131"/>
      <c r="L36" s="3132"/>
      <c r="M36" s="796"/>
      <c r="N36" s="797"/>
      <c r="O36" s="797"/>
      <c r="P36" s="797"/>
      <c r="Q36" s="797"/>
      <c r="R36" s="797"/>
      <c r="S36" s="797"/>
      <c r="T36" s="797"/>
      <c r="U36" s="797"/>
      <c r="V36" s="797"/>
      <c r="W36" s="797"/>
      <c r="X36" s="797"/>
      <c r="Y36" s="797"/>
      <c r="Z36" s="797"/>
      <c r="AA36" s="797"/>
      <c r="AB36" s="797"/>
      <c r="AC36" s="797"/>
      <c r="AD36" s="797"/>
      <c r="AE36" s="797"/>
      <c r="AF36" s="798"/>
      <c r="AG36" s="3130"/>
      <c r="AH36" s="3131"/>
      <c r="AI36" s="3131"/>
      <c r="AJ36" s="3131"/>
      <c r="AK36" s="3131"/>
      <c r="AL36" s="3132"/>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c r="DM36" s="44"/>
    </row>
    <row r="37" spans="1:117" s="45" customFormat="1" ht="7.5" customHeight="1">
      <c r="A37" s="48"/>
      <c r="B37" s="1138" t="s">
        <v>795</v>
      </c>
      <c r="C37" s="1139"/>
      <c r="D37" s="1139"/>
      <c r="E37" s="1139"/>
      <c r="F37" s="1140"/>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3162" t="s">
        <v>72</v>
      </c>
      <c r="AC37" s="3162"/>
      <c r="AD37" s="3162"/>
      <c r="AE37" s="3162"/>
      <c r="AF37" s="3163"/>
      <c r="AG37" s="3164"/>
      <c r="AH37" s="3145"/>
      <c r="AI37" s="3145"/>
      <c r="AJ37" s="3145"/>
      <c r="AK37" s="3145"/>
      <c r="AL37" s="3145"/>
      <c r="AM37" s="3145"/>
      <c r="AN37" s="3145"/>
      <c r="AO37" s="3145"/>
      <c r="AP37" s="3145"/>
      <c r="AQ37" s="3145"/>
      <c r="AR37" s="3145"/>
      <c r="AS37" s="3145"/>
      <c r="AT37" s="3144"/>
      <c r="AU37" s="3145"/>
      <c r="AV37" s="3145"/>
      <c r="AW37" s="3145"/>
      <c r="AX37" s="3145"/>
      <c r="AY37" s="3145"/>
      <c r="AZ37" s="3145"/>
      <c r="BA37" s="3145"/>
      <c r="BB37" s="3145"/>
      <c r="BC37" s="3145"/>
      <c r="BD37" s="3145"/>
      <c r="BE37" s="3145"/>
      <c r="BF37" s="3146"/>
      <c r="BG37" s="48"/>
      <c r="BH37" s="48"/>
      <c r="BI37" s="855"/>
      <c r="BJ37" s="856"/>
      <c r="BK37" s="547"/>
      <c r="BL37" s="547"/>
      <c r="BM37" s="548"/>
      <c r="BN37" s="969" t="s">
        <v>73</v>
      </c>
      <c r="BO37" s="970"/>
      <c r="BP37" s="970"/>
      <c r="BQ37" s="970"/>
      <c r="BR37" s="970"/>
      <c r="BS37" s="971"/>
      <c r="BT37" s="793"/>
      <c r="BU37" s="794"/>
      <c r="BV37" s="794"/>
      <c r="BW37" s="794"/>
      <c r="BX37" s="794"/>
      <c r="BY37" s="794"/>
      <c r="BZ37" s="794"/>
      <c r="CA37" s="794"/>
      <c r="CB37" s="794"/>
      <c r="CC37" s="794"/>
      <c r="CD37" s="795"/>
      <c r="CE37" s="969" t="s">
        <v>11</v>
      </c>
      <c r="CF37" s="970"/>
      <c r="CG37" s="970"/>
      <c r="CH37" s="970"/>
      <c r="CI37" s="970"/>
      <c r="CJ37" s="971"/>
      <c r="CK37" s="793"/>
      <c r="CL37" s="794"/>
      <c r="CM37" s="794"/>
      <c r="CN37" s="794"/>
      <c r="CO37" s="794"/>
      <c r="CP37" s="794"/>
      <c r="CQ37" s="794"/>
      <c r="CR37" s="794"/>
      <c r="CS37" s="794"/>
      <c r="CT37" s="794"/>
      <c r="CU37" s="795"/>
      <c r="CV37" s="969" t="s">
        <v>74</v>
      </c>
      <c r="CW37" s="970"/>
      <c r="CX37" s="970"/>
      <c r="CY37" s="970"/>
      <c r="CZ37" s="970"/>
      <c r="DA37" s="971"/>
      <c r="DB37" s="793"/>
      <c r="DC37" s="794"/>
      <c r="DD37" s="794"/>
      <c r="DE37" s="794"/>
      <c r="DF37" s="794"/>
      <c r="DG37" s="794"/>
      <c r="DH37" s="794"/>
      <c r="DI37" s="794"/>
      <c r="DJ37" s="794"/>
      <c r="DK37" s="805"/>
      <c r="DL37" s="44"/>
      <c r="DM37" s="44"/>
    </row>
    <row r="38" spans="1:117" s="45" customFormat="1" ht="7.5" customHeight="1">
      <c r="A38" s="48"/>
      <c r="B38" s="1141"/>
      <c r="C38" s="1142"/>
      <c r="D38" s="1142"/>
      <c r="E38" s="1142"/>
      <c r="F38" s="1143"/>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3147" t="s">
        <v>797</v>
      </c>
      <c r="AC38" s="3148"/>
      <c r="AD38" s="3148"/>
      <c r="AE38" s="3148"/>
      <c r="AF38" s="3149"/>
      <c r="AG38" s="3151"/>
      <c r="AH38" s="3152"/>
      <c r="AI38" s="3152"/>
      <c r="AJ38" s="3152"/>
      <c r="AK38" s="3152"/>
      <c r="AL38" s="3152"/>
      <c r="AM38" s="3152"/>
      <c r="AN38" s="3152"/>
      <c r="AO38" s="3152"/>
      <c r="AP38" s="3152"/>
      <c r="AQ38" s="3152"/>
      <c r="AR38" s="3152"/>
      <c r="AS38" s="3152"/>
      <c r="AT38" s="3155"/>
      <c r="AU38" s="3156"/>
      <c r="AV38" s="3156"/>
      <c r="AW38" s="3156"/>
      <c r="AX38" s="3156"/>
      <c r="AY38" s="3156"/>
      <c r="AZ38" s="3156"/>
      <c r="BA38" s="3156"/>
      <c r="BB38" s="3156"/>
      <c r="BC38" s="3156"/>
      <c r="BD38" s="3156"/>
      <c r="BE38" s="3156"/>
      <c r="BF38" s="3157"/>
      <c r="BG38" s="48"/>
      <c r="BH38" s="48"/>
      <c r="BI38" s="957" t="s">
        <v>75</v>
      </c>
      <c r="BJ38" s="958"/>
      <c r="BK38" s="958"/>
      <c r="BL38" s="958"/>
      <c r="BM38" s="959"/>
      <c r="BN38" s="972"/>
      <c r="BO38" s="973"/>
      <c r="BP38" s="973"/>
      <c r="BQ38" s="973"/>
      <c r="BR38" s="973"/>
      <c r="BS38" s="974"/>
      <c r="BT38" s="796"/>
      <c r="BU38" s="797"/>
      <c r="BV38" s="797"/>
      <c r="BW38" s="797"/>
      <c r="BX38" s="797"/>
      <c r="BY38" s="797"/>
      <c r="BZ38" s="797"/>
      <c r="CA38" s="797"/>
      <c r="CB38" s="797"/>
      <c r="CC38" s="797"/>
      <c r="CD38" s="798"/>
      <c r="CE38" s="972"/>
      <c r="CF38" s="973"/>
      <c r="CG38" s="973"/>
      <c r="CH38" s="973"/>
      <c r="CI38" s="973"/>
      <c r="CJ38" s="974"/>
      <c r="CK38" s="796"/>
      <c r="CL38" s="797"/>
      <c r="CM38" s="797"/>
      <c r="CN38" s="797"/>
      <c r="CO38" s="797"/>
      <c r="CP38" s="797"/>
      <c r="CQ38" s="797"/>
      <c r="CR38" s="797"/>
      <c r="CS38" s="797"/>
      <c r="CT38" s="797"/>
      <c r="CU38" s="798"/>
      <c r="CV38" s="972"/>
      <c r="CW38" s="973"/>
      <c r="CX38" s="973"/>
      <c r="CY38" s="973"/>
      <c r="CZ38" s="973"/>
      <c r="DA38" s="974"/>
      <c r="DB38" s="796"/>
      <c r="DC38" s="797"/>
      <c r="DD38" s="797"/>
      <c r="DE38" s="797"/>
      <c r="DF38" s="797"/>
      <c r="DG38" s="797"/>
      <c r="DH38" s="797"/>
      <c r="DI38" s="797"/>
      <c r="DJ38" s="797"/>
      <c r="DK38" s="806"/>
      <c r="DL38" s="44"/>
      <c r="DM38" s="44"/>
    </row>
    <row r="39" spans="1:117" s="45" customFormat="1" ht="7.5" customHeight="1">
      <c r="A39" s="48"/>
      <c r="B39" s="1144"/>
      <c r="C39" s="1145"/>
      <c r="D39" s="1145"/>
      <c r="E39" s="1145"/>
      <c r="F39" s="1146"/>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3150"/>
      <c r="AC39" s="1145"/>
      <c r="AD39" s="1145"/>
      <c r="AE39" s="1145"/>
      <c r="AF39" s="1146"/>
      <c r="AG39" s="3153"/>
      <c r="AH39" s="3154"/>
      <c r="AI39" s="3154"/>
      <c r="AJ39" s="3154"/>
      <c r="AK39" s="3154"/>
      <c r="AL39" s="3154"/>
      <c r="AM39" s="3154"/>
      <c r="AN39" s="3154"/>
      <c r="AO39" s="3154"/>
      <c r="AP39" s="3154"/>
      <c r="AQ39" s="3154"/>
      <c r="AR39" s="3154"/>
      <c r="AS39" s="3154"/>
      <c r="AT39" s="3158"/>
      <c r="AU39" s="3154"/>
      <c r="AV39" s="3154"/>
      <c r="AW39" s="3154"/>
      <c r="AX39" s="3154"/>
      <c r="AY39" s="3154"/>
      <c r="AZ39" s="3154"/>
      <c r="BA39" s="3154"/>
      <c r="BB39" s="3154"/>
      <c r="BC39" s="3154"/>
      <c r="BD39" s="3154"/>
      <c r="BE39" s="3154"/>
      <c r="BF39" s="3159"/>
      <c r="BG39" s="48"/>
      <c r="BH39" s="48"/>
      <c r="BI39" s="957"/>
      <c r="BJ39" s="958"/>
      <c r="BK39" s="958"/>
      <c r="BL39" s="958"/>
      <c r="BM39" s="959"/>
      <c r="BN39" s="969" t="s">
        <v>76</v>
      </c>
      <c r="BO39" s="970"/>
      <c r="BP39" s="970"/>
      <c r="BQ39" s="970"/>
      <c r="BR39" s="970"/>
      <c r="BS39" s="971"/>
      <c r="BT39" s="793"/>
      <c r="BU39" s="794"/>
      <c r="BV39" s="794"/>
      <c r="BW39" s="794"/>
      <c r="BX39" s="794"/>
      <c r="BY39" s="794"/>
      <c r="BZ39" s="794"/>
      <c r="CA39" s="794"/>
      <c r="CB39" s="794"/>
      <c r="CC39" s="794"/>
      <c r="CD39" s="794"/>
      <c r="CE39" s="794"/>
      <c r="CF39" s="794"/>
      <c r="CG39" s="794"/>
      <c r="CH39" s="794"/>
      <c r="CI39" s="794"/>
      <c r="CJ39" s="794"/>
      <c r="CK39" s="794"/>
      <c r="CL39" s="794"/>
      <c r="CM39" s="795"/>
      <c r="CN39" s="969" t="s">
        <v>77</v>
      </c>
      <c r="CO39" s="970"/>
      <c r="CP39" s="970"/>
      <c r="CQ39" s="970"/>
      <c r="CR39" s="970"/>
      <c r="CS39" s="971"/>
      <c r="CT39" s="928"/>
      <c r="CU39" s="929"/>
      <c r="CV39" s="929"/>
      <c r="CW39" s="929"/>
      <c r="CX39" s="929"/>
      <c r="CY39" s="929"/>
      <c r="CZ39" s="929"/>
      <c r="DA39" s="929"/>
      <c r="DB39" s="929"/>
      <c r="DC39" s="929"/>
      <c r="DD39" s="929"/>
      <c r="DE39" s="929"/>
      <c r="DF39" s="929"/>
      <c r="DG39" s="929"/>
      <c r="DH39" s="929"/>
      <c r="DI39" s="929"/>
      <c r="DJ39" s="929"/>
      <c r="DK39" s="930"/>
      <c r="DL39" s="44"/>
      <c r="DM39" s="44"/>
    </row>
    <row r="40" spans="1:117" s="45" customFormat="1" ht="7.5" customHeight="1">
      <c r="A40" s="48"/>
      <c r="B40" s="1138" t="s">
        <v>570</v>
      </c>
      <c r="C40" s="1139"/>
      <c r="D40" s="1139"/>
      <c r="E40" s="1139"/>
      <c r="F40" s="1140"/>
      <c r="G40" s="3165"/>
      <c r="H40" s="3166"/>
      <c r="I40" s="3166"/>
      <c r="J40" s="3166"/>
      <c r="K40" s="3166"/>
      <c r="L40" s="3166"/>
      <c r="M40" s="3166"/>
      <c r="N40" s="3166"/>
      <c r="O40" s="3166"/>
      <c r="P40" s="3166"/>
      <c r="Q40" s="3166"/>
      <c r="R40" s="3166"/>
      <c r="S40" s="3166"/>
      <c r="T40" s="3166"/>
      <c r="U40" s="3166"/>
      <c r="V40" s="3166"/>
      <c r="W40" s="3166"/>
      <c r="X40" s="3166"/>
      <c r="Y40" s="3166"/>
      <c r="Z40" s="3166"/>
      <c r="AA40" s="3167"/>
      <c r="AB40" s="3127" t="s">
        <v>569</v>
      </c>
      <c r="AC40" s="1139"/>
      <c r="AD40" s="1139"/>
      <c r="AE40" s="1139"/>
      <c r="AF40" s="1140"/>
      <c r="AG40" s="3172"/>
      <c r="AH40" s="3173"/>
      <c r="AI40" s="3173"/>
      <c r="AJ40" s="3173"/>
      <c r="AK40" s="3173"/>
      <c r="AL40" s="3173"/>
      <c r="AM40" s="3173"/>
      <c r="AN40" s="3173"/>
      <c r="AO40" s="3173"/>
      <c r="AP40" s="3173"/>
      <c r="AQ40" s="3173"/>
      <c r="AR40" s="3173"/>
      <c r="AS40" s="3173"/>
      <c r="AT40" s="3173"/>
      <c r="AU40" s="3173"/>
      <c r="AV40" s="3173"/>
      <c r="AW40" s="3173"/>
      <c r="AX40" s="3173"/>
      <c r="AY40" s="3173"/>
      <c r="AZ40" s="3173"/>
      <c r="BA40" s="3173"/>
      <c r="BB40" s="3173"/>
      <c r="BC40" s="3173"/>
      <c r="BD40" s="3173"/>
      <c r="BE40" s="3173"/>
      <c r="BF40" s="3174"/>
      <c r="BG40" s="48"/>
      <c r="BH40" s="48"/>
      <c r="BI40" s="549"/>
      <c r="BJ40" s="550"/>
      <c r="BK40" s="550"/>
      <c r="BL40" s="550"/>
      <c r="BM40" s="551"/>
      <c r="BN40" s="972"/>
      <c r="BO40" s="973"/>
      <c r="BP40" s="973"/>
      <c r="BQ40" s="973"/>
      <c r="BR40" s="973"/>
      <c r="BS40" s="974"/>
      <c r="BT40" s="796"/>
      <c r="BU40" s="797"/>
      <c r="BV40" s="797"/>
      <c r="BW40" s="797"/>
      <c r="BX40" s="797"/>
      <c r="BY40" s="797"/>
      <c r="BZ40" s="797"/>
      <c r="CA40" s="797"/>
      <c r="CB40" s="797"/>
      <c r="CC40" s="797"/>
      <c r="CD40" s="797"/>
      <c r="CE40" s="797"/>
      <c r="CF40" s="797"/>
      <c r="CG40" s="797"/>
      <c r="CH40" s="797"/>
      <c r="CI40" s="797"/>
      <c r="CJ40" s="797"/>
      <c r="CK40" s="797"/>
      <c r="CL40" s="797"/>
      <c r="CM40" s="798"/>
      <c r="CN40" s="972"/>
      <c r="CO40" s="973"/>
      <c r="CP40" s="973"/>
      <c r="CQ40" s="973"/>
      <c r="CR40" s="973"/>
      <c r="CS40" s="974"/>
      <c r="CT40" s="931"/>
      <c r="CU40" s="932"/>
      <c r="CV40" s="932"/>
      <c r="CW40" s="932"/>
      <c r="CX40" s="932"/>
      <c r="CY40" s="932"/>
      <c r="CZ40" s="932"/>
      <c r="DA40" s="932"/>
      <c r="DB40" s="932"/>
      <c r="DC40" s="932"/>
      <c r="DD40" s="932"/>
      <c r="DE40" s="932"/>
      <c r="DF40" s="932"/>
      <c r="DG40" s="932"/>
      <c r="DH40" s="932"/>
      <c r="DI40" s="932"/>
      <c r="DJ40" s="932"/>
      <c r="DK40" s="933"/>
      <c r="DL40" s="44"/>
      <c r="DM40" s="44"/>
    </row>
    <row r="41" spans="1:117" s="45" customFormat="1" ht="7.5" customHeight="1" thickBot="1">
      <c r="A41" s="48"/>
      <c r="B41" s="1147"/>
      <c r="C41" s="1148"/>
      <c r="D41" s="1148"/>
      <c r="E41" s="1148"/>
      <c r="F41" s="1149"/>
      <c r="G41" s="3168"/>
      <c r="H41" s="3169"/>
      <c r="I41" s="3169"/>
      <c r="J41" s="3169"/>
      <c r="K41" s="3169"/>
      <c r="L41" s="3169"/>
      <c r="M41" s="3169"/>
      <c r="N41" s="3169"/>
      <c r="O41" s="3169"/>
      <c r="P41" s="3169"/>
      <c r="Q41" s="3169"/>
      <c r="R41" s="3169"/>
      <c r="S41" s="3169"/>
      <c r="T41" s="3169"/>
      <c r="U41" s="3169"/>
      <c r="V41" s="3169"/>
      <c r="W41" s="3169"/>
      <c r="X41" s="3169"/>
      <c r="Y41" s="3169"/>
      <c r="Z41" s="3169"/>
      <c r="AA41" s="3170"/>
      <c r="AB41" s="3171"/>
      <c r="AC41" s="1148"/>
      <c r="AD41" s="1148"/>
      <c r="AE41" s="1148"/>
      <c r="AF41" s="1149"/>
      <c r="AG41" s="3175"/>
      <c r="AH41" s="3176"/>
      <c r="AI41" s="3176"/>
      <c r="AJ41" s="3176"/>
      <c r="AK41" s="3176"/>
      <c r="AL41" s="3176"/>
      <c r="AM41" s="3176"/>
      <c r="AN41" s="3176"/>
      <c r="AO41" s="3176"/>
      <c r="AP41" s="3176"/>
      <c r="AQ41" s="3176"/>
      <c r="AR41" s="3176"/>
      <c r="AS41" s="3176"/>
      <c r="AT41" s="3176"/>
      <c r="AU41" s="3176"/>
      <c r="AV41" s="3176"/>
      <c r="AW41" s="3176"/>
      <c r="AX41" s="3176"/>
      <c r="AY41" s="3176"/>
      <c r="AZ41" s="3176"/>
      <c r="BA41" s="3176"/>
      <c r="BB41" s="3176"/>
      <c r="BC41" s="3176"/>
      <c r="BD41" s="3176"/>
      <c r="BE41" s="3176"/>
      <c r="BF41" s="3177"/>
      <c r="BG41" s="48"/>
      <c r="BH41" s="48"/>
      <c r="BI41" s="960" t="s">
        <v>567</v>
      </c>
      <c r="BJ41" s="961"/>
      <c r="BK41" s="961"/>
      <c r="BL41" s="961"/>
      <c r="BM41" s="962"/>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1002" t="s">
        <v>266</v>
      </c>
      <c r="CL41" s="961"/>
      <c r="CM41" s="961"/>
      <c r="CN41" s="961"/>
      <c r="CO41" s="962"/>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c r="DM41" s="44"/>
    </row>
    <row r="42" spans="1:117" s="45" customFormat="1"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48"/>
      <c r="BH42" s="48"/>
      <c r="BI42" s="960"/>
      <c r="BJ42" s="961"/>
      <c r="BK42" s="961"/>
      <c r="BL42" s="961"/>
      <c r="BM42" s="962"/>
      <c r="BN42" s="950"/>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1002"/>
      <c r="CL42" s="961"/>
      <c r="CM42" s="961"/>
      <c r="CN42" s="961"/>
      <c r="CO42" s="962"/>
      <c r="CP42" s="954"/>
      <c r="CQ42" s="955"/>
      <c r="CR42" s="955"/>
      <c r="CS42" s="955"/>
      <c r="CT42" s="955"/>
      <c r="CU42" s="955"/>
      <c r="CV42" s="955"/>
      <c r="CW42" s="955"/>
      <c r="CX42" s="955"/>
      <c r="CY42" s="955"/>
      <c r="CZ42" s="955"/>
      <c r="DA42" s="955"/>
      <c r="DB42" s="955"/>
      <c r="DC42" s="955"/>
      <c r="DD42" s="955"/>
      <c r="DE42" s="955"/>
      <c r="DF42" s="955"/>
      <c r="DG42" s="955"/>
      <c r="DH42" s="955"/>
      <c r="DI42" s="955"/>
      <c r="DJ42" s="955"/>
      <c r="DK42" s="956"/>
      <c r="DL42" s="50"/>
      <c r="DM42" s="44"/>
    </row>
    <row r="43" spans="1:117" s="45" customFormat="1" ht="7.5" customHeigh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48"/>
      <c r="BH43" s="48"/>
      <c r="BI43" s="835" t="s">
        <v>570</v>
      </c>
      <c r="BJ43" s="836"/>
      <c r="BK43" s="836"/>
      <c r="BL43" s="836"/>
      <c r="BM43" s="837"/>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902" t="s">
        <v>569</v>
      </c>
      <c r="CL43" s="836"/>
      <c r="CM43" s="836"/>
      <c r="CN43" s="836"/>
      <c r="CO43" s="837"/>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c r="DM43" s="44"/>
    </row>
    <row r="44" spans="1:117" s="45" customFormat="1"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I44" s="986"/>
      <c r="BJ44" s="987"/>
      <c r="BK44" s="987"/>
      <c r="BL44" s="987"/>
      <c r="BM44" s="9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995"/>
      <c r="CL44" s="987"/>
      <c r="CM44" s="987"/>
      <c r="CN44" s="987"/>
      <c r="CO44" s="9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c r="DM44" s="44"/>
    </row>
    <row r="45" spans="1:117" s="45" customFormat="1" ht="7.5" customHeight="1" thickTop="1">
      <c r="A45" s="48"/>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c r="AS45" s="2298"/>
      <c r="AT45" s="2298"/>
      <c r="AU45" s="2298"/>
      <c r="AV45" s="2298"/>
      <c r="AW45" s="2298"/>
      <c r="AX45" s="2298"/>
      <c r="AY45" s="2298"/>
      <c r="AZ45" s="2298"/>
      <c r="BA45" s="2298"/>
      <c r="BB45" s="2298"/>
      <c r="BC45" s="2298"/>
      <c r="BD45" s="2298"/>
      <c r="BG45" s="48"/>
      <c r="BH45" s="48"/>
      <c r="DC45" s="334"/>
      <c r="DD45" s="334"/>
      <c r="DE45" s="334"/>
      <c r="DF45" s="334"/>
      <c r="DG45" s="334"/>
      <c r="DH45" s="334"/>
      <c r="DI45" s="334"/>
      <c r="DJ45" s="334"/>
      <c r="DK45" s="334"/>
      <c r="DL45" s="52"/>
      <c r="DM45" s="44"/>
    </row>
    <row r="46" spans="1:117" s="45" customFormat="1" ht="7.5" customHeight="1" thickBot="1">
      <c r="A46" s="48"/>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c r="AS46" s="2298"/>
      <c r="AT46" s="2298"/>
      <c r="AU46" s="2298"/>
      <c r="AV46" s="2298"/>
      <c r="AW46" s="2298"/>
      <c r="AX46" s="2298"/>
      <c r="AY46" s="2298"/>
      <c r="AZ46" s="2298"/>
      <c r="BA46" s="2298"/>
      <c r="BB46" s="2298"/>
      <c r="BC46" s="2298"/>
      <c r="BD46" s="2298"/>
      <c r="BG46" s="48"/>
      <c r="BH46" s="48"/>
      <c r="DC46" s="334"/>
      <c r="DD46" s="334"/>
      <c r="DE46" s="334"/>
      <c r="DF46" s="334"/>
      <c r="DG46" s="334"/>
      <c r="DH46" s="334"/>
      <c r="DI46" s="334"/>
      <c r="DJ46" s="334"/>
      <c r="DK46" s="334"/>
      <c r="DL46" s="52"/>
      <c r="DM46" s="44"/>
    </row>
    <row r="47" spans="1:117" s="45" customFormat="1" ht="7.5" customHeight="1" thickTop="1" thickBot="1">
      <c r="A47" s="48"/>
      <c r="B47" s="934" t="s">
        <v>793</v>
      </c>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1069"/>
      <c r="AM47" s="1070"/>
      <c r="AN47" s="1070"/>
      <c r="AO47" s="1070"/>
      <c r="AP47" s="1070"/>
      <c r="AQ47" s="1070"/>
      <c r="AR47" s="1070"/>
      <c r="AS47" s="1070"/>
      <c r="AT47" s="1070"/>
      <c r="AU47" s="1070"/>
      <c r="AV47" s="1070"/>
      <c r="AW47" s="1070"/>
      <c r="AX47" s="1070"/>
      <c r="AY47" s="1070"/>
      <c r="AZ47" s="1070"/>
      <c r="BA47" s="1070"/>
      <c r="BB47" s="1070"/>
      <c r="BC47" s="1070"/>
      <c r="BD47" s="1070"/>
      <c r="BE47" s="1070"/>
      <c r="BF47" s="1071"/>
      <c r="BG47" s="48"/>
      <c r="BH47" s="48"/>
      <c r="DC47" s="334"/>
      <c r="DD47" s="334"/>
      <c r="DE47" s="334"/>
      <c r="DF47" s="334"/>
      <c r="DG47" s="334"/>
      <c r="DH47" s="334"/>
      <c r="DI47" s="334"/>
      <c r="DJ47" s="334"/>
      <c r="DK47" s="334"/>
      <c r="DL47" s="44"/>
      <c r="DM47" s="44"/>
    </row>
    <row r="48" spans="1:117" s="45" customFormat="1" ht="7.5" customHeight="1" thickTop="1">
      <c r="A48" s="48"/>
      <c r="B48" s="937"/>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1072"/>
      <c r="AM48" s="1073"/>
      <c r="AN48" s="1073"/>
      <c r="AO48" s="1073"/>
      <c r="AP48" s="1073"/>
      <c r="AQ48" s="1073"/>
      <c r="AR48" s="1073"/>
      <c r="AS48" s="1073"/>
      <c r="AT48" s="1073"/>
      <c r="AU48" s="1073"/>
      <c r="AV48" s="1073"/>
      <c r="AW48" s="1073"/>
      <c r="AX48" s="1073"/>
      <c r="AY48" s="1073"/>
      <c r="AZ48" s="1073"/>
      <c r="BA48" s="1073"/>
      <c r="BB48" s="1073"/>
      <c r="BC48" s="1073"/>
      <c r="BD48" s="1073"/>
      <c r="BE48" s="1073"/>
      <c r="BF48" s="1074"/>
      <c r="BG48" s="48"/>
      <c r="BH48" s="48"/>
      <c r="BI48" s="1075" t="s">
        <v>572</v>
      </c>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7"/>
      <c r="DC48" s="1081" t="s">
        <v>263</v>
      </c>
      <c r="DD48" s="1082"/>
      <c r="DE48" s="1082"/>
      <c r="DF48" s="1082"/>
      <c r="DG48" s="1082"/>
      <c r="DH48" s="1082"/>
      <c r="DI48" s="1082"/>
      <c r="DJ48" s="1082"/>
      <c r="DK48" s="1083"/>
      <c r="DL48" s="44"/>
      <c r="DM48" s="44"/>
    </row>
    <row r="49" spans="1:157" s="45" customFormat="1" ht="7.5" customHeight="1">
      <c r="A49" s="48"/>
      <c r="B49" s="1090" t="s">
        <v>72</v>
      </c>
      <c r="C49" s="1091"/>
      <c r="D49" s="1091"/>
      <c r="E49" s="1091"/>
      <c r="F49" s="1092"/>
      <c r="G49" s="3139"/>
      <c r="H49" s="3140"/>
      <c r="I49" s="3140"/>
      <c r="J49" s="3140"/>
      <c r="K49" s="3140"/>
      <c r="L49" s="3140"/>
      <c r="M49" s="3140"/>
      <c r="N49" s="3140"/>
      <c r="O49" s="3140"/>
      <c r="P49" s="3140"/>
      <c r="Q49" s="3140"/>
      <c r="R49" s="3140"/>
      <c r="S49" s="3140"/>
      <c r="T49" s="3140"/>
      <c r="U49" s="3140"/>
      <c r="V49" s="3140"/>
      <c r="W49" s="3140"/>
      <c r="X49" s="3140"/>
      <c r="Y49" s="3140"/>
      <c r="Z49" s="3140"/>
      <c r="AA49" s="3140"/>
      <c r="AB49" s="3140"/>
      <c r="AC49" s="3140"/>
      <c r="AD49" s="3140"/>
      <c r="AE49" s="3140"/>
      <c r="AF49" s="3140"/>
      <c r="AG49" s="3140"/>
      <c r="AH49" s="3140"/>
      <c r="AI49" s="3140"/>
      <c r="AJ49" s="3140"/>
      <c r="AK49" s="3140"/>
      <c r="AL49" s="3140"/>
      <c r="AM49" s="3140"/>
      <c r="AN49" s="3140"/>
      <c r="AO49" s="3140"/>
      <c r="AP49" s="3140"/>
      <c r="AQ49" s="3140"/>
      <c r="AR49" s="3140"/>
      <c r="AS49" s="3140"/>
      <c r="AT49" s="3140"/>
      <c r="AU49" s="3140"/>
      <c r="AV49" s="3140"/>
      <c r="AW49" s="3140"/>
      <c r="AX49" s="3140"/>
      <c r="AY49" s="3140"/>
      <c r="AZ49" s="3140"/>
      <c r="BA49" s="3140"/>
      <c r="BB49" s="3140"/>
      <c r="BC49" s="3140"/>
      <c r="BD49" s="3140"/>
      <c r="BE49" s="3140"/>
      <c r="BF49" s="3141"/>
      <c r="BG49" s="48"/>
      <c r="BH49" s="48"/>
      <c r="BI49" s="1078"/>
      <c r="BJ49" s="1079"/>
      <c r="BK49" s="1079"/>
      <c r="BL49" s="1079"/>
      <c r="BM49" s="1079"/>
      <c r="BN49" s="1079"/>
      <c r="BO49" s="1079"/>
      <c r="BP49" s="1079"/>
      <c r="BQ49" s="1079"/>
      <c r="BR49" s="1079"/>
      <c r="BS49" s="1079"/>
      <c r="BT49" s="1079"/>
      <c r="BU49" s="1079"/>
      <c r="BV49" s="1079"/>
      <c r="BW49" s="1079"/>
      <c r="BX49" s="1079"/>
      <c r="BY49" s="1079"/>
      <c r="BZ49" s="1079"/>
      <c r="CA49" s="1079"/>
      <c r="CB49" s="1079"/>
      <c r="CC49" s="1079"/>
      <c r="CD49" s="1079"/>
      <c r="CE49" s="1079"/>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80"/>
      <c r="DC49" s="1084"/>
      <c r="DD49" s="1085"/>
      <c r="DE49" s="1085"/>
      <c r="DF49" s="1085"/>
      <c r="DG49" s="1085"/>
      <c r="DH49" s="1085"/>
      <c r="DI49" s="1085"/>
      <c r="DJ49" s="1085"/>
      <c r="DK49" s="1086"/>
      <c r="DL49" s="44"/>
      <c r="DM49" s="44"/>
    </row>
    <row r="50" spans="1:157" s="45" customFormat="1" ht="7.5" customHeight="1">
      <c r="A50" s="48"/>
      <c r="B50" s="1093" t="s">
        <v>794</v>
      </c>
      <c r="C50" s="1094"/>
      <c r="D50" s="1094"/>
      <c r="E50" s="1094"/>
      <c r="F50" s="1095"/>
      <c r="G50" s="1099" t="s">
        <v>1605</v>
      </c>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3160" t="s">
        <v>1260</v>
      </c>
      <c r="AP50" s="1103"/>
      <c r="AQ50" s="1103"/>
      <c r="AR50" s="1103"/>
      <c r="AS50" s="1103"/>
      <c r="AT50" s="1103"/>
      <c r="AU50" s="1103"/>
      <c r="AV50" s="1103"/>
      <c r="AW50" s="1103"/>
      <c r="AX50" s="1103"/>
      <c r="AY50" s="1103"/>
      <c r="AZ50" s="1104"/>
      <c r="BA50" s="1107"/>
      <c r="BB50" s="1107"/>
      <c r="BC50" s="1107"/>
      <c r="BD50" s="1107"/>
      <c r="BE50" s="1107"/>
      <c r="BF50" s="1108"/>
      <c r="BG50" s="48"/>
      <c r="BH50" s="48"/>
      <c r="BI50" s="1111"/>
      <c r="BJ50" s="1112"/>
      <c r="BK50" s="1112"/>
      <c r="BL50" s="1112"/>
      <c r="BM50" s="1112"/>
      <c r="BN50" s="1112"/>
      <c r="BO50" s="1112"/>
      <c r="BP50" s="1112"/>
      <c r="BQ50" s="1112"/>
      <c r="BR50" s="1112"/>
      <c r="BS50" s="1112"/>
      <c r="BT50" s="1112"/>
      <c r="BU50" s="1112"/>
      <c r="BV50" s="1112"/>
      <c r="BW50" s="1112"/>
      <c r="BX50" s="1112"/>
      <c r="BY50" s="1112"/>
      <c r="BZ50" s="1112"/>
      <c r="CA50" s="1112"/>
      <c r="CB50" s="1112"/>
      <c r="CC50" s="1112"/>
      <c r="CD50" s="1112"/>
      <c r="CE50" s="1112"/>
      <c r="CF50" s="1112"/>
      <c r="CG50" s="1112"/>
      <c r="CH50" s="1112"/>
      <c r="CI50" s="1112"/>
      <c r="CJ50" s="1112"/>
      <c r="CK50" s="1112"/>
      <c r="CL50" s="1112"/>
      <c r="CM50" s="1112"/>
      <c r="CN50" s="1112"/>
      <c r="CO50" s="1112"/>
      <c r="CP50" s="1112"/>
      <c r="CQ50" s="1112"/>
      <c r="CR50" s="1112"/>
      <c r="CS50" s="1112"/>
      <c r="CT50" s="1112"/>
      <c r="CU50" s="1112"/>
      <c r="CV50" s="1112"/>
      <c r="CW50" s="1112"/>
      <c r="CX50" s="1112"/>
      <c r="CY50" s="1112"/>
      <c r="CZ50" s="1112"/>
      <c r="DA50" s="1112"/>
      <c r="DB50" s="1115"/>
      <c r="DC50" s="1084"/>
      <c r="DD50" s="1085"/>
      <c r="DE50" s="1085"/>
      <c r="DF50" s="1085"/>
      <c r="DG50" s="1085"/>
      <c r="DH50" s="1085"/>
      <c r="DI50" s="1085"/>
      <c r="DJ50" s="1085"/>
      <c r="DK50" s="1086"/>
      <c r="DL50" s="44"/>
      <c r="DM50" s="48"/>
      <c r="DN50" s="49"/>
      <c r="DO50" s="49"/>
      <c r="DP50" s="274"/>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row>
    <row r="51" spans="1:157" s="45" customFormat="1" ht="7.5" customHeight="1" thickBot="1">
      <c r="A51" s="48"/>
      <c r="B51" s="1096"/>
      <c r="C51" s="1097"/>
      <c r="D51" s="1097"/>
      <c r="E51" s="1097"/>
      <c r="F51" s="1098"/>
      <c r="G51" s="1101"/>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3161"/>
      <c r="AP51" s="1105"/>
      <c r="AQ51" s="1105"/>
      <c r="AR51" s="1105"/>
      <c r="AS51" s="1105"/>
      <c r="AT51" s="1105"/>
      <c r="AU51" s="1105"/>
      <c r="AV51" s="1105"/>
      <c r="AW51" s="1105"/>
      <c r="AX51" s="1105"/>
      <c r="AY51" s="1105"/>
      <c r="AZ51" s="1106"/>
      <c r="BA51" s="1109"/>
      <c r="BB51" s="1109"/>
      <c r="BC51" s="1109"/>
      <c r="BD51" s="1109"/>
      <c r="BE51" s="1109"/>
      <c r="BF51" s="1110"/>
      <c r="BG51" s="48"/>
      <c r="BH51" s="48"/>
      <c r="BI51" s="1113"/>
      <c r="BJ51" s="1114"/>
      <c r="BK51" s="1114"/>
      <c r="BL51" s="1114"/>
      <c r="BM51" s="1114"/>
      <c r="BN51" s="1114"/>
      <c r="BO51" s="1114"/>
      <c r="BP51" s="1114"/>
      <c r="BQ51" s="1114"/>
      <c r="BR51" s="1114"/>
      <c r="BS51" s="1114"/>
      <c r="BT51" s="1114"/>
      <c r="BU51" s="1114"/>
      <c r="BV51" s="1114"/>
      <c r="BW51" s="1114"/>
      <c r="BX51" s="1114"/>
      <c r="BY51" s="1114"/>
      <c r="BZ51" s="1114"/>
      <c r="CA51" s="1114"/>
      <c r="CB51" s="1114"/>
      <c r="CC51" s="1114"/>
      <c r="CD51" s="1114"/>
      <c r="CE51" s="1114"/>
      <c r="CF51" s="1114"/>
      <c r="CG51" s="1114"/>
      <c r="CH51" s="1114"/>
      <c r="CI51" s="1114"/>
      <c r="CJ51" s="1114"/>
      <c r="CK51" s="1114"/>
      <c r="CL51" s="1114"/>
      <c r="CM51" s="1114"/>
      <c r="CN51" s="1114"/>
      <c r="CO51" s="1114"/>
      <c r="CP51" s="1114"/>
      <c r="CQ51" s="1114"/>
      <c r="CR51" s="1114"/>
      <c r="CS51" s="1114"/>
      <c r="CT51" s="1114"/>
      <c r="CU51" s="1114"/>
      <c r="CV51" s="1114"/>
      <c r="CW51" s="1114"/>
      <c r="CX51" s="1114"/>
      <c r="CY51" s="1114"/>
      <c r="CZ51" s="1114"/>
      <c r="DA51" s="1114"/>
      <c r="DB51" s="1116"/>
      <c r="DC51" s="1087"/>
      <c r="DD51" s="1088"/>
      <c r="DE51" s="1088"/>
      <c r="DF51" s="1088"/>
      <c r="DG51" s="1088"/>
      <c r="DH51" s="1088"/>
      <c r="DI51" s="1088"/>
      <c r="DJ51" s="1088"/>
      <c r="DK51" s="1089"/>
      <c r="DL51" s="44"/>
      <c r="DM51" s="48"/>
      <c r="DN51" s="49"/>
      <c r="DO51" s="49"/>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row>
    <row r="52" spans="1:157" s="45" customFormat="1" ht="7.5" customHeight="1">
      <c r="A52" s="48"/>
      <c r="B52" s="1117" t="s">
        <v>75</v>
      </c>
      <c r="C52" s="1118"/>
      <c r="D52" s="1118"/>
      <c r="E52" s="1118"/>
      <c r="F52" s="1119"/>
      <c r="G52" s="3127" t="s">
        <v>73</v>
      </c>
      <c r="H52" s="3128"/>
      <c r="I52" s="3128"/>
      <c r="J52" s="3128"/>
      <c r="K52" s="3128"/>
      <c r="L52" s="3129"/>
      <c r="M52" s="3133" t="s">
        <v>1607</v>
      </c>
      <c r="N52" s="3134"/>
      <c r="O52" s="3134"/>
      <c r="P52" s="3134"/>
      <c r="Q52" s="3134"/>
      <c r="R52" s="3134"/>
      <c r="S52" s="3134"/>
      <c r="T52" s="3134"/>
      <c r="U52" s="3134"/>
      <c r="V52" s="3134"/>
      <c r="W52" s="3135"/>
      <c r="X52" s="3127" t="s">
        <v>11</v>
      </c>
      <c r="Y52" s="3128"/>
      <c r="Z52" s="3128"/>
      <c r="AA52" s="3128"/>
      <c r="AB52" s="3128"/>
      <c r="AC52" s="3129"/>
      <c r="AD52" s="3133" t="s">
        <v>313</v>
      </c>
      <c r="AE52" s="3134"/>
      <c r="AF52" s="3134"/>
      <c r="AG52" s="3134"/>
      <c r="AH52" s="3134"/>
      <c r="AI52" s="3134"/>
      <c r="AJ52" s="3134"/>
      <c r="AK52" s="3134"/>
      <c r="AL52" s="3134"/>
      <c r="AM52" s="3134"/>
      <c r="AN52" s="3135"/>
      <c r="AO52" s="3127" t="s">
        <v>74</v>
      </c>
      <c r="AP52" s="3128"/>
      <c r="AQ52" s="3128"/>
      <c r="AR52" s="3128"/>
      <c r="AS52" s="3128"/>
      <c r="AT52" s="3129"/>
      <c r="AU52" s="3133" t="s">
        <v>1609</v>
      </c>
      <c r="AV52" s="3134"/>
      <c r="AW52" s="3134"/>
      <c r="AX52" s="3134"/>
      <c r="AY52" s="3134"/>
      <c r="AZ52" s="3134"/>
      <c r="BA52" s="3134"/>
      <c r="BB52" s="3134"/>
      <c r="BC52" s="3134"/>
      <c r="BD52" s="3134"/>
      <c r="BE52" s="3134"/>
      <c r="BF52" s="3142"/>
      <c r="BG52" s="48"/>
      <c r="BH52" s="48"/>
      <c r="BI52" s="1126" t="s">
        <v>664</v>
      </c>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c r="CK52" s="1127"/>
      <c r="CL52" s="1127"/>
      <c r="CM52" s="1127"/>
      <c r="CN52" s="1127"/>
      <c r="CO52" s="1127"/>
      <c r="CP52" s="1127"/>
      <c r="CQ52" s="1127"/>
      <c r="CR52" s="1127"/>
      <c r="CS52" s="1127"/>
      <c r="CT52" s="1127"/>
      <c r="CU52" s="1127"/>
      <c r="CV52" s="1127"/>
      <c r="CW52" s="1127"/>
      <c r="CX52" s="1127"/>
      <c r="CY52" s="1127"/>
      <c r="CZ52" s="1127"/>
      <c r="DA52" s="1127"/>
      <c r="DB52" s="1128"/>
      <c r="DC52" s="1132"/>
      <c r="DD52" s="1133"/>
      <c r="DE52" s="1133"/>
      <c r="DF52" s="1133"/>
      <c r="DG52" s="1133"/>
      <c r="DH52" s="1133"/>
      <c r="DI52" s="1133"/>
      <c r="DJ52" s="1133"/>
      <c r="DK52" s="1134"/>
      <c r="DL52" s="50"/>
      <c r="DM52" s="48"/>
      <c r="DN52" s="49"/>
      <c r="DO52" s="49"/>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row>
    <row r="53" spans="1:157" s="45" customFormat="1" ht="7.5" customHeight="1">
      <c r="A53" s="48"/>
      <c r="B53" s="1120"/>
      <c r="C53" s="1121"/>
      <c r="D53" s="1121"/>
      <c r="E53" s="1121"/>
      <c r="F53" s="1122"/>
      <c r="G53" s="3130"/>
      <c r="H53" s="3131"/>
      <c r="I53" s="3131"/>
      <c r="J53" s="3131"/>
      <c r="K53" s="3131"/>
      <c r="L53" s="3132"/>
      <c r="M53" s="3136"/>
      <c r="N53" s="3137"/>
      <c r="O53" s="3137"/>
      <c r="P53" s="3137"/>
      <c r="Q53" s="3137"/>
      <c r="R53" s="3137"/>
      <c r="S53" s="3137"/>
      <c r="T53" s="3137"/>
      <c r="U53" s="3137"/>
      <c r="V53" s="3137"/>
      <c r="W53" s="3138"/>
      <c r="X53" s="3130"/>
      <c r="Y53" s="3131"/>
      <c r="Z53" s="3131"/>
      <c r="AA53" s="3131"/>
      <c r="AB53" s="3131"/>
      <c r="AC53" s="3132"/>
      <c r="AD53" s="3136"/>
      <c r="AE53" s="3137"/>
      <c r="AF53" s="3137"/>
      <c r="AG53" s="3137"/>
      <c r="AH53" s="3137"/>
      <c r="AI53" s="3137"/>
      <c r="AJ53" s="3137"/>
      <c r="AK53" s="3137"/>
      <c r="AL53" s="3137"/>
      <c r="AM53" s="3137"/>
      <c r="AN53" s="3138"/>
      <c r="AO53" s="3130"/>
      <c r="AP53" s="3131"/>
      <c r="AQ53" s="3131"/>
      <c r="AR53" s="3131"/>
      <c r="AS53" s="3131"/>
      <c r="AT53" s="3132"/>
      <c r="AU53" s="3136"/>
      <c r="AV53" s="3137"/>
      <c r="AW53" s="3137"/>
      <c r="AX53" s="3137"/>
      <c r="AY53" s="3137"/>
      <c r="AZ53" s="3137"/>
      <c r="BA53" s="3137"/>
      <c r="BB53" s="3137"/>
      <c r="BC53" s="3137"/>
      <c r="BD53" s="3137"/>
      <c r="BE53" s="3137"/>
      <c r="BF53" s="3143"/>
      <c r="BG53" s="48"/>
      <c r="BH53" s="48"/>
      <c r="BI53" s="1129"/>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1"/>
      <c r="DC53" s="1132"/>
      <c r="DD53" s="1133"/>
      <c r="DE53" s="1133"/>
      <c r="DF53" s="1133"/>
      <c r="DG53" s="1133"/>
      <c r="DH53" s="1133"/>
      <c r="DI53" s="1133"/>
      <c r="DJ53" s="1133"/>
      <c r="DK53" s="1134"/>
      <c r="DL53" s="50"/>
      <c r="DM53" s="44"/>
      <c r="DP53" s="273"/>
      <c r="DQ53" s="273"/>
      <c r="DR53" s="273"/>
      <c r="DS53" s="1183" t="s">
        <v>643</v>
      </c>
      <c r="DT53" s="1183"/>
      <c r="DU53" s="1183"/>
      <c r="DV53" s="1183"/>
      <c r="DW53" s="1183"/>
      <c r="DX53" s="1183"/>
      <c r="DY53" s="118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1183" t="s">
        <v>642</v>
      </c>
      <c r="EV53" s="1183"/>
      <c r="EW53" s="1183"/>
      <c r="EX53" s="1183"/>
      <c r="EY53" s="1183"/>
      <c r="EZ53" s="1183"/>
      <c r="FA53" s="1183"/>
    </row>
    <row r="54" spans="1:157" s="45" customFormat="1" ht="7.5" customHeight="1">
      <c r="A54" s="48"/>
      <c r="B54" s="1120"/>
      <c r="C54" s="1121"/>
      <c r="D54" s="1121"/>
      <c r="E54" s="1121"/>
      <c r="F54" s="1122"/>
      <c r="G54" s="3127" t="s">
        <v>76</v>
      </c>
      <c r="H54" s="3128"/>
      <c r="I54" s="3128"/>
      <c r="J54" s="3128"/>
      <c r="K54" s="3128"/>
      <c r="L54" s="3129"/>
      <c r="M54" s="793" t="s">
        <v>1611</v>
      </c>
      <c r="N54" s="794"/>
      <c r="O54" s="794"/>
      <c r="P54" s="794"/>
      <c r="Q54" s="794"/>
      <c r="R54" s="794"/>
      <c r="S54" s="794"/>
      <c r="T54" s="794"/>
      <c r="U54" s="794"/>
      <c r="V54" s="794"/>
      <c r="W54" s="794"/>
      <c r="X54" s="794"/>
      <c r="Y54" s="794"/>
      <c r="Z54" s="794"/>
      <c r="AA54" s="794"/>
      <c r="AB54" s="794"/>
      <c r="AC54" s="794"/>
      <c r="AD54" s="794"/>
      <c r="AE54" s="794"/>
      <c r="AF54" s="795"/>
      <c r="AG54" s="3127" t="s">
        <v>77</v>
      </c>
      <c r="AH54" s="3128"/>
      <c r="AI54" s="3128"/>
      <c r="AJ54" s="3128"/>
      <c r="AK54" s="3128"/>
      <c r="AL54" s="3129"/>
      <c r="AM54" s="928" t="s">
        <v>1613</v>
      </c>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1184"/>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1186"/>
      <c r="CG54" s="1187"/>
      <c r="CH54" s="1187"/>
      <c r="CI54" s="1187"/>
      <c r="CJ54" s="1187"/>
      <c r="CK54" s="1187"/>
      <c r="CL54" s="1187"/>
      <c r="CM54" s="1187"/>
      <c r="CN54" s="1187"/>
      <c r="CO54" s="1187"/>
      <c r="CP54" s="1187"/>
      <c r="CQ54" s="1187"/>
      <c r="CR54" s="1187"/>
      <c r="CS54" s="1187"/>
      <c r="CT54" s="1187"/>
      <c r="CU54" s="1187"/>
      <c r="CV54" s="1187"/>
      <c r="CW54" s="1187"/>
      <c r="CX54" s="1187"/>
      <c r="CY54" s="1187"/>
      <c r="CZ54" s="1187"/>
      <c r="DA54" s="1187"/>
      <c r="DB54" s="1188"/>
      <c r="DC54" s="1132"/>
      <c r="DD54" s="1133"/>
      <c r="DE54" s="1133"/>
      <c r="DF54" s="1133"/>
      <c r="DG54" s="1133"/>
      <c r="DH54" s="1133"/>
      <c r="DI54" s="1133"/>
      <c r="DJ54" s="1133"/>
      <c r="DK54" s="1134"/>
      <c r="DL54" s="52"/>
      <c r="DM54" s="44"/>
      <c r="DP54" s="273"/>
      <c r="DQ54" s="273"/>
      <c r="DR54" s="273"/>
      <c r="DS54" s="1183"/>
      <c r="DT54" s="1183"/>
      <c r="DU54" s="1183"/>
      <c r="DV54" s="1183"/>
      <c r="DW54" s="1183"/>
      <c r="DX54" s="1183"/>
      <c r="DY54" s="1183"/>
      <c r="DZ54" s="273"/>
      <c r="EA54" s="273"/>
      <c r="EB54" s="273"/>
      <c r="EC54" s="273"/>
      <c r="ED54" s="273"/>
      <c r="EE54" s="273"/>
      <c r="EF54" s="273"/>
      <c r="EG54" s="273"/>
      <c r="EH54" s="273"/>
      <c r="EI54" s="273"/>
      <c r="EJ54" s="273"/>
      <c r="EK54" s="273"/>
      <c r="EL54" s="273"/>
      <c r="EM54" s="273"/>
      <c r="EN54" s="273"/>
      <c r="EU54" s="1183"/>
      <c r="EV54" s="1183"/>
      <c r="EW54" s="1183"/>
      <c r="EX54" s="1183"/>
      <c r="EY54" s="1183"/>
      <c r="EZ54" s="1183"/>
      <c r="FA54" s="1183"/>
    </row>
    <row r="55" spans="1:157" s="45" customFormat="1" ht="7.5" customHeight="1">
      <c r="A55" s="48"/>
      <c r="B55" s="1123"/>
      <c r="C55" s="1124"/>
      <c r="D55" s="1124"/>
      <c r="E55" s="1124"/>
      <c r="F55" s="1125"/>
      <c r="G55" s="3130"/>
      <c r="H55" s="3131"/>
      <c r="I55" s="3131"/>
      <c r="J55" s="3131"/>
      <c r="K55" s="3131"/>
      <c r="L55" s="3132"/>
      <c r="M55" s="796"/>
      <c r="N55" s="797"/>
      <c r="O55" s="797"/>
      <c r="P55" s="797"/>
      <c r="Q55" s="797"/>
      <c r="R55" s="797"/>
      <c r="S55" s="797"/>
      <c r="T55" s="797"/>
      <c r="U55" s="797"/>
      <c r="V55" s="797"/>
      <c r="W55" s="797"/>
      <c r="X55" s="797"/>
      <c r="Y55" s="797"/>
      <c r="Z55" s="797"/>
      <c r="AA55" s="797"/>
      <c r="AB55" s="797"/>
      <c r="AC55" s="797"/>
      <c r="AD55" s="797"/>
      <c r="AE55" s="797"/>
      <c r="AF55" s="798"/>
      <c r="AG55" s="3130"/>
      <c r="AH55" s="3131"/>
      <c r="AI55" s="3131"/>
      <c r="AJ55" s="3131"/>
      <c r="AK55" s="3131"/>
      <c r="AL55" s="3132"/>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184"/>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1189"/>
      <c r="CG55" s="1190"/>
      <c r="CH55" s="1190"/>
      <c r="CI55" s="1190"/>
      <c r="CJ55" s="1190"/>
      <c r="CK55" s="1190"/>
      <c r="CL55" s="1190"/>
      <c r="CM55" s="1190"/>
      <c r="CN55" s="1190"/>
      <c r="CO55" s="1190"/>
      <c r="CP55" s="1190"/>
      <c r="CQ55" s="1190"/>
      <c r="CR55" s="1190"/>
      <c r="CS55" s="1190"/>
      <c r="CT55" s="1190"/>
      <c r="CU55" s="1190"/>
      <c r="CV55" s="1190"/>
      <c r="CW55" s="1190"/>
      <c r="CX55" s="1190"/>
      <c r="CY55" s="1190"/>
      <c r="CZ55" s="1190"/>
      <c r="DA55" s="1190"/>
      <c r="DB55" s="1191"/>
      <c r="DC55" s="1132"/>
      <c r="DD55" s="1133"/>
      <c r="DE55" s="1133"/>
      <c r="DF55" s="1133"/>
      <c r="DG55" s="1133"/>
      <c r="DH55" s="1133"/>
      <c r="DI55" s="1133"/>
      <c r="DJ55" s="1133"/>
      <c r="DK55" s="1134"/>
      <c r="DL55" s="52"/>
      <c r="DM55" s="44"/>
      <c r="DP55" s="273"/>
      <c r="DQ55" s="273"/>
      <c r="DR55" s="273"/>
      <c r="DZ55" s="273"/>
      <c r="EA55" s="273"/>
      <c r="EB55" s="273"/>
      <c r="EC55" s="273"/>
      <c r="ED55" s="273"/>
      <c r="EE55" s="273"/>
      <c r="EF55" s="273"/>
      <c r="EG55" s="273"/>
      <c r="EH55" s="273"/>
      <c r="EI55" s="273"/>
      <c r="EJ55" s="273"/>
      <c r="EK55" s="273"/>
      <c r="EL55" s="273"/>
      <c r="EM55" s="273"/>
      <c r="EN55" s="273"/>
    </row>
    <row r="56" spans="1:157" s="45" customFormat="1" ht="7.5" customHeight="1">
      <c r="A56" s="48"/>
      <c r="B56" s="1138" t="s">
        <v>795</v>
      </c>
      <c r="C56" s="1139"/>
      <c r="D56" s="1139"/>
      <c r="E56" s="1139"/>
      <c r="F56" s="1140"/>
      <c r="G56" s="1021" t="s">
        <v>1616</v>
      </c>
      <c r="H56" s="1022"/>
      <c r="I56" s="1022"/>
      <c r="J56" s="1022"/>
      <c r="K56" s="1022"/>
      <c r="L56" s="1022"/>
      <c r="M56" s="1022"/>
      <c r="N56" s="1022"/>
      <c r="O56" s="1022"/>
      <c r="P56" s="1022"/>
      <c r="Q56" s="1022"/>
      <c r="R56" s="1022"/>
      <c r="S56" s="1022"/>
      <c r="T56" s="1022"/>
      <c r="U56" s="1022"/>
      <c r="V56" s="1022"/>
      <c r="W56" s="1022"/>
      <c r="X56" s="1022"/>
      <c r="Y56" s="1022"/>
      <c r="Z56" s="1022"/>
      <c r="AA56" s="1023"/>
      <c r="AB56" s="3191" t="s">
        <v>72</v>
      </c>
      <c r="AC56" s="3162"/>
      <c r="AD56" s="3162"/>
      <c r="AE56" s="3162"/>
      <c r="AF56" s="3163"/>
      <c r="AG56" s="3164"/>
      <c r="AH56" s="3145"/>
      <c r="AI56" s="3145"/>
      <c r="AJ56" s="3145"/>
      <c r="AK56" s="3145"/>
      <c r="AL56" s="3145"/>
      <c r="AM56" s="3145"/>
      <c r="AN56" s="3145"/>
      <c r="AO56" s="3145"/>
      <c r="AP56" s="3145"/>
      <c r="AQ56" s="3145"/>
      <c r="AR56" s="3145"/>
      <c r="AS56" s="3192"/>
      <c r="AT56" s="3144"/>
      <c r="AU56" s="3145"/>
      <c r="AV56" s="3145"/>
      <c r="AW56" s="3145"/>
      <c r="AX56" s="3145"/>
      <c r="AY56" s="3145"/>
      <c r="AZ56" s="3145"/>
      <c r="BA56" s="3145"/>
      <c r="BB56" s="3145"/>
      <c r="BC56" s="3145"/>
      <c r="BD56" s="3145"/>
      <c r="BE56" s="3145"/>
      <c r="BF56" s="3146"/>
      <c r="BG56" s="48"/>
      <c r="BH56" s="48"/>
      <c r="BI56" s="2260"/>
      <c r="BJ56" s="2261"/>
      <c r="BK56" s="2261"/>
      <c r="BL56" s="2261"/>
      <c r="BM56" s="2261"/>
      <c r="BN56" s="2261"/>
      <c r="BO56" s="2261"/>
      <c r="BP56" s="2261"/>
      <c r="BQ56" s="2261"/>
      <c r="BR56" s="2261"/>
      <c r="BS56" s="2261"/>
      <c r="BT56" s="2261"/>
      <c r="BU56" s="2261"/>
      <c r="BV56" s="2261"/>
      <c r="BW56" s="2261"/>
      <c r="BX56" s="2261"/>
      <c r="BY56" s="2261"/>
      <c r="BZ56" s="2261"/>
      <c r="CA56" s="2261"/>
      <c r="CB56" s="2261"/>
      <c r="CC56" s="2261"/>
      <c r="CD56" s="2261"/>
      <c r="CE56" s="2261"/>
      <c r="CF56" s="1192"/>
      <c r="CG56" s="1192"/>
      <c r="CH56" s="1192"/>
      <c r="CI56" s="1192"/>
      <c r="CJ56" s="1192"/>
      <c r="CK56" s="1192"/>
      <c r="CL56" s="1192"/>
      <c r="CM56" s="1192"/>
      <c r="CN56" s="1192"/>
      <c r="CO56" s="1192"/>
      <c r="CP56" s="1192"/>
      <c r="CQ56" s="1192"/>
      <c r="CR56" s="1192"/>
      <c r="CS56" s="1192"/>
      <c r="CT56" s="1192"/>
      <c r="CU56" s="1192"/>
      <c r="CV56" s="1192"/>
      <c r="CW56" s="1192"/>
      <c r="CX56" s="1192"/>
      <c r="CY56" s="1192"/>
      <c r="CZ56" s="1192"/>
      <c r="DA56" s="1192"/>
      <c r="DB56" s="1193"/>
      <c r="DC56" s="1132"/>
      <c r="DD56" s="1133"/>
      <c r="DE56" s="1133"/>
      <c r="DF56" s="1133"/>
      <c r="DG56" s="1133"/>
      <c r="DH56" s="1133"/>
      <c r="DI56" s="1133"/>
      <c r="DJ56" s="1133"/>
      <c r="DK56" s="1134"/>
      <c r="DL56" s="52"/>
      <c r="DM56" s="44"/>
      <c r="DP56" s="273"/>
      <c r="DQ56" s="273"/>
      <c r="DR56" s="273"/>
      <c r="EB56" s="273"/>
      <c r="EC56" s="273"/>
      <c r="ED56" s="273"/>
      <c r="EE56" s="273"/>
      <c r="EF56" s="273"/>
      <c r="EG56" s="273"/>
      <c r="EH56" s="273"/>
      <c r="EI56" s="273"/>
      <c r="EJ56" s="273"/>
      <c r="EK56" s="273"/>
      <c r="EL56" s="273"/>
      <c r="EM56" s="273"/>
      <c r="EN56" s="273"/>
      <c r="EO56" s="273"/>
    </row>
    <row r="57" spans="1:157" s="45" customFormat="1" ht="7.5" customHeight="1">
      <c r="A57" s="48"/>
      <c r="B57" s="1141"/>
      <c r="C57" s="1142"/>
      <c r="D57" s="1142"/>
      <c r="E57" s="1142"/>
      <c r="F57" s="1143"/>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3147" t="s">
        <v>797</v>
      </c>
      <c r="AC57" s="3148"/>
      <c r="AD57" s="3148"/>
      <c r="AE57" s="3148"/>
      <c r="AF57" s="3149"/>
      <c r="AG57" s="1194" t="s">
        <v>1618</v>
      </c>
      <c r="AH57" s="1057"/>
      <c r="AI57" s="1057"/>
      <c r="AJ57" s="1057"/>
      <c r="AK57" s="1057"/>
      <c r="AL57" s="1057"/>
      <c r="AM57" s="1057"/>
      <c r="AN57" s="1057"/>
      <c r="AO57" s="1057"/>
      <c r="AP57" s="1057"/>
      <c r="AQ57" s="1057"/>
      <c r="AR57" s="1057"/>
      <c r="AS57" s="1195"/>
      <c r="AT57" s="1056"/>
      <c r="AU57" s="1057"/>
      <c r="AV57" s="1057"/>
      <c r="AW57" s="1057"/>
      <c r="AX57" s="1057"/>
      <c r="AY57" s="1057"/>
      <c r="AZ57" s="1057"/>
      <c r="BA57" s="1057"/>
      <c r="BB57" s="1057"/>
      <c r="BC57" s="1057"/>
      <c r="BD57" s="1057"/>
      <c r="BE57" s="1057"/>
      <c r="BF57" s="1058"/>
      <c r="BG57" s="48"/>
      <c r="BH57" s="48"/>
      <c r="BI57" s="2260"/>
      <c r="BJ57" s="2261"/>
      <c r="BK57" s="2261"/>
      <c r="BL57" s="2261"/>
      <c r="BM57" s="2261"/>
      <c r="BN57" s="2261"/>
      <c r="BO57" s="2261"/>
      <c r="BP57" s="2261"/>
      <c r="BQ57" s="2261"/>
      <c r="BR57" s="2261"/>
      <c r="BS57" s="2261"/>
      <c r="BT57" s="2261"/>
      <c r="BU57" s="2261"/>
      <c r="BV57" s="2261"/>
      <c r="BW57" s="2261"/>
      <c r="BX57" s="2261"/>
      <c r="BY57" s="2261"/>
      <c r="BZ57" s="2261"/>
      <c r="CA57" s="2261"/>
      <c r="CB57" s="2261"/>
      <c r="CC57" s="2261"/>
      <c r="CD57" s="2261"/>
      <c r="CE57" s="2261"/>
      <c r="CF57" s="1192"/>
      <c r="CG57" s="1192"/>
      <c r="CH57" s="1192"/>
      <c r="CI57" s="1192"/>
      <c r="CJ57" s="1192"/>
      <c r="CK57" s="1192"/>
      <c r="CL57" s="1192"/>
      <c r="CM57" s="1192"/>
      <c r="CN57" s="1192"/>
      <c r="CO57" s="1192"/>
      <c r="CP57" s="1192"/>
      <c r="CQ57" s="1192"/>
      <c r="CR57" s="1192"/>
      <c r="CS57" s="1192"/>
      <c r="CT57" s="1192"/>
      <c r="CU57" s="1192"/>
      <c r="CV57" s="1192"/>
      <c r="CW57" s="1192"/>
      <c r="CX57" s="1192"/>
      <c r="CY57" s="1192"/>
      <c r="CZ57" s="1192"/>
      <c r="DA57" s="1192"/>
      <c r="DB57" s="1193"/>
      <c r="DC57" s="1132"/>
      <c r="DD57" s="1133"/>
      <c r="DE57" s="1133"/>
      <c r="DF57" s="1133"/>
      <c r="DG57" s="1133"/>
      <c r="DH57" s="1133"/>
      <c r="DI57" s="1133"/>
      <c r="DJ57" s="1133"/>
      <c r="DK57" s="1134"/>
      <c r="DL57" s="48"/>
      <c r="DM57" s="44"/>
    </row>
    <row r="58" spans="1:157" s="45" customFormat="1" ht="7.5" customHeight="1">
      <c r="A58" s="48"/>
      <c r="B58" s="1144"/>
      <c r="C58" s="1145"/>
      <c r="D58" s="1145"/>
      <c r="E58" s="1145"/>
      <c r="F58" s="1146"/>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3150"/>
      <c r="AC58" s="1145"/>
      <c r="AD58" s="1145"/>
      <c r="AE58" s="1145"/>
      <c r="AF58" s="1146"/>
      <c r="AG58" s="1027"/>
      <c r="AH58" s="1028"/>
      <c r="AI58" s="1028"/>
      <c r="AJ58" s="1028"/>
      <c r="AK58" s="1028"/>
      <c r="AL58" s="1028"/>
      <c r="AM58" s="1028"/>
      <c r="AN58" s="1028"/>
      <c r="AO58" s="1028"/>
      <c r="AP58" s="1028"/>
      <c r="AQ58" s="1028"/>
      <c r="AR58" s="1028"/>
      <c r="AS58" s="1196"/>
      <c r="AT58" s="1059"/>
      <c r="AU58" s="1028"/>
      <c r="AV58" s="1028"/>
      <c r="AW58" s="1028"/>
      <c r="AX58" s="1028"/>
      <c r="AY58" s="1028"/>
      <c r="AZ58" s="1028"/>
      <c r="BA58" s="1028"/>
      <c r="BB58" s="1028"/>
      <c r="BC58" s="1028"/>
      <c r="BD58" s="1028"/>
      <c r="BE58" s="1028"/>
      <c r="BF58" s="1060"/>
      <c r="BG58" s="48"/>
      <c r="BH58" s="48"/>
      <c r="BI58" s="2260"/>
      <c r="BJ58" s="2261"/>
      <c r="BK58" s="2261"/>
      <c r="BL58" s="2261"/>
      <c r="BM58" s="2261"/>
      <c r="BN58" s="2261"/>
      <c r="BO58" s="2261"/>
      <c r="BP58" s="2261"/>
      <c r="BQ58" s="2261"/>
      <c r="BR58" s="2261"/>
      <c r="BS58" s="2261"/>
      <c r="BT58" s="2261"/>
      <c r="BU58" s="2261"/>
      <c r="BV58" s="2261"/>
      <c r="BW58" s="2261"/>
      <c r="BX58" s="2261"/>
      <c r="BY58" s="2261"/>
      <c r="BZ58" s="2261"/>
      <c r="CA58" s="2261"/>
      <c r="CB58" s="2261"/>
      <c r="CC58" s="2261"/>
      <c r="CD58" s="2261"/>
      <c r="CE58" s="2261"/>
      <c r="CF58" s="1200"/>
      <c r="CG58" s="1192"/>
      <c r="CH58" s="1192"/>
      <c r="CI58" s="1192"/>
      <c r="CJ58" s="1192"/>
      <c r="CK58" s="1192"/>
      <c r="CL58" s="1192"/>
      <c r="CM58" s="1192"/>
      <c r="CN58" s="1192"/>
      <c r="CO58" s="1192"/>
      <c r="CP58" s="1192"/>
      <c r="CQ58" s="1192"/>
      <c r="CR58" s="1192"/>
      <c r="CS58" s="1192"/>
      <c r="CT58" s="1192"/>
      <c r="CU58" s="1192"/>
      <c r="CV58" s="1192"/>
      <c r="CW58" s="1192"/>
      <c r="CX58" s="1192"/>
      <c r="CY58" s="1192"/>
      <c r="CZ58" s="1192"/>
      <c r="DA58" s="1192"/>
      <c r="DB58" s="1193"/>
      <c r="DC58" s="1132"/>
      <c r="DD58" s="1133"/>
      <c r="DE58" s="1133"/>
      <c r="DF58" s="1133"/>
      <c r="DG58" s="1133"/>
      <c r="DH58" s="1133"/>
      <c r="DI58" s="1133"/>
      <c r="DJ58" s="1133"/>
      <c r="DK58" s="1134"/>
      <c r="DL58" s="44"/>
      <c r="DM58" s="44"/>
    </row>
    <row r="59" spans="1:157" s="45" customFormat="1" ht="7.5" customHeight="1">
      <c r="A59" s="48"/>
      <c r="B59" s="1138" t="s">
        <v>570</v>
      </c>
      <c r="C59" s="1139"/>
      <c r="D59" s="1139"/>
      <c r="E59" s="1139"/>
      <c r="F59" s="1140"/>
      <c r="G59" s="3165"/>
      <c r="H59" s="3166"/>
      <c r="I59" s="3166"/>
      <c r="J59" s="3166"/>
      <c r="K59" s="3166"/>
      <c r="L59" s="3166"/>
      <c r="M59" s="3166"/>
      <c r="N59" s="3166"/>
      <c r="O59" s="3166"/>
      <c r="P59" s="3166"/>
      <c r="Q59" s="3166"/>
      <c r="R59" s="3166"/>
      <c r="S59" s="3166"/>
      <c r="T59" s="3166"/>
      <c r="U59" s="3166"/>
      <c r="V59" s="3166"/>
      <c r="W59" s="3166"/>
      <c r="X59" s="3166"/>
      <c r="Y59" s="3166"/>
      <c r="Z59" s="3166"/>
      <c r="AA59" s="3167"/>
      <c r="AB59" s="3127" t="s">
        <v>569</v>
      </c>
      <c r="AC59" s="1139"/>
      <c r="AD59" s="1139"/>
      <c r="AE59" s="1139"/>
      <c r="AF59" s="1140"/>
      <c r="AG59" s="3172" t="s">
        <v>1620</v>
      </c>
      <c r="AH59" s="3173"/>
      <c r="AI59" s="3173"/>
      <c r="AJ59" s="3173"/>
      <c r="AK59" s="3173"/>
      <c r="AL59" s="3173"/>
      <c r="AM59" s="3173"/>
      <c r="AN59" s="3173"/>
      <c r="AO59" s="3173"/>
      <c r="AP59" s="3173"/>
      <c r="AQ59" s="3173"/>
      <c r="AR59" s="3173"/>
      <c r="AS59" s="3173"/>
      <c r="AT59" s="3173"/>
      <c r="AU59" s="3173"/>
      <c r="AV59" s="3173"/>
      <c r="AW59" s="3173"/>
      <c r="AX59" s="3173"/>
      <c r="AY59" s="3173"/>
      <c r="AZ59" s="3173"/>
      <c r="BA59" s="3173"/>
      <c r="BB59" s="3173"/>
      <c r="BC59" s="3173"/>
      <c r="BD59" s="3173"/>
      <c r="BE59" s="3173"/>
      <c r="BF59" s="3174"/>
      <c r="BG59" s="48"/>
      <c r="BH59" s="48"/>
      <c r="BI59" s="2260"/>
      <c r="BJ59" s="2261"/>
      <c r="BK59" s="2261"/>
      <c r="BL59" s="2261"/>
      <c r="BM59" s="2261"/>
      <c r="BN59" s="2261"/>
      <c r="BO59" s="2261"/>
      <c r="BP59" s="2261"/>
      <c r="BQ59" s="2261"/>
      <c r="BR59" s="2261"/>
      <c r="BS59" s="2261"/>
      <c r="BT59" s="2261"/>
      <c r="BU59" s="2261"/>
      <c r="BV59" s="2261"/>
      <c r="BW59" s="2261"/>
      <c r="BX59" s="2261"/>
      <c r="BY59" s="2261"/>
      <c r="BZ59" s="2261"/>
      <c r="CA59" s="2261"/>
      <c r="CB59" s="2261"/>
      <c r="CC59" s="2261"/>
      <c r="CD59" s="2261"/>
      <c r="CE59" s="2261"/>
      <c r="CF59" s="1192"/>
      <c r="CG59" s="1192"/>
      <c r="CH59" s="1192"/>
      <c r="CI59" s="1192"/>
      <c r="CJ59" s="1192"/>
      <c r="CK59" s="1192"/>
      <c r="CL59" s="1192"/>
      <c r="CM59" s="1192"/>
      <c r="CN59" s="1192"/>
      <c r="CO59" s="1192"/>
      <c r="CP59" s="1192"/>
      <c r="CQ59" s="1192"/>
      <c r="CR59" s="1192"/>
      <c r="CS59" s="1192"/>
      <c r="CT59" s="1192"/>
      <c r="CU59" s="1192"/>
      <c r="CV59" s="1192"/>
      <c r="CW59" s="1192"/>
      <c r="CX59" s="1192"/>
      <c r="CY59" s="1192"/>
      <c r="CZ59" s="1192"/>
      <c r="DA59" s="1192"/>
      <c r="DB59" s="1193"/>
      <c r="DC59" s="1132"/>
      <c r="DD59" s="1133"/>
      <c r="DE59" s="1133"/>
      <c r="DF59" s="1133"/>
      <c r="DG59" s="1133"/>
      <c r="DH59" s="1133"/>
      <c r="DI59" s="1133"/>
      <c r="DJ59" s="1133"/>
      <c r="DK59" s="1134"/>
      <c r="DL59" s="44"/>
      <c r="DM59" s="44"/>
    </row>
    <row r="60" spans="1:157" s="45" customFormat="1" ht="7.5" customHeight="1" thickBot="1">
      <c r="A60" s="48"/>
      <c r="B60" s="1147"/>
      <c r="C60" s="1148"/>
      <c r="D60" s="1148"/>
      <c r="E60" s="1148"/>
      <c r="F60" s="1149"/>
      <c r="G60" s="3168"/>
      <c r="H60" s="3169"/>
      <c r="I60" s="3169"/>
      <c r="J60" s="3169"/>
      <c r="K60" s="3169"/>
      <c r="L60" s="3169"/>
      <c r="M60" s="3169"/>
      <c r="N60" s="3169"/>
      <c r="O60" s="3169"/>
      <c r="P60" s="3169"/>
      <c r="Q60" s="3169"/>
      <c r="R60" s="3169"/>
      <c r="S60" s="3169"/>
      <c r="T60" s="3169"/>
      <c r="U60" s="3169"/>
      <c r="V60" s="3169"/>
      <c r="W60" s="3169"/>
      <c r="X60" s="3169"/>
      <c r="Y60" s="3169"/>
      <c r="Z60" s="3169"/>
      <c r="AA60" s="3170"/>
      <c r="AB60" s="3171"/>
      <c r="AC60" s="1148"/>
      <c r="AD60" s="1148"/>
      <c r="AE60" s="1148"/>
      <c r="AF60" s="1149"/>
      <c r="AG60" s="3175"/>
      <c r="AH60" s="3176"/>
      <c r="AI60" s="3176"/>
      <c r="AJ60" s="3176"/>
      <c r="AK60" s="3176"/>
      <c r="AL60" s="3176"/>
      <c r="AM60" s="3176"/>
      <c r="AN60" s="3176"/>
      <c r="AO60" s="3176"/>
      <c r="AP60" s="3176"/>
      <c r="AQ60" s="3176"/>
      <c r="AR60" s="3176"/>
      <c r="AS60" s="3176"/>
      <c r="AT60" s="3176"/>
      <c r="AU60" s="3176"/>
      <c r="AV60" s="3176"/>
      <c r="AW60" s="3176"/>
      <c r="AX60" s="3176"/>
      <c r="AY60" s="3176"/>
      <c r="AZ60" s="3176"/>
      <c r="BA60" s="3176"/>
      <c r="BB60" s="3176"/>
      <c r="BC60" s="3176"/>
      <c r="BD60" s="3176"/>
      <c r="BE60" s="3176"/>
      <c r="BF60" s="3177"/>
      <c r="BG60" s="48"/>
      <c r="BH60" s="48"/>
      <c r="BI60" s="2260"/>
      <c r="BJ60" s="2261"/>
      <c r="BK60" s="2261"/>
      <c r="BL60" s="2261"/>
      <c r="BM60" s="2261"/>
      <c r="BN60" s="2261"/>
      <c r="BO60" s="2261"/>
      <c r="BP60" s="2261"/>
      <c r="BQ60" s="2261"/>
      <c r="BR60" s="2261"/>
      <c r="BS60" s="2261"/>
      <c r="BT60" s="2261"/>
      <c r="BU60" s="2261"/>
      <c r="BV60" s="2261"/>
      <c r="BW60" s="2261"/>
      <c r="BX60" s="2261"/>
      <c r="BY60" s="2261"/>
      <c r="BZ60" s="2261"/>
      <c r="CA60" s="2261"/>
      <c r="CB60" s="2261"/>
      <c r="CC60" s="2261"/>
      <c r="CD60" s="2261"/>
      <c r="CE60" s="2261"/>
      <c r="CF60" s="1192"/>
      <c r="CG60" s="1192"/>
      <c r="CH60" s="1192"/>
      <c r="CI60" s="1192"/>
      <c r="CJ60" s="1192"/>
      <c r="CK60" s="1192"/>
      <c r="CL60" s="1192"/>
      <c r="CM60" s="1192"/>
      <c r="CN60" s="1192"/>
      <c r="CO60" s="1192"/>
      <c r="CP60" s="1192"/>
      <c r="CQ60" s="1192"/>
      <c r="CR60" s="1192"/>
      <c r="CS60" s="1192"/>
      <c r="CT60" s="1192"/>
      <c r="CU60" s="1192"/>
      <c r="CV60" s="1192"/>
      <c r="CW60" s="1192"/>
      <c r="CX60" s="1192"/>
      <c r="CY60" s="1192"/>
      <c r="CZ60" s="1192"/>
      <c r="DA60" s="1192"/>
      <c r="DB60" s="1193"/>
      <c r="DC60" s="1132"/>
      <c r="DD60" s="1133"/>
      <c r="DE60" s="1133"/>
      <c r="DF60" s="1133"/>
      <c r="DG60" s="1133"/>
      <c r="DH60" s="1133"/>
      <c r="DI60" s="1133"/>
      <c r="DJ60" s="1133"/>
      <c r="DK60" s="1134"/>
      <c r="DL60" s="44"/>
      <c r="DM60" s="44"/>
    </row>
    <row r="61" spans="1:157" s="45" customFormat="1" ht="7.5" customHeight="1" thickTop="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2260"/>
      <c r="BJ61" s="2261"/>
      <c r="BK61" s="2261"/>
      <c r="BL61" s="2261"/>
      <c r="BM61" s="2261"/>
      <c r="BN61" s="2261"/>
      <c r="BO61" s="2261"/>
      <c r="BP61" s="2261"/>
      <c r="BQ61" s="2261"/>
      <c r="BR61" s="2261"/>
      <c r="BS61" s="2261"/>
      <c r="BT61" s="2261"/>
      <c r="BU61" s="2261"/>
      <c r="BV61" s="2261"/>
      <c r="BW61" s="2261"/>
      <c r="BX61" s="2261"/>
      <c r="BY61" s="2261"/>
      <c r="BZ61" s="2261"/>
      <c r="CA61" s="2261"/>
      <c r="CB61" s="2261"/>
      <c r="CC61" s="2261"/>
      <c r="CD61" s="2261"/>
      <c r="CE61" s="2261"/>
      <c r="CF61" s="1192"/>
      <c r="CG61" s="1192"/>
      <c r="CH61" s="1192"/>
      <c r="CI61" s="1192"/>
      <c r="CJ61" s="1192"/>
      <c r="CK61" s="1192"/>
      <c r="CL61" s="1192"/>
      <c r="CM61" s="1192"/>
      <c r="CN61" s="1192"/>
      <c r="CO61" s="1192"/>
      <c r="CP61" s="1192"/>
      <c r="CQ61" s="1192"/>
      <c r="CR61" s="1192"/>
      <c r="CS61" s="1192"/>
      <c r="CT61" s="1192"/>
      <c r="CU61" s="1192"/>
      <c r="CV61" s="1192"/>
      <c r="CW61" s="1192"/>
      <c r="CX61" s="1192"/>
      <c r="CY61" s="1192"/>
      <c r="CZ61" s="1192"/>
      <c r="DA61" s="1192"/>
      <c r="DB61" s="1193"/>
      <c r="DC61" s="1132"/>
      <c r="DD61" s="1133"/>
      <c r="DE61" s="1133"/>
      <c r="DF61" s="1133"/>
      <c r="DG61" s="1133"/>
      <c r="DH61" s="1133"/>
      <c r="DI61" s="1133"/>
      <c r="DJ61" s="1133"/>
      <c r="DK61" s="1134"/>
      <c r="DL61" s="44"/>
      <c r="DM61" s="44"/>
    </row>
    <row r="62" spans="1:157" s="45" customFormat="1"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1177"/>
      <c r="BJ62" s="1178"/>
      <c r="BK62" s="1178"/>
      <c r="BL62" s="1178"/>
      <c r="BM62" s="1178"/>
      <c r="BN62" s="1178"/>
      <c r="BO62" s="1178"/>
      <c r="BP62" s="1178"/>
      <c r="BQ62" s="1178"/>
      <c r="BR62" s="1178"/>
      <c r="BS62" s="1178"/>
      <c r="BT62" s="1178"/>
      <c r="BU62" s="1178"/>
      <c r="BV62" s="1178"/>
      <c r="BW62" s="1178"/>
      <c r="BX62" s="1178"/>
      <c r="BY62" s="1178"/>
      <c r="BZ62" s="1178"/>
      <c r="CA62" s="1178"/>
      <c r="CB62" s="1178"/>
      <c r="CC62" s="1178"/>
      <c r="CD62" s="1178"/>
      <c r="CE62" s="1179"/>
      <c r="CF62" s="1192"/>
      <c r="CG62" s="1192"/>
      <c r="CH62" s="1192"/>
      <c r="CI62" s="1192"/>
      <c r="CJ62" s="1192"/>
      <c r="CK62" s="1192"/>
      <c r="CL62" s="1192"/>
      <c r="CM62" s="1192"/>
      <c r="CN62" s="1192"/>
      <c r="CO62" s="1192"/>
      <c r="CP62" s="1192"/>
      <c r="CQ62" s="1192"/>
      <c r="CR62" s="1192"/>
      <c r="CS62" s="1192"/>
      <c r="CT62" s="1192"/>
      <c r="CU62" s="1192"/>
      <c r="CV62" s="1192"/>
      <c r="CW62" s="1192"/>
      <c r="CX62" s="1192"/>
      <c r="CY62" s="1192"/>
      <c r="CZ62" s="1192"/>
      <c r="DA62" s="1192"/>
      <c r="DB62" s="1193"/>
      <c r="DC62" s="1132"/>
      <c r="DD62" s="1133"/>
      <c r="DE62" s="1133"/>
      <c r="DF62" s="1133"/>
      <c r="DG62" s="1133"/>
      <c r="DH62" s="1133"/>
      <c r="DI62" s="1133"/>
      <c r="DJ62" s="1133"/>
      <c r="DK62" s="1134"/>
      <c r="DL62" s="53"/>
      <c r="DM62" s="44"/>
    </row>
    <row r="63" spans="1:157" s="45" customFormat="1"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1180"/>
      <c r="BJ63" s="1181"/>
      <c r="BK63" s="1181"/>
      <c r="BL63" s="1181"/>
      <c r="BM63" s="1181"/>
      <c r="BN63" s="1181"/>
      <c r="BO63" s="1181"/>
      <c r="BP63" s="1181"/>
      <c r="BQ63" s="1181"/>
      <c r="BR63" s="1181"/>
      <c r="BS63" s="1181"/>
      <c r="BT63" s="1181"/>
      <c r="BU63" s="1181"/>
      <c r="BV63" s="1181"/>
      <c r="BW63" s="1181"/>
      <c r="BX63" s="1181"/>
      <c r="BY63" s="1181"/>
      <c r="BZ63" s="1181"/>
      <c r="CA63" s="1181"/>
      <c r="CB63" s="1181"/>
      <c r="CC63" s="1181"/>
      <c r="CD63" s="1181"/>
      <c r="CE63" s="1182"/>
      <c r="CF63" s="1263"/>
      <c r="CG63" s="1263"/>
      <c r="CH63" s="1263"/>
      <c r="CI63" s="1263"/>
      <c r="CJ63" s="1263"/>
      <c r="CK63" s="1263"/>
      <c r="CL63" s="1263"/>
      <c r="CM63" s="1263"/>
      <c r="CN63" s="1263"/>
      <c r="CO63" s="1263"/>
      <c r="CP63" s="1263"/>
      <c r="CQ63" s="1263"/>
      <c r="CR63" s="1263"/>
      <c r="CS63" s="1263"/>
      <c r="CT63" s="1263"/>
      <c r="CU63" s="1263"/>
      <c r="CV63" s="1263"/>
      <c r="CW63" s="1263"/>
      <c r="CX63" s="1263"/>
      <c r="CY63" s="1263"/>
      <c r="CZ63" s="1263"/>
      <c r="DA63" s="1263"/>
      <c r="DB63" s="1264"/>
      <c r="DC63" s="1135"/>
      <c r="DD63" s="1136"/>
      <c r="DE63" s="1136"/>
      <c r="DF63" s="1136"/>
      <c r="DG63" s="1136"/>
      <c r="DH63" s="1136"/>
      <c r="DI63" s="1136"/>
      <c r="DJ63" s="1136"/>
      <c r="DK63" s="1137"/>
      <c r="DL63" s="44"/>
      <c r="DM63" s="44"/>
    </row>
    <row r="64" spans="1:157" ht="7.5" customHeight="1" thickTop="1"/>
    <row r="65" spans="1:165" s="200" customFormat="1" ht="9" customHeight="1">
      <c r="A65" s="1265" t="s">
        <v>1325</v>
      </c>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c r="CB65" s="1266"/>
      <c r="CC65" s="1266"/>
      <c r="CD65" s="1266"/>
      <c r="CE65" s="1266"/>
      <c r="CF65" s="1266"/>
      <c r="CG65" s="1266"/>
      <c r="CH65" s="1266"/>
      <c r="CI65" s="1266"/>
      <c r="CJ65" s="1266"/>
      <c r="CK65" s="1266"/>
      <c r="CL65" s="1266"/>
      <c r="CM65" s="1266"/>
      <c r="CN65" s="1266"/>
      <c r="CO65" s="1266"/>
      <c r="CP65" s="1266"/>
      <c r="CQ65" s="1266"/>
      <c r="CR65" s="1266"/>
      <c r="CS65" s="1266"/>
      <c r="CT65" s="1266"/>
      <c r="CU65" s="205"/>
      <c r="CV65" s="205"/>
      <c r="CW65" s="205"/>
      <c r="CX65" s="205"/>
      <c r="CY65" s="205"/>
      <c r="CZ65" s="205"/>
      <c r="DA65" s="205"/>
      <c r="DB65" s="205"/>
      <c r="DC65" s="205"/>
      <c r="DD65" s="205"/>
      <c r="DE65" s="205"/>
      <c r="DF65" s="205"/>
      <c r="DG65" s="205"/>
      <c r="DH65" s="205"/>
      <c r="DI65" s="205"/>
      <c r="DJ65" s="205"/>
      <c r="DK65" s="205"/>
      <c r="DL65" s="204"/>
      <c r="DM65" s="202"/>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row>
    <row r="66" spans="1:165" s="200" customFormat="1" ht="9" customHeight="1">
      <c r="A66" s="1265"/>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c r="CB66" s="1266"/>
      <c r="CC66" s="1266"/>
      <c r="CD66" s="1266"/>
      <c r="CE66" s="1266"/>
      <c r="CF66" s="1266"/>
      <c r="CG66" s="1266"/>
      <c r="CH66" s="1266"/>
      <c r="CI66" s="1266"/>
      <c r="CJ66" s="1266"/>
      <c r="CK66" s="1266"/>
      <c r="CL66" s="1266"/>
      <c r="CM66" s="1266"/>
      <c r="CN66" s="1266"/>
      <c r="CO66" s="1266"/>
      <c r="CP66" s="1266"/>
      <c r="CQ66" s="1266"/>
      <c r="CR66" s="1266"/>
      <c r="CS66" s="1266"/>
      <c r="CT66" s="1266"/>
      <c r="CU66" s="206"/>
      <c r="CV66" s="206"/>
      <c r="CW66" s="206"/>
      <c r="CX66" s="206"/>
      <c r="CY66" s="206"/>
      <c r="CZ66" s="206"/>
      <c r="DA66" s="206"/>
      <c r="DB66" s="206"/>
      <c r="DC66" s="206"/>
      <c r="DD66" s="206"/>
      <c r="DE66" s="206"/>
      <c r="DF66" s="206"/>
      <c r="DG66" s="206"/>
      <c r="DH66" s="206"/>
      <c r="DI66" s="206"/>
      <c r="DJ66" s="206"/>
      <c r="DK66" s="205"/>
      <c r="DL66" s="204"/>
      <c r="DM66" s="202"/>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row>
    <row r="67" spans="1:165" s="200" customFormat="1" ht="11.25" customHeight="1">
      <c r="A67" s="207"/>
      <c r="B67" s="208" t="str">
        <f>"まずはじめに、「"&amp;B71&amp;"」欄をご選択の上、セルが赤く表示された「管理者E-mail」または「保有シリアル」をご入力ください。その後、お手続きを希望される製品欄の「製品区分」をご選択ください。"</f>
        <v>まずはじめに、「既存のご契約」欄をご選択の上、セルが赤く表示された「管理者E-mail」または「保有シリアル」をご入力ください。その後、お手続きを希望される製品欄の「製品区分」をご選択ください。</v>
      </c>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6"/>
      <c r="CV67" s="206"/>
      <c r="CW67" s="206"/>
      <c r="CX67" s="206"/>
      <c r="CY67" s="206"/>
      <c r="CZ67" s="206"/>
      <c r="DA67" s="206"/>
      <c r="DB67" s="206"/>
      <c r="DC67" s="206"/>
      <c r="DD67" s="206"/>
      <c r="DE67" s="206"/>
      <c r="DF67" s="206"/>
      <c r="DG67" s="206"/>
      <c r="DH67" s="206"/>
      <c r="DI67" s="206"/>
      <c r="DJ67" s="206"/>
      <c r="DK67" s="205"/>
      <c r="DL67" s="204"/>
      <c r="DM67" s="202"/>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row>
    <row r="68" spans="1:165" s="200" customFormat="1" ht="11.25" customHeight="1" thickBot="1">
      <c r="A68" s="202"/>
      <c r="B68" s="208" t="s">
        <v>561</v>
      </c>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3"/>
      <c r="BJ68" s="203"/>
      <c r="BK68" s="203"/>
      <c r="BL68" s="203"/>
      <c r="BM68" s="203"/>
      <c r="BN68" s="203"/>
      <c r="BO68" s="203"/>
      <c r="BP68" s="203"/>
      <c r="BQ68" s="203"/>
      <c r="BR68" s="203"/>
      <c r="BS68" s="203"/>
      <c r="BT68" s="203"/>
      <c r="BU68" s="203"/>
      <c r="BV68" s="203"/>
      <c r="BW68" s="203"/>
      <c r="BX68" s="203"/>
      <c r="BY68" s="203"/>
      <c r="BZ68" s="203"/>
      <c r="CA68" s="203"/>
      <c r="CB68" s="203"/>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204"/>
      <c r="DM68" s="202"/>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row>
    <row r="69" spans="1:165" s="200" customFormat="1" ht="7.5" customHeight="1">
      <c r="A69" s="199"/>
      <c r="B69" s="1267" t="s">
        <v>1327</v>
      </c>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c r="CB69" s="1268"/>
      <c r="CC69" s="1268"/>
      <c r="CD69" s="1268"/>
      <c r="CE69" s="1268"/>
      <c r="CF69" s="1268"/>
      <c r="CG69" s="1268"/>
      <c r="CH69" s="1268"/>
      <c r="CI69" s="1268"/>
      <c r="CJ69" s="1268"/>
      <c r="CK69" s="1268"/>
      <c r="CL69" s="1268"/>
      <c r="CM69" s="1268"/>
      <c r="CN69" s="1268"/>
      <c r="CO69" s="1268"/>
      <c r="CP69" s="1268"/>
      <c r="CQ69" s="1268"/>
      <c r="CR69" s="1268"/>
      <c r="CS69" s="1268"/>
      <c r="CT69" s="1268"/>
      <c r="CU69" s="1268"/>
      <c r="CV69" s="1268"/>
      <c r="CW69" s="1268"/>
      <c r="CX69" s="1268"/>
      <c r="CY69" s="1268"/>
      <c r="CZ69" s="1268"/>
      <c r="DA69" s="1268"/>
      <c r="DB69" s="1268"/>
      <c r="DC69" s="1268"/>
      <c r="DD69" s="1268"/>
      <c r="DE69" s="1268"/>
      <c r="DF69" s="1268"/>
      <c r="DG69" s="1268"/>
      <c r="DH69" s="1268"/>
      <c r="DI69" s="1268"/>
      <c r="DJ69" s="1268"/>
      <c r="DK69" s="1268"/>
      <c r="DL69" s="1269"/>
      <c r="DM69" s="202"/>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row>
    <row r="70" spans="1:165" s="200" customFormat="1" ht="7.5" customHeight="1" thickBot="1">
      <c r="A70" s="199"/>
      <c r="B70" s="1270"/>
      <c r="C70" s="1271"/>
      <c r="D70" s="1271"/>
      <c r="E70" s="1271"/>
      <c r="F70" s="1271"/>
      <c r="G70" s="1271"/>
      <c r="H70" s="1271"/>
      <c r="I70" s="1271"/>
      <c r="J70" s="1271"/>
      <c r="K70" s="1271"/>
      <c r="L70" s="1271"/>
      <c r="M70" s="1271"/>
      <c r="N70" s="1271"/>
      <c r="O70" s="1271"/>
      <c r="P70" s="1271"/>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3"/>
      <c r="DM70" s="202"/>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row>
    <row r="71" spans="1:165" ht="10.5" customHeight="1" thickTop="1">
      <c r="B71" s="1237" t="s">
        <v>1326</v>
      </c>
      <c r="C71" s="1238"/>
      <c r="D71" s="1238"/>
      <c r="E71" s="1238"/>
      <c r="F71" s="1238"/>
      <c r="G71" s="1238"/>
      <c r="H71" s="1238"/>
      <c r="I71" s="1238"/>
      <c r="J71" s="1238"/>
      <c r="K71" s="1238"/>
      <c r="L71" s="1239"/>
      <c r="M71" s="1277"/>
      <c r="N71" s="1277"/>
      <c r="O71" s="1277"/>
      <c r="P71" s="1278"/>
      <c r="Q71" s="1283" t="s">
        <v>1426</v>
      </c>
      <c r="R71" s="1284"/>
      <c r="S71" s="1284"/>
      <c r="T71" s="1284"/>
      <c r="U71" s="1284"/>
      <c r="V71" s="1284"/>
      <c r="W71" s="1284"/>
      <c r="X71" s="1284"/>
      <c r="Y71" s="1284"/>
      <c r="Z71" s="1284"/>
      <c r="AA71" s="1284"/>
      <c r="AB71" s="1284"/>
      <c r="AC71" s="1284"/>
      <c r="AD71" s="1284"/>
      <c r="AE71" s="1284"/>
      <c r="AF71" s="1284"/>
      <c r="AG71" s="1284"/>
      <c r="AH71" s="1284"/>
      <c r="AI71" s="1284"/>
      <c r="AJ71" s="1284"/>
      <c r="AK71" s="1284"/>
      <c r="AL71" s="1284"/>
      <c r="AM71" s="1284"/>
      <c r="AN71" s="1284"/>
      <c r="AO71" s="1284"/>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c r="BM71" s="1284"/>
      <c r="BN71" s="1284"/>
      <c r="BO71" s="1284"/>
      <c r="BP71" s="1284"/>
      <c r="BQ71" s="1284"/>
      <c r="BR71" s="1284"/>
      <c r="BS71" s="1284"/>
      <c r="BT71" s="1284"/>
      <c r="BU71" s="1284"/>
      <c r="BV71" s="1284"/>
      <c r="BW71" s="1284"/>
      <c r="BX71" s="1284"/>
      <c r="BY71" s="1284"/>
      <c r="BZ71" s="1284"/>
      <c r="CA71" s="1284"/>
      <c r="CB71" s="1284"/>
      <c r="CC71" s="1284"/>
      <c r="CD71" s="1284"/>
      <c r="CE71" s="1284"/>
      <c r="CF71" s="1284"/>
      <c r="CG71" s="1284"/>
      <c r="CH71" s="1284"/>
      <c r="CI71" s="1284"/>
      <c r="CJ71" s="1284"/>
      <c r="CK71" s="1284"/>
      <c r="CL71" s="1284"/>
      <c r="CM71" s="1284"/>
      <c r="CN71" s="1284"/>
      <c r="CO71" s="1284"/>
      <c r="CP71" s="1284"/>
      <c r="CQ71" s="1284"/>
      <c r="CR71" s="1284"/>
      <c r="CS71" s="1284"/>
      <c r="CT71" s="1284"/>
      <c r="CU71" s="1284"/>
      <c r="CV71" s="1284"/>
      <c r="CW71" s="1284"/>
      <c r="CX71" s="1284"/>
      <c r="CY71" s="1284"/>
      <c r="CZ71" s="1284"/>
      <c r="DA71" s="1284"/>
      <c r="DB71" s="1284"/>
      <c r="DC71" s="1284"/>
      <c r="DD71" s="1284"/>
      <c r="DE71" s="1284"/>
      <c r="DF71" s="1284"/>
      <c r="DG71" s="1284"/>
      <c r="DH71" s="1284"/>
      <c r="DI71" s="1284"/>
      <c r="DJ71" s="1284"/>
      <c r="DK71" s="1284"/>
      <c r="DL71" s="1285"/>
    </row>
    <row r="72" spans="1:165" ht="9.75" customHeight="1">
      <c r="B72" s="1240"/>
      <c r="C72" s="1241"/>
      <c r="D72" s="1241"/>
      <c r="E72" s="1241"/>
      <c r="F72" s="1241"/>
      <c r="G72" s="1241"/>
      <c r="H72" s="1241"/>
      <c r="I72" s="1241"/>
      <c r="J72" s="1241"/>
      <c r="K72" s="1241"/>
      <c r="L72" s="1242"/>
      <c r="M72" s="1279"/>
      <c r="N72" s="1279"/>
      <c r="O72" s="1279"/>
      <c r="P72" s="1280"/>
      <c r="Q72" s="1286"/>
      <c r="R72" s="1287"/>
      <c r="S72" s="1287"/>
      <c r="T72" s="1287"/>
      <c r="U72" s="1287"/>
      <c r="V72" s="1287"/>
      <c r="W72" s="1287"/>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7"/>
      <c r="AZ72" s="1287"/>
      <c r="BA72" s="1287"/>
      <c r="BB72" s="1287"/>
      <c r="BC72" s="1287"/>
      <c r="BD72" s="1287"/>
      <c r="BE72" s="1287"/>
      <c r="BF72" s="1287"/>
      <c r="BG72" s="1287"/>
      <c r="BH72" s="1287"/>
      <c r="BI72" s="1287"/>
      <c r="BJ72" s="1287"/>
      <c r="BK72" s="1287"/>
      <c r="BL72" s="1287"/>
      <c r="BM72" s="1287"/>
      <c r="BN72" s="1287"/>
      <c r="BO72" s="1287"/>
      <c r="BP72" s="1287"/>
      <c r="BQ72" s="1287"/>
      <c r="BR72" s="1287"/>
      <c r="BS72" s="1287"/>
      <c r="BT72" s="1287"/>
      <c r="BU72" s="1287"/>
      <c r="BV72" s="1287"/>
      <c r="BW72" s="1287"/>
      <c r="BX72" s="1287"/>
      <c r="BY72" s="1287"/>
      <c r="BZ72" s="1287"/>
      <c r="CA72" s="1287"/>
      <c r="CB72" s="1287"/>
      <c r="CC72" s="1287"/>
      <c r="CD72" s="1287"/>
      <c r="CE72" s="1287"/>
      <c r="CF72" s="1287"/>
      <c r="CG72" s="1287"/>
      <c r="CH72" s="1287"/>
      <c r="CI72" s="1287"/>
      <c r="CJ72" s="1287"/>
      <c r="CK72" s="1287"/>
      <c r="CL72" s="1287"/>
      <c r="CM72" s="1287"/>
      <c r="CN72" s="1287"/>
      <c r="CO72" s="1287"/>
      <c r="CP72" s="1287"/>
      <c r="CQ72" s="1287"/>
      <c r="CR72" s="1287"/>
      <c r="CS72" s="1287"/>
      <c r="CT72" s="1287"/>
      <c r="CU72" s="1287"/>
      <c r="CV72" s="1287"/>
      <c r="CW72" s="1287"/>
      <c r="CX72" s="1287"/>
      <c r="CY72" s="1287"/>
      <c r="CZ72" s="1287"/>
      <c r="DA72" s="1287"/>
      <c r="DB72" s="1287"/>
      <c r="DC72" s="1287"/>
      <c r="DD72" s="1287"/>
      <c r="DE72" s="1287"/>
      <c r="DF72" s="1287"/>
      <c r="DG72" s="1287"/>
      <c r="DH72" s="1287"/>
      <c r="DI72" s="1287"/>
      <c r="DJ72" s="1287"/>
      <c r="DK72" s="1287"/>
      <c r="DL72" s="1288"/>
    </row>
    <row r="73" spans="1:165" ht="7.5" customHeight="1" thickBot="1">
      <c r="B73" s="1274"/>
      <c r="C73" s="1275"/>
      <c r="D73" s="1275"/>
      <c r="E73" s="1275"/>
      <c r="F73" s="1275"/>
      <c r="G73" s="1275"/>
      <c r="H73" s="1275"/>
      <c r="I73" s="1275"/>
      <c r="J73" s="1275"/>
      <c r="K73" s="1275"/>
      <c r="L73" s="1276"/>
      <c r="M73" s="1281"/>
      <c r="N73" s="1281"/>
      <c r="O73" s="1281"/>
      <c r="P73" s="1282"/>
      <c r="Q73" s="1286"/>
      <c r="R73" s="1287"/>
      <c r="S73" s="1287"/>
      <c r="T73" s="1287"/>
      <c r="U73" s="1287"/>
      <c r="V73" s="1287"/>
      <c r="W73" s="1287"/>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7"/>
      <c r="AZ73" s="1287"/>
      <c r="BA73" s="1287"/>
      <c r="BB73" s="1287"/>
      <c r="BC73" s="1287"/>
      <c r="BD73" s="1287"/>
      <c r="BE73" s="1287"/>
      <c r="BF73" s="1287"/>
      <c r="BG73" s="1287"/>
      <c r="BH73" s="1287"/>
      <c r="BI73" s="1287"/>
      <c r="BJ73" s="1287"/>
      <c r="BK73" s="1287"/>
      <c r="BL73" s="1287"/>
      <c r="BM73" s="1287"/>
      <c r="BN73" s="1287"/>
      <c r="BO73" s="1287"/>
      <c r="BP73" s="1287"/>
      <c r="BQ73" s="1287"/>
      <c r="BR73" s="1287"/>
      <c r="BS73" s="1287"/>
      <c r="BT73" s="1287"/>
      <c r="BU73" s="1287"/>
      <c r="BV73" s="1287"/>
      <c r="BW73" s="1287"/>
      <c r="BX73" s="1287"/>
      <c r="BY73" s="1287"/>
      <c r="BZ73" s="1287"/>
      <c r="CA73" s="1287"/>
      <c r="CB73" s="1287"/>
      <c r="CC73" s="1287"/>
      <c r="CD73" s="1287"/>
      <c r="CE73" s="1287"/>
      <c r="CF73" s="1287"/>
      <c r="CG73" s="1287"/>
      <c r="CH73" s="1287"/>
      <c r="CI73" s="1287"/>
      <c r="CJ73" s="1287"/>
      <c r="CK73" s="1287"/>
      <c r="CL73" s="1287"/>
      <c r="CM73" s="1287"/>
      <c r="CN73" s="1287"/>
      <c r="CO73" s="1287"/>
      <c r="CP73" s="1287"/>
      <c r="CQ73" s="1287"/>
      <c r="CR73" s="1287"/>
      <c r="CS73" s="1287"/>
      <c r="CT73" s="1287"/>
      <c r="CU73" s="1287"/>
      <c r="CV73" s="1287"/>
      <c r="CW73" s="1287"/>
      <c r="CX73" s="1287"/>
      <c r="CY73" s="1287"/>
      <c r="CZ73" s="1287"/>
      <c r="DA73" s="1287"/>
      <c r="DB73" s="1287"/>
      <c r="DC73" s="1287"/>
      <c r="DD73" s="1287"/>
      <c r="DE73" s="1287"/>
      <c r="DF73" s="1287"/>
      <c r="DG73" s="1287"/>
      <c r="DH73" s="1287"/>
      <c r="DI73" s="1287"/>
      <c r="DJ73" s="1287"/>
      <c r="DK73" s="1287"/>
      <c r="DL73" s="1288"/>
    </row>
    <row r="74" spans="1:165" ht="7.5" customHeight="1" thickTop="1">
      <c r="B74" s="1210" t="s">
        <v>387</v>
      </c>
      <c r="C74" s="1211"/>
      <c r="D74" s="1211"/>
      <c r="E74" s="1211"/>
      <c r="F74" s="1211"/>
      <c r="G74" s="1211"/>
      <c r="H74" s="1211"/>
      <c r="I74" s="1211"/>
      <c r="J74" s="1211"/>
      <c r="K74" s="1211"/>
      <c r="L74" s="1212"/>
      <c r="M74" s="1219"/>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c r="AL74" s="1220"/>
      <c r="AM74" s="1220"/>
      <c r="AN74" s="1220"/>
      <c r="AO74" s="1220"/>
      <c r="AP74" s="1220"/>
      <c r="AQ74" s="1220"/>
      <c r="AR74" s="1221"/>
      <c r="AS74" s="1228" t="s">
        <v>1318</v>
      </c>
      <c r="AT74" s="1229"/>
      <c r="AU74" s="1229"/>
      <c r="AV74" s="1229"/>
      <c r="AW74" s="1229"/>
      <c r="AX74" s="1229"/>
      <c r="AY74" s="1229"/>
      <c r="AZ74" s="1229"/>
      <c r="BA74" s="1229"/>
      <c r="BB74" s="1229"/>
      <c r="BC74" s="1229"/>
      <c r="BD74" s="1229"/>
      <c r="BE74" s="1229"/>
      <c r="BF74" s="1229"/>
      <c r="BG74" s="1229"/>
      <c r="BH74" s="1229"/>
      <c r="BI74" s="1229"/>
      <c r="BJ74" s="1229"/>
      <c r="BK74" s="1229"/>
      <c r="BL74" s="1229"/>
      <c r="BM74" s="1229"/>
      <c r="BN74" s="1229"/>
      <c r="BO74" s="1229"/>
      <c r="BP74" s="1229"/>
      <c r="BQ74" s="1229"/>
      <c r="BR74" s="1229"/>
      <c r="BS74" s="1229"/>
      <c r="BT74" s="1229"/>
      <c r="BU74" s="1229"/>
      <c r="BV74" s="1229"/>
      <c r="BW74" s="1229"/>
      <c r="BX74" s="1229"/>
      <c r="BY74" s="1229"/>
      <c r="BZ74" s="1229"/>
      <c r="CA74" s="1229"/>
      <c r="CB74" s="1229"/>
      <c r="CC74" s="1229"/>
      <c r="CD74" s="1229"/>
      <c r="CE74" s="1229"/>
      <c r="CF74" s="1229"/>
      <c r="CG74" s="1229"/>
      <c r="CH74" s="1229"/>
      <c r="CI74" s="1229"/>
      <c r="CJ74" s="1229"/>
      <c r="CK74" s="1229"/>
      <c r="CL74" s="1229"/>
      <c r="CM74" s="1229"/>
      <c r="CN74" s="1229"/>
      <c r="CO74" s="1229"/>
      <c r="CP74" s="1229"/>
      <c r="CQ74" s="1229"/>
      <c r="CR74" s="1229"/>
      <c r="CS74" s="1229"/>
      <c r="CT74" s="1229"/>
      <c r="CU74" s="1229"/>
      <c r="CV74" s="1229"/>
      <c r="CW74" s="1229"/>
      <c r="CX74" s="1229"/>
      <c r="CY74" s="1229"/>
      <c r="CZ74" s="1229"/>
      <c r="DA74" s="1229"/>
      <c r="DB74" s="1229"/>
      <c r="DC74" s="1229"/>
      <c r="DD74" s="1229"/>
      <c r="DE74" s="1229"/>
      <c r="DF74" s="1229"/>
      <c r="DG74" s="1229"/>
      <c r="DH74" s="1229"/>
      <c r="DI74" s="1229"/>
      <c r="DJ74" s="1229"/>
      <c r="DK74" s="1229"/>
      <c r="DL74" s="1230"/>
    </row>
    <row r="75" spans="1:165" ht="7.5" customHeight="1">
      <c r="B75" s="1213"/>
      <c r="C75" s="1214"/>
      <c r="D75" s="1214"/>
      <c r="E75" s="1214"/>
      <c r="F75" s="1214"/>
      <c r="G75" s="1214"/>
      <c r="H75" s="1214"/>
      <c r="I75" s="1214"/>
      <c r="J75" s="1214"/>
      <c r="K75" s="1214"/>
      <c r="L75" s="1215"/>
      <c r="M75" s="1222"/>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c r="AL75" s="1223"/>
      <c r="AM75" s="1223"/>
      <c r="AN75" s="1223"/>
      <c r="AO75" s="1223"/>
      <c r="AP75" s="1223"/>
      <c r="AQ75" s="1223"/>
      <c r="AR75" s="1224"/>
      <c r="AS75" s="1231"/>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c r="CB75" s="1232"/>
      <c r="CC75" s="1232"/>
      <c r="CD75" s="1232"/>
      <c r="CE75" s="1232"/>
      <c r="CF75" s="1232"/>
      <c r="CG75" s="1232"/>
      <c r="CH75" s="1232"/>
      <c r="CI75" s="1232"/>
      <c r="CJ75" s="1232"/>
      <c r="CK75" s="1232"/>
      <c r="CL75" s="1232"/>
      <c r="CM75" s="1232"/>
      <c r="CN75" s="1232"/>
      <c r="CO75" s="1232"/>
      <c r="CP75" s="1232"/>
      <c r="CQ75" s="1232"/>
      <c r="CR75" s="1232"/>
      <c r="CS75" s="1232"/>
      <c r="CT75" s="1232"/>
      <c r="CU75" s="1232"/>
      <c r="CV75" s="1232"/>
      <c r="CW75" s="1232"/>
      <c r="CX75" s="1232"/>
      <c r="CY75" s="1232"/>
      <c r="CZ75" s="1232"/>
      <c r="DA75" s="1232"/>
      <c r="DB75" s="1232"/>
      <c r="DC75" s="1232"/>
      <c r="DD75" s="1232"/>
      <c r="DE75" s="1232"/>
      <c r="DF75" s="1232"/>
      <c r="DG75" s="1232"/>
      <c r="DH75" s="1232"/>
      <c r="DI75" s="1232"/>
      <c r="DJ75" s="1232"/>
      <c r="DK75" s="1232"/>
      <c r="DL75" s="1233"/>
      <c r="DS75" s="109"/>
    </row>
    <row r="76" spans="1:165" ht="7.5" customHeight="1" thickBot="1">
      <c r="B76" s="1216"/>
      <c r="C76" s="1217"/>
      <c r="D76" s="1217"/>
      <c r="E76" s="1217"/>
      <c r="F76" s="1217"/>
      <c r="G76" s="1217"/>
      <c r="H76" s="1217"/>
      <c r="I76" s="1217"/>
      <c r="J76" s="1217"/>
      <c r="K76" s="1217"/>
      <c r="L76" s="1218"/>
      <c r="M76" s="1225"/>
      <c r="N76" s="1226"/>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7"/>
      <c r="AS76" s="1234"/>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c r="DD76" s="1235"/>
      <c r="DE76" s="1235"/>
      <c r="DF76" s="1235"/>
      <c r="DG76" s="1235"/>
      <c r="DH76" s="1235"/>
      <c r="DI76" s="1235"/>
      <c r="DJ76" s="1235"/>
      <c r="DK76" s="1235"/>
      <c r="DL76" s="1236"/>
    </row>
    <row r="77" spans="1:165" ht="7.5" customHeight="1" thickTop="1">
      <c r="B77" s="1237" t="s">
        <v>388</v>
      </c>
      <c r="C77" s="1238"/>
      <c r="D77" s="1238"/>
      <c r="E77" s="1238"/>
      <c r="F77" s="1238"/>
      <c r="G77" s="1238"/>
      <c r="H77" s="1238"/>
      <c r="I77" s="1238"/>
      <c r="J77" s="1238"/>
      <c r="K77" s="1238"/>
      <c r="L77" s="1239"/>
      <c r="M77" s="1246"/>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8"/>
      <c r="AL77" s="3193" t="s">
        <v>1317</v>
      </c>
      <c r="AM77" s="1256"/>
      <c r="AN77" s="1256"/>
      <c r="AO77" s="1256"/>
      <c r="AP77" s="1256"/>
      <c r="AQ77" s="1256"/>
      <c r="AR77" s="1256"/>
      <c r="AS77" s="1257"/>
      <c r="AT77" s="1257"/>
      <c r="AU77" s="1257"/>
      <c r="AV77" s="1257"/>
      <c r="AW77" s="1257"/>
      <c r="AX77" s="1257"/>
      <c r="AY77" s="1257"/>
      <c r="AZ77" s="1257"/>
      <c r="BA77" s="1257"/>
      <c r="BB77" s="1257"/>
      <c r="BC77" s="1257"/>
      <c r="BD77" s="1257"/>
      <c r="BE77" s="1257"/>
      <c r="BF77" s="1257"/>
      <c r="BG77" s="1257"/>
      <c r="BH77" s="1257"/>
      <c r="BI77" s="1257"/>
      <c r="BJ77" s="1257"/>
      <c r="BK77" s="1257"/>
      <c r="BL77" s="1257"/>
      <c r="BM77" s="1257"/>
      <c r="BN77" s="1257"/>
      <c r="BO77" s="1257"/>
      <c r="BP77" s="1257"/>
      <c r="BQ77" s="1257"/>
      <c r="BR77" s="1257"/>
      <c r="BS77" s="1257"/>
      <c r="BT77" s="1257"/>
      <c r="BU77" s="1257"/>
      <c r="BV77" s="1257"/>
      <c r="BW77" s="1257"/>
      <c r="BX77" s="1257"/>
      <c r="BY77" s="1257"/>
      <c r="BZ77" s="1257"/>
      <c r="CA77" s="1257"/>
      <c r="CB77" s="1257"/>
      <c r="CC77" s="1257"/>
      <c r="CD77" s="1257"/>
      <c r="CE77" s="1257"/>
      <c r="CF77" s="1257"/>
      <c r="CG77" s="1257"/>
      <c r="CH77" s="1257"/>
      <c r="CI77" s="1257"/>
      <c r="CJ77" s="1257"/>
      <c r="CK77" s="1257"/>
      <c r="CL77" s="1257"/>
      <c r="CM77" s="1257"/>
      <c r="CN77" s="1257"/>
      <c r="CO77" s="1257"/>
      <c r="CP77" s="1257"/>
      <c r="CQ77" s="1257"/>
      <c r="CR77" s="1257"/>
      <c r="CS77" s="1257"/>
      <c r="CT77" s="1257"/>
      <c r="CU77" s="1257"/>
      <c r="CV77" s="1257"/>
      <c r="CW77" s="1257"/>
      <c r="CX77" s="1257"/>
      <c r="CY77" s="1257"/>
      <c r="CZ77" s="1257"/>
      <c r="DA77" s="1257"/>
      <c r="DB77" s="1257"/>
      <c r="DC77" s="1257"/>
      <c r="DD77" s="1257"/>
      <c r="DE77" s="1257"/>
      <c r="DF77" s="1257"/>
      <c r="DG77" s="1257"/>
      <c r="DH77" s="1257"/>
      <c r="DI77" s="1257"/>
      <c r="DJ77" s="1257"/>
      <c r="DK77" s="1257"/>
      <c r="DL77" s="1258"/>
    </row>
    <row r="78" spans="1:165" ht="7.5" customHeight="1">
      <c r="B78" s="1240"/>
      <c r="C78" s="1241"/>
      <c r="D78" s="1241"/>
      <c r="E78" s="1241"/>
      <c r="F78" s="1241"/>
      <c r="G78" s="1241"/>
      <c r="H78" s="1241"/>
      <c r="I78" s="1241"/>
      <c r="J78" s="1241"/>
      <c r="K78" s="1241"/>
      <c r="L78" s="1242"/>
      <c r="M78" s="1249"/>
      <c r="N78" s="1250"/>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1"/>
      <c r="AL78" s="1257"/>
      <c r="AM78" s="1257"/>
      <c r="AN78" s="1257"/>
      <c r="AO78" s="1257"/>
      <c r="AP78" s="1257"/>
      <c r="AQ78" s="1257"/>
      <c r="AR78" s="1257"/>
      <c r="AS78" s="1257"/>
      <c r="AT78" s="1257"/>
      <c r="AU78" s="1257"/>
      <c r="AV78" s="1257"/>
      <c r="AW78" s="1257"/>
      <c r="AX78" s="1257"/>
      <c r="AY78" s="1257"/>
      <c r="AZ78" s="1257"/>
      <c r="BA78" s="1257"/>
      <c r="BB78" s="1257"/>
      <c r="BC78" s="1257"/>
      <c r="BD78" s="1257"/>
      <c r="BE78" s="1257"/>
      <c r="BF78" s="1257"/>
      <c r="BG78" s="1257"/>
      <c r="BH78" s="1257"/>
      <c r="BI78" s="1257"/>
      <c r="BJ78" s="1257"/>
      <c r="BK78" s="1257"/>
      <c r="BL78" s="1257"/>
      <c r="BM78" s="1257"/>
      <c r="BN78" s="1257"/>
      <c r="BO78" s="1257"/>
      <c r="BP78" s="1257"/>
      <c r="BQ78" s="1257"/>
      <c r="BR78" s="1257"/>
      <c r="BS78" s="1257"/>
      <c r="BT78" s="1257"/>
      <c r="BU78" s="1257"/>
      <c r="BV78" s="1257"/>
      <c r="BW78" s="1257"/>
      <c r="BX78" s="1257"/>
      <c r="BY78" s="1257"/>
      <c r="BZ78" s="1257"/>
      <c r="CA78" s="1257"/>
      <c r="CB78" s="1257"/>
      <c r="CC78" s="1257"/>
      <c r="CD78" s="1257"/>
      <c r="CE78" s="1257"/>
      <c r="CF78" s="1257"/>
      <c r="CG78" s="1257"/>
      <c r="CH78" s="1257"/>
      <c r="CI78" s="1257"/>
      <c r="CJ78" s="1257"/>
      <c r="CK78" s="1257"/>
      <c r="CL78" s="1257"/>
      <c r="CM78" s="1257"/>
      <c r="CN78" s="1257"/>
      <c r="CO78" s="1257"/>
      <c r="CP78" s="1257"/>
      <c r="CQ78" s="1257"/>
      <c r="CR78" s="1257"/>
      <c r="CS78" s="1257"/>
      <c r="CT78" s="1257"/>
      <c r="CU78" s="1257"/>
      <c r="CV78" s="1257"/>
      <c r="CW78" s="1257"/>
      <c r="CX78" s="1257"/>
      <c r="CY78" s="1257"/>
      <c r="CZ78" s="1257"/>
      <c r="DA78" s="1257"/>
      <c r="DB78" s="1257"/>
      <c r="DC78" s="1257"/>
      <c r="DD78" s="1257"/>
      <c r="DE78" s="1257"/>
      <c r="DF78" s="1257"/>
      <c r="DG78" s="1257"/>
      <c r="DH78" s="1257"/>
      <c r="DI78" s="1257"/>
      <c r="DJ78" s="1257"/>
      <c r="DK78" s="1257"/>
      <c r="DL78" s="1258"/>
    </row>
    <row r="79" spans="1:165" ht="7.5" customHeight="1">
      <c r="B79" s="1274"/>
      <c r="C79" s="1275"/>
      <c r="D79" s="1275"/>
      <c r="E79" s="1275"/>
      <c r="F79" s="1275"/>
      <c r="G79" s="1275"/>
      <c r="H79" s="1275"/>
      <c r="I79" s="1275"/>
      <c r="J79" s="1275"/>
      <c r="K79" s="1275"/>
      <c r="L79" s="1276"/>
      <c r="M79" s="2287"/>
      <c r="N79" s="2288"/>
      <c r="O79" s="2288"/>
      <c r="P79" s="2288"/>
      <c r="Q79" s="2288"/>
      <c r="R79" s="2288"/>
      <c r="S79" s="2288"/>
      <c r="T79" s="2288"/>
      <c r="U79" s="2288"/>
      <c r="V79" s="2288"/>
      <c r="W79" s="2288"/>
      <c r="X79" s="2288"/>
      <c r="Y79" s="2288"/>
      <c r="Z79" s="2288"/>
      <c r="AA79" s="2288"/>
      <c r="AB79" s="2288"/>
      <c r="AC79" s="2288"/>
      <c r="AD79" s="2288"/>
      <c r="AE79" s="2288"/>
      <c r="AF79" s="2288"/>
      <c r="AG79" s="2288"/>
      <c r="AH79" s="2288"/>
      <c r="AI79" s="2288"/>
      <c r="AJ79" s="2288"/>
      <c r="AK79" s="2289"/>
      <c r="AL79" s="3194"/>
      <c r="AM79" s="3194"/>
      <c r="AN79" s="3194"/>
      <c r="AO79" s="3194"/>
      <c r="AP79" s="3194"/>
      <c r="AQ79" s="3194"/>
      <c r="AR79" s="3194"/>
      <c r="AS79" s="3194"/>
      <c r="AT79" s="3194"/>
      <c r="AU79" s="3194"/>
      <c r="AV79" s="3194"/>
      <c r="AW79" s="3194"/>
      <c r="AX79" s="3194"/>
      <c r="AY79" s="3194"/>
      <c r="AZ79" s="3194"/>
      <c r="BA79" s="3194"/>
      <c r="BB79" s="3194"/>
      <c r="BC79" s="3194"/>
      <c r="BD79" s="3194"/>
      <c r="BE79" s="3194"/>
      <c r="BF79" s="3194"/>
      <c r="BG79" s="3194"/>
      <c r="BH79" s="3194"/>
      <c r="BI79" s="3194"/>
      <c r="BJ79" s="3194"/>
      <c r="BK79" s="3194"/>
      <c r="BL79" s="3194"/>
      <c r="BM79" s="3194"/>
      <c r="BN79" s="3194"/>
      <c r="BO79" s="3194"/>
      <c r="BP79" s="3194"/>
      <c r="BQ79" s="3194"/>
      <c r="BR79" s="3194"/>
      <c r="BS79" s="3194"/>
      <c r="BT79" s="3194"/>
      <c r="BU79" s="3194"/>
      <c r="BV79" s="3194"/>
      <c r="BW79" s="3194"/>
      <c r="BX79" s="3194"/>
      <c r="BY79" s="3194"/>
      <c r="BZ79" s="3194"/>
      <c r="CA79" s="3194"/>
      <c r="CB79" s="3194"/>
      <c r="CC79" s="3194"/>
      <c r="CD79" s="3194"/>
      <c r="CE79" s="3194"/>
      <c r="CF79" s="3194"/>
      <c r="CG79" s="3194"/>
      <c r="CH79" s="3194"/>
      <c r="CI79" s="3194"/>
      <c r="CJ79" s="3194"/>
      <c r="CK79" s="3194"/>
      <c r="CL79" s="3194"/>
      <c r="CM79" s="3194"/>
      <c r="CN79" s="3194"/>
      <c r="CO79" s="3194"/>
      <c r="CP79" s="3194"/>
      <c r="CQ79" s="3194"/>
      <c r="CR79" s="3194"/>
      <c r="CS79" s="3194"/>
      <c r="CT79" s="3194"/>
      <c r="CU79" s="3194"/>
      <c r="CV79" s="3194"/>
      <c r="CW79" s="3194"/>
      <c r="CX79" s="3194"/>
      <c r="CY79" s="3194"/>
      <c r="CZ79" s="3194"/>
      <c r="DA79" s="3194"/>
      <c r="DB79" s="3194"/>
      <c r="DC79" s="3194"/>
      <c r="DD79" s="3194"/>
      <c r="DE79" s="3194"/>
      <c r="DF79" s="3194"/>
      <c r="DG79" s="3194"/>
      <c r="DH79" s="3194"/>
      <c r="DI79" s="3194"/>
      <c r="DJ79" s="3194"/>
      <c r="DK79" s="3194"/>
      <c r="DL79" s="3195"/>
      <c r="DS79" s="109"/>
    </row>
    <row r="80" spans="1:165" ht="4.5" customHeight="1" thickBot="1">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row>
    <row r="81" spans="1:206" s="200" customFormat="1" ht="7.5" customHeight="1">
      <c r="A81" s="199"/>
      <c r="B81" s="2067" t="s">
        <v>1287</v>
      </c>
      <c r="C81" s="2068"/>
      <c r="D81" s="2068"/>
      <c r="E81" s="2068"/>
      <c r="F81" s="2068"/>
      <c r="G81" s="2068"/>
      <c r="H81" s="2068"/>
      <c r="I81" s="2068"/>
      <c r="J81" s="2068"/>
      <c r="K81" s="2068"/>
      <c r="L81" s="2068"/>
      <c r="M81" s="2068"/>
      <c r="N81" s="2068"/>
      <c r="O81" s="2068"/>
      <c r="P81" s="2068"/>
      <c r="Q81" s="2068"/>
      <c r="R81" s="2068"/>
      <c r="S81" s="2068"/>
      <c r="T81" s="2068"/>
      <c r="U81" s="2068"/>
      <c r="V81" s="2068"/>
      <c r="W81" s="2068"/>
      <c r="X81" s="2068"/>
      <c r="Y81" s="2068"/>
      <c r="Z81" s="2068"/>
      <c r="AA81" s="2068"/>
      <c r="AB81" s="2068"/>
      <c r="AC81" s="2068"/>
      <c r="AD81" s="2068"/>
      <c r="AE81" s="2068"/>
      <c r="AF81" s="2068"/>
      <c r="AG81" s="2068"/>
      <c r="AH81" s="2068"/>
      <c r="AI81" s="2068"/>
      <c r="AJ81" s="2068"/>
      <c r="AK81" s="2068"/>
      <c r="AL81" s="2068"/>
      <c r="AM81" s="2068"/>
      <c r="AN81" s="2068"/>
      <c r="AO81" s="2068"/>
      <c r="AP81" s="2068"/>
      <c r="AQ81" s="2068"/>
      <c r="AR81" s="2068"/>
      <c r="AS81" s="2068"/>
      <c r="AT81" s="2068"/>
      <c r="AU81" s="2068"/>
      <c r="AV81" s="2068"/>
      <c r="AW81" s="2068"/>
      <c r="AX81" s="2068"/>
      <c r="AY81" s="2068"/>
      <c r="AZ81" s="2068"/>
      <c r="BA81" s="2068"/>
      <c r="BB81" s="2068"/>
      <c r="BC81" s="2068"/>
      <c r="BD81" s="2068"/>
      <c r="BE81" s="2068"/>
      <c r="BF81" s="2068"/>
      <c r="BG81" s="2068"/>
      <c r="BH81" s="2068"/>
      <c r="BI81" s="2068"/>
      <c r="BJ81" s="2068"/>
      <c r="BK81" s="2068"/>
      <c r="BL81" s="2068"/>
      <c r="BM81" s="2068"/>
      <c r="BN81" s="2068"/>
      <c r="BO81" s="2068"/>
      <c r="BP81" s="2068"/>
      <c r="BQ81" s="2068"/>
      <c r="BR81" s="2068"/>
      <c r="BS81" s="2068"/>
      <c r="BT81" s="2068"/>
      <c r="BU81" s="2068"/>
      <c r="BV81" s="2068"/>
      <c r="BW81" s="2068"/>
      <c r="BX81" s="2068"/>
      <c r="BY81" s="2068"/>
      <c r="BZ81" s="2068"/>
      <c r="CA81" s="2068"/>
      <c r="CB81" s="2068"/>
      <c r="CC81" s="2068"/>
      <c r="CD81" s="2068"/>
      <c r="CE81" s="2068"/>
      <c r="CF81" s="2068"/>
      <c r="CG81" s="2068"/>
      <c r="CH81" s="2068"/>
      <c r="CI81" s="2068"/>
      <c r="CJ81" s="2068"/>
      <c r="CK81" s="2068"/>
      <c r="CL81" s="2068"/>
      <c r="CM81" s="2068"/>
      <c r="CN81" s="2068"/>
      <c r="CO81" s="2068"/>
      <c r="CP81" s="2068"/>
      <c r="CQ81" s="2068"/>
      <c r="CR81" s="2068"/>
      <c r="CS81" s="2068"/>
      <c r="CT81" s="2068"/>
      <c r="CU81" s="2068"/>
      <c r="CV81" s="2068"/>
      <c r="CW81" s="2068"/>
      <c r="CX81" s="2068"/>
      <c r="CY81" s="2068"/>
      <c r="CZ81" s="2068"/>
      <c r="DA81" s="2068"/>
      <c r="DB81" s="2068"/>
      <c r="DC81" s="2068"/>
      <c r="DD81" s="2068"/>
      <c r="DE81" s="2068"/>
      <c r="DF81" s="2068"/>
      <c r="DG81" s="2068"/>
      <c r="DH81" s="2068"/>
      <c r="DI81" s="2068"/>
      <c r="DJ81" s="2068"/>
      <c r="DK81" s="2068"/>
      <c r="DL81" s="2069"/>
      <c r="DM81" s="202"/>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row>
    <row r="82" spans="1:206" s="200" customFormat="1" ht="7.5" customHeight="1" thickBot="1">
      <c r="A82" s="199"/>
      <c r="B82" s="2070"/>
      <c r="C82" s="2071"/>
      <c r="D82" s="2071"/>
      <c r="E82" s="2071"/>
      <c r="F82" s="2071"/>
      <c r="G82" s="2071"/>
      <c r="H82" s="2071"/>
      <c r="I82" s="2071"/>
      <c r="J82" s="2071"/>
      <c r="K82" s="2071"/>
      <c r="L82" s="2071"/>
      <c r="M82" s="2071"/>
      <c r="N82" s="2071"/>
      <c r="O82" s="2071"/>
      <c r="P82" s="2071"/>
      <c r="Q82" s="2071"/>
      <c r="R82" s="2071"/>
      <c r="S82" s="2071"/>
      <c r="T82" s="2071"/>
      <c r="U82" s="2071"/>
      <c r="V82" s="2071"/>
      <c r="W82" s="2071"/>
      <c r="X82" s="2071"/>
      <c r="Y82" s="2071"/>
      <c r="Z82" s="2071"/>
      <c r="AA82" s="2071"/>
      <c r="AB82" s="2071"/>
      <c r="AC82" s="2071"/>
      <c r="AD82" s="2071"/>
      <c r="AE82" s="2071"/>
      <c r="AF82" s="2071"/>
      <c r="AG82" s="2071"/>
      <c r="AH82" s="2071"/>
      <c r="AI82" s="2071"/>
      <c r="AJ82" s="2071"/>
      <c r="AK82" s="2071"/>
      <c r="AL82" s="2071"/>
      <c r="AM82" s="2071"/>
      <c r="AN82" s="2071"/>
      <c r="AO82" s="2071"/>
      <c r="AP82" s="2071"/>
      <c r="AQ82" s="2071"/>
      <c r="AR82" s="2071"/>
      <c r="AS82" s="2071"/>
      <c r="AT82" s="2071"/>
      <c r="AU82" s="2071"/>
      <c r="AV82" s="2071"/>
      <c r="AW82" s="2071"/>
      <c r="AX82" s="2071"/>
      <c r="AY82" s="2071"/>
      <c r="AZ82" s="2071"/>
      <c r="BA82" s="2071"/>
      <c r="BB82" s="2071"/>
      <c r="BC82" s="2071"/>
      <c r="BD82" s="2071"/>
      <c r="BE82" s="2071"/>
      <c r="BF82" s="2071"/>
      <c r="BG82" s="2071"/>
      <c r="BH82" s="2071"/>
      <c r="BI82" s="2071"/>
      <c r="BJ82" s="2071"/>
      <c r="BK82" s="2071"/>
      <c r="BL82" s="2071"/>
      <c r="BM82" s="2071"/>
      <c r="BN82" s="2071"/>
      <c r="BO82" s="2071"/>
      <c r="BP82" s="2071"/>
      <c r="BQ82" s="2071"/>
      <c r="BR82" s="2071"/>
      <c r="BS82" s="2071"/>
      <c r="BT82" s="2071"/>
      <c r="BU82" s="2071"/>
      <c r="BV82" s="2071"/>
      <c r="BW82" s="2071"/>
      <c r="BX82" s="2071"/>
      <c r="BY82" s="2071"/>
      <c r="BZ82" s="2071"/>
      <c r="CA82" s="2071"/>
      <c r="CB82" s="2071"/>
      <c r="CC82" s="2071"/>
      <c r="CD82" s="2071"/>
      <c r="CE82" s="2071"/>
      <c r="CF82" s="2071"/>
      <c r="CG82" s="2071"/>
      <c r="CH82" s="2071"/>
      <c r="CI82" s="2071"/>
      <c r="CJ82" s="2071"/>
      <c r="CK82" s="2071"/>
      <c r="CL82" s="2071"/>
      <c r="CM82" s="2071"/>
      <c r="CN82" s="2071"/>
      <c r="CO82" s="2071"/>
      <c r="CP82" s="2071"/>
      <c r="CQ82" s="2071"/>
      <c r="CR82" s="2071"/>
      <c r="CS82" s="2071"/>
      <c r="CT82" s="2071"/>
      <c r="CU82" s="2071"/>
      <c r="CV82" s="2071"/>
      <c r="CW82" s="2071"/>
      <c r="CX82" s="2071"/>
      <c r="CY82" s="2071"/>
      <c r="CZ82" s="2071"/>
      <c r="DA82" s="2071"/>
      <c r="DB82" s="2071"/>
      <c r="DC82" s="2071"/>
      <c r="DD82" s="2071"/>
      <c r="DE82" s="2071"/>
      <c r="DF82" s="2071"/>
      <c r="DG82" s="2071"/>
      <c r="DH82" s="2071"/>
      <c r="DI82" s="2071"/>
      <c r="DJ82" s="2071"/>
      <c r="DK82" s="2071"/>
      <c r="DL82" s="2072"/>
      <c r="DM82" s="20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row>
    <row r="83" spans="1:206" ht="7.5" customHeight="1" thickTop="1">
      <c r="B83" s="1237" t="s">
        <v>241</v>
      </c>
      <c r="C83" s="1238"/>
      <c r="D83" s="1238"/>
      <c r="E83" s="1238"/>
      <c r="F83" s="1238"/>
      <c r="G83" s="1238"/>
      <c r="H83" s="1238"/>
      <c r="I83" s="1239"/>
      <c r="J83" s="1299"/>
      <c r="K83" s="1300"/>
      <c r="L83" s="1300"/>
      <c r="M83" s="1300"/>
      <c r="N83" s="1300"/>
      <c r="O83" s="1300"/>
      <c r="P83" s="1300"/>
      <c r="Q83" s="1300"/>
      <c r="R83" s="1300"/>
      <c r="S83" s="1300"/>
      <c r="T83" s="1300"/>
      <c r="U83" s="1300"/>
      <c r="V83" s="1300"/>
      <c r="W83" s="1300"/>
      <c r="X83" s="1300"/>
      <c r="Y83" s="1300"/>
      <c r="Z83" s="1953"/>
      <c r="AA83" s="3265"/>
      <c r="AB83" s="3266"/>
      <c r="AC83" s="3266"/>
      <c r="AD83" s="3266"/>
      <c r="AE83" s="3266"/>
      <c r="AF83" s="3266"/>
      <c r="AG83" s="3266"/>
      <c r="AH83" s="3266"/>
      <c r="AI83" s="3266"/>
      <c r="AJ83" s="3266"/>
      <c r="AK83" s="3266"/>
      <c r="AL83" s="3266"/>
      <c r="AM83" s="3266"/>
      <c r="AN83" s="3266"/>
      <c r="AO83" s="3266"/>
      <c r="AP83" s="3266"/>
      <c r="AQ83" s="3266"/>
      <c r="AR83" s="3266"/>
      <c r="AS83" s="3266"/>
      <c r="AT83" s="3266"/>
      <c r="AU83" s="3266"/>
      <c r="AV83" s="3266"/>
      <c r="AW83" s="3266"/>
      <c r="AX83" s="3266"/>
      <c r="AY83" s="3266"/>
      <c r="AZ83" s="3266"/>
      <c r="BA83" s="3266"/>
      <c r="BB83" s="3266"/>
      <c r="BC83" s="3266"/>
      <c r="BD83" s="3266"/>
      <c r="BE83" s="3266"/>
      <c r="BF83" s="3266"/>
      <c r="BG83" s="3267"/>
      <c r="BH83" s="1305" t="s">
        <v>242</v>
      </c>
      <c r="BI83" s="1238"/>
      <c r="BJ83" s="1238"/>
      <c r="BK83" s="1238"/>
      <c r="BL83" s="1238"/>
      <c r="BM83" s="1238"/>
      <c r="BN83" s="1238"/>
      <c r="BO83" s="1239"/>
      <c r="BP83" s="1299"/>
      <c r="BQ83" s="1300"/>
      <c r="BR83" s="1300"/>
      <c r="BS83" s="1300"/>
      <c r="BT83" s="1300"/>
      <c r="BU83" s="1300"/>
      <c r="BV83" s="1300"/>
      <c r="BW83" s="1300"/>
      <c r="BX83" s="1300"/>
      <c r="BY83" s="1300"/>
      <c r="BZ83" s="1300"/>
      <c r="CA83" s="1300"/>
      <c r="CB83" s="1300"/>
      <c r="CC83" s="1300"/>
      <c r="CD83" s="1300"/>
      <c r="CE83" s="1300"/>
      <c r="CF83" s="1305" t="s">
        <v>391</v>
      </c>
      <c r="CG83" s="1238"/>
      <c r="CH83" s="1238"/>
      <c r="CI83" s="1238"/>
      <c r="CJ83" s="1238"/>
      <c r="CK83" s="1238"/>
      <c r="CL83" s="1238"/>
      <c r="CM83" s="1239"/>
      <c r="CN83" s="2042"/>
      <c r="CO83" s="1697"/>
      <c r="CP83" s="1697"/>
      <c r="CQ83" s="1697"/>
      <c r="CR83" s="1697"/>
      <c r="CS83" s="1697"/>
      <c r="CT83" s="3256"/>
      <c r="CU83" s="3257"/>
      <c r="CV83" s="3257"/>
      <c r="CW83" s="3257"/>
      <c r="CX83" s="3257"/>
      <c r="CY83" s="3257"/>
      <c r="CZ83" s="3257"/>
      <c r="DA83" s="3257"/>
      <c r="DB83" s="3257"/>
      <c r="DC83" s="3257"/>
      <c r="DD83" s="3257"/>
      <c r="DE83" s="3257"/>
      <c r="DF83" s="3257"/>
      <c r="DG83" s="3257"/>
      <c r="DH83" s="3257"/>
      <c r="DI83" s="3257"/>
      <c r="DJ83" s="3257"/>
      <c r="DK83" s="3257"/>
      <c r="DL83" s="3258"/>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row>
    <row r="84" spans="1:206" ht="7.5" customHeight="1">
      <c r="B84" s="1240"/>
      <c r="C84" s="1241"/>
      <c r="D84" s="1241"/>
      <c r="E84" s="1241"/>
      <c r="F84" s="1241"/>
      <c r="G84" s="1241"/>
      <c r="H84" s="1241"/>
      <c r="I84" s="1242"/>
      <c r="J84" s="1302"/>
      <c r="K84" s="1303"/>
      <c r="L84" s="1303"/>
      <c r="M84" s="1303"/>
      <c r="N84" s="1303"/>
      <c r="O84" s="1303"/>
      <c r="P84" s="1303"/>
      <c r="Q84" s="1303"/>
      <c r="R84" s="1303"/>
      <c r="S84" s="1303"/>
      <c r="T84" s="1303"/>
      <c r="U84" s="1303"/>
      <c r="V84" s="1303"/>
      <c r="W84" s="1303"/>
      <c r="X84" s="1303"/>
      <c r="Y84" s="1303"/>
      <c r="Z84" s="1954"/>
      <c r="AA84" s="1422"/>
      <c r="AB84" s="774"/>
      <c r="AC84" s="774"/>
      <c r="AD84" s="774"/>
      <c r="AE84" s="774"/>
      <c r="AF84" s="774"/>
      <c r="AG84" s="774"/>
      <c r="AH84" s="774"/>
      <c r="AI84" s="774"/>
      <c r="AJ84" s="774"/>
      <c r="AK84" s="774"/>
      <c r="AL84" s="774"/>
      <c r="AM84" s="774"/>
      <c r="AN84" s="774"/>
      <c r="AO84" s="774"/>
      <c r="AP84" s="774"/>
      <c r="AQ84" s="774"/>
      <c r="AR84" s="774"/>
      <c r="AS84" s="774"/>
      <c r="AT84" s="774"/>
      <c r="AU84" s="774"/>
      <c r="AV84" s="774"/>
      <c r="AW84" s="774"/>
      <c r="AX84" s="774"/>
      <c r="AY84" s="774"/>
      <c r="AZ84" s="774"/>
      <c r="BA84" s="774"/>
      <c r="BB84" s="774"/>
      <c r="BC84" s="774"/>
      <c r="BD84" s="774"/>
      <c r="BE84" s="774"/>
      <c r="BF84" s="774"/>
      <c r="BG84" s="2214"/>
      <c r="BH84" s="1306"/>
      <c r="BI84" s="1241"/>
      <c r="BJ84" s="1241"/>
      <c r="BK84" s="1241"/>
      <c r="BL84" s="1241"/>
      <c r="BM84" s="1241"/>
      <c r="BN84" s="1241"/>
      <c r="BO84" s="1242"/>
      <c r="BP84" s="1302"/>
      <c r="BQ84" s="1303"/>
      <c r="BR84" s="1303"/>
      <c r="BS84" s="1303"/>
      <c r="BT84" s="1303"/>
      <c r="BU84" s="1303"/>
      <c r="BV84" s="1303"/>
      <c r="BW84" s="1303"/>
      <c r="BX84" s="1303"/>
      <c r="BY84" s="1303"/>
      <c r="BZ84" s="1303"/>
      <c r="CA84" s="1303"/>
      <c r="CB84" s="1303"/>
      <c r="CC84" s="1303"/>
      <c r="CD84" s="1303"/>
      <c r="CE84" s="1303"/>
      <c r="CF84" s="1306"/>
      <c r="CG84" s="1241"/>
      <c r="CH84" s="1241"/>
      <c r="CI84" s="1241"/>
      <c r="CJ84" s="1241"/>
      <c r="CK84" s="1241"/>
      <c r="CL84" s="1241"/>
      <c r="CM84" s="1242"/>
      <c r="CN84" s="2043"/>
      <c r="CO84" s="1577"/>
      <c r="CP84" s="1577"/>
      <c r="CQ84" s="1577"/>
      <c r="CR84" s="1577"/>
      <c r="CS84" s="1577"/>
      <c r="CT84" s="3259"/>
      <c r="CU84" s="3260"/>
      <c r="CV84" s="3260"/>
      <c r="CW84" s="3260"/>
      <c r="CX84" s="3260"/>
      <c r="CY84" s="3260"/>
      <c r="CZ84" s="3260"/>
      <c r="DA84" s="3260"/>
      <c r="DB84" s="3260"/>
      <c r="DC84" s="3260"/>
      <c r="DD84" s="3260"/>
      <c r="DE84" s="3260"/>
      <c r="DF84" s="3260"/>
      <c r="DG84" s="3260"/>
      <c r="DH84" s="3260"/>
      <c r="DI84" s="3260"/>
      <c r="DJ84" s="3260"/>
      <c r="DK84" s="3260"/>
      <c r="DL84" s="3261"/>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row>
    <row r="85" spans="1:206" ht="7.5" customHeight="1">
      <c r="B85" s="1240"/>
      <c r="C85" s="1241"/>
      <c r="D85" s="1241"/>
      <c r="E85" s="1241"/>
      <c r="F85" s="1241"/>
      <c r="G85" s="1241"/>
      <c r="H85" s="1241"/>
      <c r="I85" s="1242"/>
      <c r="J85" s="1302"/>
      <c r="K85" s="1303"/>
      <c r="L85" s="1303"/>
      <c r="M85" s="1303"/>
      <c r="N85" s="1303"/>
      <c r="O85" s="1303"/>
      <c r="P85" s="1303"/>
      <c r="Q85" s="1303"/>
      <c r="R85" s="1410"/>
      <c r="S85" s="1410"/>
      <c r="T85" s="1410"/>
      <c r="U85" s="1410"/>
      <c r="V85" s="1410"/>
      <c r="W85" s="1410"/>
      <c r="X85" s="1410"/>
      <c r="Y85" s="1410"/>
      <c r="Z85" s="1954"/>
      <c r="AA85" s="1751"/>
      <c r="AB85" s="1752"/>
      <c r="AC85" s="1752"/>
      <c r="AD85" s="1752"/>
      <c r="AE85" s="1752"/>
      <c r="AF85" s="1752"/>
      <c r="AG85" s="1752"/>
      <c r="AH85" s="1752"/>
      <c r="AI85" s="1752"/>
      <c r="AJ85" s="1752"/>
      <c r="AK85" s="1752"/>
      <c r="AL85" s="1752"/>
      <c r="AM85" s="1752"/>
      <c r="AN85" s="1752"/>
      <c r="AO85" s="1752"/>
      <c r="AP85" s="1752"/>
      <c r="AQ85" s="1752"/>
      <c r="AR85" s="1752"/>
      <c r="AS85" s="1752"/>
      <c r="AT85" s="1752"/>
      <c r="AU85" s="1752"/>
      <c r="AV85" s="1752"/>
      <c r="AW85" s="1752"/>
      <c r="AX85" s="1752"/>
      <c r="AY85" s="1752"/>
      <c r="AZ85" s="1752"/>
      <c r="BA85" s="1752"/>
      <c r="BB85" s="1752"/>
      <c r="BC85" s="1752"/>
      <c r="BD85" s="1752"/>
      <c r="BE85" s="1752"/>
      <c r="BF85" s="1752"/>
      <c r="BG85" s="3268"/>
      <c r="BH85" s="1306"/>
      <c r="BI85" s="1241"/>
      <c r="BJ85" s="1241"/>
      <c r="BK85" s="1241"/>
      <c r="BL85" s="1241"/>
      <c r="BM85" s="1241"/>
      <c r="BN85" s="1241"/>
      <c r="BO85" s="1242"/>
      <c r="BP85" s="1302"/>
      <c r="BQ85" s="1303"/>
      <c r="BR85" s="1303"/>
      <c r="BS85" s="1303"/>
      <c r="BT85" s="1303"/>
      <c r="BU85" s="1303"/>
      <c r="BV85" s="1303"/>
      <c r="BW85" s="1303"/>
      <c r="BX85" s="1303"/>
      <c r="BY85" s="1303"/>
      <c r="BZ85" s="1303"/>
      <c r="CA85" s="1303"/>
      <c r="CB85" s="1303"/>
      <c r="CC85" s="1303"/>
      <c r="CD85" s="1303"/>
      <c r="CE85" s="1303"/>
      <c r="CF85" s="1306"/>
      <c r="CG85" s="1241"/>
      <c r="CH85" s="1241"/>
      <c r="CI85" s="1241"/>
      <c r="CJ85" s="1241"/>
      <c r="CK85" s="1241"/>
      <c r="CL85" s="1241"/>
      <c r="CM85" s="1242"/>
      <c r="CN85" s="2044"/>
      <c r="CO85" s="1698"/>
      <c r="CP85" s="1698"/>
      <c r="CQ85" s="1698"/>
      <c r="CR85" s="1698"/>
      <c r="CS85" s="1698"/>
      <c r="CT85" s="3262"/>
      <c r="CU85" s="3263"/>
      <c r="CV85" s="3263"/>
      <c r="CW85" s="3263"/>
      <c r="CX85" s="3263"/>
      <c r="CY85" s="3263"/>
      <c r="CZ85" s="3263"/>
      <c r="DA85" s="3263"/>
      <c r="DB85" s="3263"/>
      <c r="DC85" s="3263"/>
      <c r="DD85" s="3263"/>
      <c r="DE85" s="3263"/>
      <c r="DF85" s="3263"/>
      <c r="DG85" s="3263"/>
      <c r="DH85" s="3263"/>
      <c r="DI85" s="3263"/>
      <c r="DJ85" s="3263"/>
      <c r="DK85" s="3263"/>
      <c r="DL85" s="3264"/>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row>
    <row r="86" spans="1:206" ht="7.5" customHeight="1">
      <c r="B86" s="1274" t="s">
        <v>246</v>
      </c>
      <c r="C86" s="1275"/>
      <c r="D86" s="1275"/>
      <c r="E86" s="1275"/>
      <c r="F86" s="1275"/>
      <c r="G86" s="1275"/>
      <c r="H86" s="1275"/>
      <c r="I86" s="1276"/>
      <c r="J86" s="2082"/>
      <c r="K86" s="2082"/>
      <c r="L86" s="2082"/>
      <c r="M86" s="2082"/>
      <c r="N86" s="2082"/>
      <c r="O86" s="2082"/>
      <c r="P86" s="2082"/>
      <c r="Q86" s="2082"/>
      <c r="R86" s="1306" t="s">
        <v>392</v>
      </c>
      <c r="S86" s="1241"/>
      <c r="T86" s="1241"/>
      <c r="U86" s="1241"/>
      <c r="V86" s="1241"/>
      <c r="W86" s="1241"/>
      <c r="X86" s="1241"/>
      <c r="Y86" s="1242"/>
      <c r="Z86" s="2083"/>
      <c r="AA86" s="2083"/>
      <c r="AB86" s="2083"/>
      <c r="AC86" s="2083"/>
      <c r="AD86" s="2083"/>
      <c r="AE86" s="2083"/>
      <c r="AF86" s="2083"/>
      <c r="AG86" s="2083"/>
      <c r="AH86" s="2083"/>
      <c r="AI86" s="2083"/>
      <c r="AJ86" s="2083"/>
      <c r="AK86" s="2083"/>
      <c r="AL86" s="2083"/>
      <c r="AM86" s="2083"/>
      <c r="AN86" s="2083"/>
      <c r="AO86" s="2083"/>
      <c r="AP86" s="2083"/>
      <c r="AQ86" s="2083"/>
      <c r="AR86" s="2083"/>
      <c r="AS86" s="2083"/>
      <c r="AT86" s="2083"/>
      <c r="AU86" s="2083"/>
      <c r="AV86" s="2083"/>
      <c r="AW86" s="2083"/>
      <c r="AX86" s="2083"/>
      <c r="AY86" s="1976" t="s">
        <v>1103</v>
      </c>
      <c r="AZ86" s="1977"/>
      <c r="BA86" s="1977"/>
      <c r="BB86" s="1977"/>
      <c r="BC86" s="1977"/>
      <c r="BD86" s="1977"/>
      <c r="BE86" s="1977"/>
      <c r="BF86" s="1978"/>
      <c r="BG86" s="1984"/>
      <c r="BH86" s="1985"/>
      <c r="BI86" s="1985"/>
      <c r="BJ86" s="1986"/>
      <c r="BK86" s="1306" t="s">
        <v>393</v>
      </c>
      <c r="BL86" s="1241"/>
      <c r="BM86" s="1241"/>
      <c r="BN86" s="1241"/>
      <c r="BO86" s="1241"/>
      <c r="BP86" s="1241"/>
      <c r="BQ86" s="1242"/>
      <c r="BR86" s="1338">
        <v>20</v>
      </c>
      <c r="BS86" s="1338"/>
      <c r="BT86" s="1338"/>
      <c r="BU86" s="1338"/>
      <c r="BV86" s="1344"/>
      <c r="BW86" s="1344"/>
      <c r="BX86" s="1344"/>
      <c r="BY86" s="1344"/>
      <c r="BZ86" s="1342" t="s">
        <v>0</v>
      </c>
      <c r="CA86" s="1342"/>
      <c r="CB86" s="1342"/>
      <c r="CC86" s="1344"/>
      <c r="CD86" s="1344"/>
      <c r="CE86" s="1344"/>
      <c r="CF86" s="1344"/>
      <c r="CG86" s="1342" t="s">
        <v>1</v>
      </c>
      <c r="CH86" s="1342"/>
      <c r="CI86" s="1342"/>
      <c r="CJ86" s="1346">
        <v>1</v>
      </c>
      <c r="CK86" s="1346"/>
      <c r="CL86" s="1346"/>
      <c r="CM86" s="1348" t="s">
        <v>394</v>
      </c>
      <c r="CN86" s="1348"/>
      <c r="CO86" s="1348"/>
      <c r="CP86" s="1348"/>
      <c r="CQ86" s="2100" t="s">
        <v>395</v>
      </c>
      <c r="CR86" s="2101"/>
      <c r="CS86" s="2101"/>
      <c r="CT86" s="2101"/>
      <c r="CU86" s="2101"/>
      <c r="CV86" s="2101"/>
      <c r="CW86" s="2101"/>
      <c r="CX86" s="2101"/>
      <c r="CY86" s="2101"/>
      <c r="CZ86" s="2101"/>
      <c r="DA86" s="2101"/>
      <c r="DB86" s="2101"/>
      <c r="DC86" s="2101"/>
      <c r="DD86" s="2101"/>
      <c r="DE86" s="2101"/>
      <c r="DF86" s="2101"/>
      <c r="DG86" s="2101"/>
      <c r="DH86" s="2101"/>
      <c r="DI86" s="2101"/>
      <c r="DJ86" s="2101"/>
      <c r="DK86" s="2101"/>
      <c r="DL86" s="2102"/>
      <c r="DM86" s="694"/>
      <c r="DN86" s="110"/>
      <c r="DO86" s="110"/>
      <c r="DP86" s="110"/>
      <c r="DQ86" s="110"/>
      <c r="DR86" s="110"/>
      <c r="DS86" s="110"/>
      <c r="DT86" s="110"/>
      <c r="DU86" s="110"/>
      <c r="DV86" s="110"/>
      <c r="DW86" s="110"/>
      <c r="GA86" s="210"/>
      <c r="GB86" s="210"/>
      <c r="GC86" s="210"/>
      <c r="GD86" s="210"/>
      <c r="GE86" s="210"/>
      <c r="GF86" s="210"/>
      <c r="GG86" s="210"/>
      <c r="GH86" s="210"/>
      <c r="GI86" s="211"/>
      <c r="GJ86" s="211"/>
      <c r="GK86" s="211"/>
      <c r="GL86" s="211"/>
      <c r="GM86" s="211"/>
      <c r="GN86" s="211"/>
      <c r="GO86" s="211"/>
      <c r="GP86" s="211"/>
      <c r="GQ86" s="210"/>
      <c r="GR86" s="210"/>
      <c r="GS86" s="210"/>
      <c r="GT86" s="210"/>
      <c r="GU86" s="210"/>
      <c r="GV86" s="210"/>
      <c r="GW86" s="210"/>
      <c r="GX86" s="210"/>
    </row>
    <row r="87" spans="1:206" ht="7.5" customHeight="1">
      <c r="B87" s="1476"/>
      <c r="C87" s="774"/>
      <c r="D87" s="774"/>
      <c r="E87" s="774"/>
      <c r="F87" s="774"/>
      <c r="G87" s="774"/>
      <c r="H87" s="774"/>
      <c r="I87" s="1750"/>
      <c r="J87" s="2082"/>
      <c r="K87" s="2082"/>
      <c r="L87" s="2082"/>
      <c r="M87" s="2082"/>
      <c r="N87" s="2082"/>
      <c r="O87" s="2082"/>
      <c r="P87" s="2082"/>
      <c r="Q87" s="2082"/>
      <c r="R87" s="1306"/>
      <c r="S87" s="1241"/>
      <c r="T87" s="1241"/>
      <c r="U87" s="1241"/>
      <c r="V87" s="1241"/>
      <c r="W87" s="1241"/>
      <c r="X87" s="1241"/>
      <c r="Y87" s="1242"/>
      <c r="Z87" s="2083"/>
      <c r="AA87" s="2083"/>
      <c r="AB87" s="2083"/>
      <c r="AC87" s="2083"/>
      <c r="AD87" s="2083"/>
      <c r="AE87" s="2083"/>
      <c r="AF87" s="2083"/>
      <c r="AG87" s="2083"/>
      <c r="AH87" s="2083"/>
      <c r="AI87" s="2083"/>
      <c r="AJ87" s="2083"/>
      <c r="AK87" s="2083"/>
      <c r="AL87" s="2083"/>
      <c r="AM87" s="2083"/>
      <c r="AN87" s="2083"/>
      <c r="AO87" s="2083"/>
      <c r="AP87" s="2083"/>
      <c r="AQ87" s="2083"/>
      <c r="AR87" s="2083"/>
      <c r="AS87" s="2083"/>
      <c r="AT87" s="2083"/>
      <c r="AU87" s="2083"/>
      <c r="AV87" s="2083"/>
      <c r="AW87" s="2083"/>
      <c r="AX87" s="2083"/>
      <c r="AY87" s="1979"/>
      <c r="AZ87" s="1906"/>
      <c r="BA87" s="1906"/>
      <c r="BB87" s="1906"/>
      <c r="BC87" s="1906"/>
      <c r="BD87" s="1906"/>
      <c r="BE87" s="1906"/>
      <c r="BF87" s="1980"/>
      <c r="BG87" s="1987"/>
      <c r="BH87" s="1988"/>
      <c r="BI87" s="1988"/>
      <c r="BJ87" s="1989"/>
      <c r="BK87" s="1306"/>
      <c r="BL87" s="1241"/>
      <c r="BM87" s="1241"/>
      <c r="BN87" s="1241"/>
      <c r="BO87" s="1241"/>
      <c r="BP87" s="1241"/>
      <c r="BQ87" s="1242"/>
      <c r="BR87" s="1338"/>
      <c r="BS87" s="1338"/>
      <c r="BT87" s="1338"/>
      <c r="BU87" s="1338"/>
      <c r="BV87" s="1344"/>
      <c r="BW87" s="1344"/>
      <c r="BX87" s="1344"/>
      <c r="BY87" s="1344"/>
      <c r="BZ87" s="1342"/>
      <c r="CA87" s="1342"/>
      <c r="CB87" s="1342"/>
      <c r="CC87" s="1344"/>
      <c r="CD87" s="1344"/>
      <c r="CE87" s="1344"/>
      <c r="CF87" s="1344"/>
      <c r="CG87" s="1342"/>
      <c r="CH87" s="1342"/>
      <c r="CI87" s="1342"/>
      <c r="CJ87" s="1346"/>
      <c r="CK87" s="1346"/>
      <c r="CL87" s="1346"/>
      <c r="CM87" s="1348"/>
      <c r="CN87" s="1348"/>
      <c r="CO87" s="1348"/>
      <c r="CP87" s="1348"/>
      <c r="CQ87" s="2103"/>
      <c r="CR87" s="2104"/>
      <c r="CS87" s="2104"/>
      <c r="CT87" s="2104"/>
      <c r="CU87" s="2104"/>
      <c r="CV87" s="2104"/>
      <c r="CW87" s="2104"/>
      <c r="CX87" s="2104"/>
      <c r="CY87" s="2104"/>
      <c r="CZ87" s="2104"/>
      <c r="DA87" s="2104"/>
      <c r="DB87" s="2104"/>
      <c r="DC87" s="2104"/>
      <c r="DD87" s="2104"/>
      <c r="DE87" s="2104"/>
      <c r="DF87" s="2104"/>
      <c r="DG87" s="2104"/>
      <c r="DH87" s="2104"/>
      <c r="DI87" s="2104"/>
      <c r="DJ87" s="2104"/>
      <c r="DK87" s="2104"/>
      <c r="DL87" s="2105"/>
      <c r="DM87" s="694"/>
      <c r="GA87" s="210"/>
      <c r="GB87" s="210"/>
      <c r="GC87" s="210"/>
      <c r="GD87" s="210"/>
      <c r="GE87" s="210"/>
      <c r="GF87" s="210"/>
      <c r="GG87" s="210"/>
      <c r="GH87" s="210"/>
      <c r="GI87" s="211"/>
      <c r="GJ87" s="211"/>
      <c r="GK87" s="211"/>
      <c r="GL87" s="211"/>
      <c r="GM87" s="211"/>
      <c r="GN87" s="211"/>
      <c r="GO87" s="211"/>
      <c r="GP87" s="211"/>
      <c r="GQ87" s="210"/>
      <c r="GR87" s="210"/>
      <c r="GS87" s="210"/>
      <c r="GT87" s="210"/>
      <c r="GU87" s="210"/>
      <c r="GV87" s="210"/>
      <c r="GW87" s="210"/>
      <c r="GX87" s="210"/>
    </row>
    <row r="88" spans="1:206" ht="7.5" customHeight="1">
      <c r="B88" s="1476"/>
      <c r="C88" s="774"/>
      <c r="D88" s="774"/>
      <c r="E88" s="774"/>
      <c r="F88" s="774"/>
      <c r="G88" s="774"/>
      <c r="H88" s="774"/>
      <c r="I88" s="1750"/>
      <c r="J88" s="1425"/>
      <c r="K88" s="1425"/>
      <c r="L88" s="1425"/>
      <c r="M88" s="1425"/>
      <c r="N88" s="1425"/>
      <c r="O88" s="1425"/>
      <c r="P88" s="1425"/>
      <c r="Q88" s="1425"/>
      <c r="R88" s="1306"/>
      <c r="S88" s="1241"/>
      <c r="T88" s="1241"/>
      <c r="U88" s="1241"/>
      <c r="V88" s="1241"/>
      <c r="W88" s="1241"/>
      <c r="X88" s="1241"/>
      <c r="Y88" s="1242"/>
      <c r="Z88" s="2084"/>
      <c r="AA88" s="2084"/>
      <c r="AB88" s="2084"/>
      <c r="AC88" s="2084"/>
      <c r="AD88" s="2084"/>
      <c r="AE88" s="2084"/>
      <c r="AF88" s="2084"/>
      <c r="AG88" s="2084"/>
      <c r="AH88" s="2084"/>
      <c r="AI88" s="2084"/>
      <c r="AJ88" s="2084"/>
      <c r="AK88" s="2084"/>
      <c r="AL88" s="2084"/>
      <c r="AM88" s="2084"/>
      <c r="AN88" s="2084"/>
      <c r="AO88" s="2084"/>
      <c r="AP88" s="2084"/>
      <c r="AQ88" s="2084"/>
      <c r="AR88" s="2084"/>
      <c r="AS88" s="2084"/>
      <c r="AT88" s="2084"/>
      <c r="AU88" s="2084"/>
      <c r="AV88" s="2084"/>
      <c r="AW88" s="2084"/>
      <c r="AX88" s="2084"/>
      <c r="AY88" s="1981"/>
      <c r="AZ88" s="1982"/>
      <c r="BA88" s="1982"/>
      <c r="BB88" s="1982"/>
      <c r="BC88" s="1982"/>
      <c r="BD88" s="1982"/>
      <c r="BE88" s="1982"/>
      <c r="BF88" s="1983"/>
      <c r="BG88" s="1990"/>
      <c r="BH88" s="1991"/>
      <c r="BI88" s="1991"/>
      <c r="BJ88" s="1992"/>
      <c r="BK88" s="1362"/>
      <c r="BL88" s="1275"/>
      <c r="BM88" s="1275"/>
      <c r="BN88" s="1275"/>
      <c r="BO88" s="1275"/>
      <c r="BP88" s="1275"/>
      <c r="BQ88" s="1276"/>
      <c r="BR88" s="1811"/>
      <c r="BS88" s="1811"/>
      <c r="BT88" s="1811"/>
      <c r="BU88" s="1811"/>
      <c r="BV88" s="1737"/>
      <c r="BW88" s="1737"/>
      <c r="BX88" s="1737"/>
      <c r="BY88" s="1737"/>
      <c r="BZ88" s="1712"/>
      <c r="CA88" s="1712"/>
      <c r="CB88" s="1712"/>
      <c r="CC88" s="1737"/>
      <c r="CD88" s="1737"/>
      <c r="CE88" s="1737"/>
      <c r="CF88" s="1737"/>
      <c r="CG88" s="1712"/>
      <c r="CH88" s="1712"/>
      <c r="CI88" s="1712"/>
      <c r="CJ88" s="1848"/>
      <c r="CK88" s="1848"/>
      <c r="CL88" s="1848"/>
      <c r="CM88" s="1777"/>
      <c r="CN88" s="1777"/>
      <c r="CO88" s="1777"/>
      <c r="CP88" s="1777"/>
      <c r="CQ88" s="2106"/>
      <c r="CR88" s="2107"/>
      <c r="CS88" s="2107"/>
      <c r="CT88" s="2107"/>
      <c r="CU88" s="2107"/>
      <c r="CV88" s="2107"/>
      <c r="CW88" s="2107"/>
      <c r="CX88" s="2107"/>
      <c r="CY88" s="2107"/>
      <c r="CZ88" s="2107"/>
      <c r="DA88" s="2107"/>
      <c r="DB88" s="2107"/>
      <c r="DC88" s="2107"/>
      <c r="DD88" s="2107"/>
      <c r="DE88" s="2107"/>
      <c r="DF88" s="2107"/>
      <c r="DG88" s="2107"/>
      <c r="DH88" s="2107"/>
      <c r="DI88" s="2107"/>
      <c r="DJ88" s="2107"/>
      <c r="DK88" s="2107"/>
      <c r="DL88" s="2108"/>
      <c r="DM88" s="694"/>
    </row>
    <row r="89" spans="1:206" ht="7.5" customHeight="1">
      <c r="B89" s="1938" t="s">
        <v>396</v>
      </c>
      <c r="C89" s="1714"/>
      <c r="D89" s="1714"/>
      <c r="E89" s="1714"/>
      <c r="F89" s="1714"/>
      <c r="G89" s="1715"/>
      <c r="H89" s="1275" t="s">
        <v>1324</v>
      </c>
      <c r="I89" s="1275"/>
      <c r="J89" s="1275"/>
      <c r="K89" s="1275"/>
      <c r="L89" s="1275"/>
      <c r="M89" s="1275"/>
      <c r="N89" s="1275"/>
      <c r="O89" s="1275"/>
      <c r="P89" s="1275"/>
      <c r="Q89" s="1275"/>
      <c r="R89" s="1275"/>
      <c r="S89" s="1275"/>
      <c r="T89" s="1858"/>
      <c r="U89" s="1425"/>
      <c r="V89" s="1425"/>
      <c r="W89" s="1425"/>
      <c r="X89" s="1425"/>
      <c r="Y89" s="1425"/>
      <c r="Z89" s="1425"/>
      <c r="AA89" s="1999"/>
      <c r="AB89" s="1362" t="s">
        <v>411</v>
      </c>
      <c r="AC89" s="1275"/>
      <c r="AD89" s="1275"/>
      <c r="AE89" s="1275"/>
      <c r="AF89" s="1275"/>
      <c r="AG89" s="1275"/>
      <c r="AH89" s="1275"/>
      <c r="AI89" s="1275"/>
      <c r="AJ89" s="1275"/>
      <c r="AK89" s="1275"/>
      <c r="AL89" s="1275"/>
      <c r="AM89" s="1275"/>
      <c r="AN89" s="1858"/>
      <c r="AO89" s="1425"/>
      <c r="AP89" s="1425"/>
      <c r="AQ89" s="1425"/>
      <c r="AR89" s="1425"/>
      <c r="AS89" s="1425"/>
      <c r="AT89" s="1425"/>
      <c r="AU89" s="1425"/>
      <c r="AV89" s="2094" t="s">
        <v>412</v>
      </c>
      <c r="AW89" s="2095"/>
      <c r="AX89" s="2095"/>
      <c r="AY89" s="2095"/>
      <c r="AZ89" s="2095"/>
      <c r="BA89" s="2095"/>
      <c r="BB89" s="2095"/>
      <c r="BC89" s="2095"/>
      <c r="BD89" s="2087"/>
      <c r="BE89" s="2087"/>
      <c r="BF89" s="2087"/>
      <c r="BG89" s="2087"/>
      <c r="BH89" s="2087"/>
      <c r="BI89" s="2087"/>
      <c r="BJ89" s="2087"/>
      <c r="BK89" s="2087"/>
      <c r="BL89" s="2091" t="s">
        <v>413</v>
      </c>
      <c r="BM89" s="2091"/>
      <c r="BN89" s="3249"/>
      <c r="BO89" s="3196" t="s">
        <v>1282</v>
      </c>
      <c r="BP89" s="3196"/>
      <c r="BQ89" s="3196"/>
      <c r="BR89" s="3196"/>
      <c r="BS89" s="3196"/>
      <c r="BT89" s="3196"/>
      <c r="BU89" s="3196"/>
      <c r="BV89" s="3199"/>
      <c r="BW89" s="3200"/>
      <c r="BX89" s="3200"/>
      <c r="BY89" s="3201"/>
      <c r="BZ89" s="3236"/>
      <c r="CA89" s="3236"/>
      <c r="CB89" s="3236"/>
      <c r="CC89" s="3236"/>
      <c r="CD89" s="3236"/>
      <c r="CE89" s="3236"/>
      <c r="CF89" s="3236"/>
      <c r="CG89" s="3236"/>
      <c r="CH89" s="3236"/>
      <c r="CI89" s="3236"/>
      <c r="CJ89" s="3236"/>
      <c r="CK89" s="3236"/>
      <c r="CL89" s="3236"/>
      <c r="CM89" s="3236"/>
      <c r="CN89" s="3236"/>
      <c r="CO89" s="3236"/>
      <c r="CP89" s="3236"/>
      <c r="CQ89" s="3236"/>
      <c r="CR89" s="3236"/>
      <c r="CS89" s="3236"/>
      <c r="CT89" s="3236"/>
      <c r="CU89" s="3236"/>
      <c r="CV89" s="3236"/>
      <c r="CW89" s="3236"/>
      <c r="CX89" s="3236"/>
      <c r="CY89" s="3236"/>
      <c r="CZ89" s="3236"/>
      <c r="DA89" s="3236"/>
      <c r="DB89" s="3236"/>
      <c r="DC89" s="3236"/>
      <c r="DD89" s="3236"/>
      <c r="DE89" s="3236"/>
      <c r="DF89" s="3236"/>
      <c r="DG89" s="3236"/>
      <c r="DH89" s="3236"/>
      <c r="DI89" s="3236"/>
      <c r="DJ89" s="3236"/>
      <c r="DK89" s="3236"/>
      <c r="DL89" s="3237"/>
    </row>
    <row r="90" spans="1:206" ht="7.5" customHeight="1">
      <c r="B90" s="1939"/>
      <c r="C90" s="1717"/>
      <c r="D90" s="1717"/>
      <c r="E90" s="1717"/>
      <c r="F90" s="1717"/>
      <c r="G90" s="1718"/>
      <c r="H90" s="774"/>
      <c r="I90" s="774"/>
      <c r="J90" s="774"/>
      <c r="K90" s="774"/>
      <c r="L90" s="774"/>
      <c r="M90" s="774"/>
      <c r="N90" s="774"/>
      <c r="O90" s="774"/>
      <c r="P90" s="774"/>
      <c r="Q90" s="774"/>
      <c r="R90" s="774"/>
      <c r="S90" s="774"/>
      <c r="T90" s="1366"/>
      <c r="U90" s="1367"/>
      <c r="V90" s="1367"/>
      <c r="W90" s="1367"/>
      <c r="X90" s="1367"/>
      <c r="Y90" s="1367"/>
      <c r="Z90" s="1367"/>
      <c r="AA90" s="1368"/>
      <c r="AB90" s="1422"/>
      <c r="AC90" s="774"/>
      <c r="AD90" s="774"/>
      <c r="AE90" s="774"/>
      <c r="AF90" s="774"/>
      <c r="AG90" s="774"/>
      <c r="AH90" s="774"/>
      <c r="AI90" s="774"/>
      <c r="AJ90" s="774"/>
      <c r="AK90" s="774"/>
      <c r="AL90" s="774"/>
      <c r="AM90" s="774"/>
      <c r="AN90" s="1366"/>
      <c r="AO90" s="1367"/>
      <c r="AP90" s="1367"/>
      <c r="AQ90" s="1367"/>
      <c r="AR90" s="1367"/>
      <c r="AS90" s="1367"/>
      <c r="AT90" s="1367"/>
      <c r="AU90" s="1367"/>
      <c r="AV90" s="2096"/>
      <c r="AW90" s="2097"/>
      <c r="AX90" s="2097"/>
      <c r="AY90" s="2097"/>
      <c r="AZ90" s="2097"/>
      <c r="BA90" s="2097"/>
      <c r="BB90" s="2097"/>
      <c r="BC90" s="2097"/>
      <c r="BD90" s="2088"/>
      <c r="BE90" s="2088"/>
      <c r="BF90" s="2088"/>
      <c r="BG90" s="2088"/>
      <c r="BH90" s="2088"/>
      <c r="BI90" s="2088"/>
      <c r="BJ90" s="2088"/>
      <c r="BK90" s="2088"/>
      <c r="BL90" s="2092"/>
      <c r="BM90" s="2092"/>
      <c r="BN90" s="3250"/>
      <c r="BO90" s="3197"/>
      <c r="BP90" s="3197"/>
      <c r="BQ90" s="3197"/>
      <c r="BR90" s="3197"/>
      <c r="BS90" s="3197"/>
      <c r="BT90" s="3197"/>
      <c r="BU90" s="3197"/>
      <c r="BV90" s="3202"/>
      <c r="BW90" s="3203"/>
      <c r="BX90" s="3203"/>
      <c r="BY90" s="3204"/>
      <c r="BZ90" s="3238"/>
      <c r="CA90" s="3238"/>
      <c r="CB90" s="3238"/>
      <c r="CC90" s="3238"/>
      <c r="CD90" s="3238"/>
      <c r="CE90" s="3238"/>
      <c r="CF90" s="3238"/>
      <c r="CG90" s="3238"/>
      <c r="CH90" s="3238"/>
      <c r="CI90" s="3238"/>
      <c r="CJ90" s="3238"/>
      <c r="CK90" s="3238"/>
      <c r="CL90" s="3238"/>
      <c r="CM90" s="3238"/>
      <c r="CN90" s="3238"/>
      <c r="CO90" s="3238"/>
      <c r="CP90" s="3238"/>
      <c r="CQ90" s="3238"/>
      <c r="CR90" s="3238"/>
      <c r="CS90" s="3238"/>
      <c r="CT90" s="3238"/>
      <c r="CU90" s="3238"/>
      <c r="CV90" s="3238"/>
      <c r="CW90" s="3238"/>
      <c r="CX90" s="3238"/>
      <c r="CY90" s="3238"/>
      <c r="CZ90" s="3238"/>
      <c r="DA90" s="3238"/>
      <c r="DB90" s="3238"/>
      <c r="DC90" s="3238"/>
      <c r="DD90" s="3238"/>
      <c r="DE90" s="3238"/>
      <c r="DF90" s="3238"/>
      <c r="DG90" s="3238"/>
      <c r="DH90" s="3238"/>
      <c r="DI90" s="3238"/>
      <c r="DJ90" s="3238"/>
      <c r="DK90" s="3238"/>
      <c r="DL90" s="3239"/>
    </row>
    <row r="91" spans="1:206" ht="7.5" customHeight="1" thickBot="1">
      <c r="B91" s="2076"/>
      <c r="C91" s="2077"/>
      <c r="D91" s="2077"/>
      <c r="E91" s="2077"/>
      <c r="F91" s="2077"/>
      <c r="G91" s="2078"/>
      <c r="H91" s="1647"/>
      <c r="I91" s="1647"/>
      <c r="J91" s="1647"/>
      <c r="K91" s="1647"/>
      <c r="L91" s="1647"/>
      <c r="M91" s="1647"/>
      <c r="N91" s="1647"/>
      <c r="O91" s="1647"/>
      <c r="P91" s="1647"/>
      <c r="Q91" s="1647"/>
      <c r="R91" s="1647"/>
      <c r="S91" s="1647"/>
      <c r="T91" s="2080"/>
      <c r="U91" s="2081"/>
      <c r="V91" s="2081"/>
      <c r="W91" s="2081"/>
      <c r="X91" s="2081"/>
      <c r="Y91" s="2081"/>
      <c r="Z91" s="2081"/>
      <c r="AA91" s="2090"/>
      <c r="AB91" s="2079"/>
      <c r="AC91" s="1647"/>
      <c r="AD91" s="1647"/>
      <c r="AE91" s="1647"/>
      <c r="AF91" s="1647"/>
      <c r="AG91" s="1647"/>
      <c r="AH91" s="1647"/>
      <c r="AI91" s="1647"/>
      <c r="AJ91" s="1647"/>
      <c r="AK91" s="1647"/>
      <c r="AL91" s="1647"/>
      <c r="AM91" s="1647"/>
      <c r="AN91" s="2080"/>
      <c r="AO91" s="2081"/>
      <c r="AP91" s="2081"/>
      <c r="AQ91" s="2081"/>
      <c r="AR91" s="2081"/>
      <c r="AS91" s="2081"/>
      <c r="AT91" s="2081"/>
      <c r="AU91" s="2081"/>
      <c r="AV91" s="2098"/>
      <c r="AW91" s="2099"/>
      <c r="AX91" s="2099"/>
      <c r="AY91" s="2099"/>
      <c r="AZ91" s="2099"/>
      <c r="BA91" s="2099"/>
      <c r="BB91" s="2099"/>
      <c r="BC91" s="2099"/>
      <c r="BD91" s="2089"/>
      <c r="BE91" s="2089"/>
      <c r="BF91" s="2089"/>
      <c r="BG91" s="2089"/>
      <c r="BH91" s="2089"/>
      <c r="BI91" s="2089"/>
      <c r="BJ91" s="2089"/>
      <c r="BK91" s="2089"/>
      <c r="BL91" s="2093"/>
      <c r="BM91" s="2093"/>
      <c r="BN91" s="3251"/>
      <c r="BO91" s="3198"/>
      <c r="BP91" s="3198"/>
      <c r="BQ91" s="3198"/>
      <c r="BR91" s="3198"/>
      <c r="BS91" s="3198"/>
      <c r="BT91" s="3198"/>
      <c r="BU91" s="3198"/>
      <c r="BV91" s="3205"/>
      <c r="BW91" s="3206"/>
      <c r="BX91" s="3206"/>
      <c r="BY91" s="3207"/>
      <c r="BZ91" s="3240"/>
      <c r="CA91" s="3240"/>
      <c r="CB91" s="3240"/>
      <c r="CC91" s="3240"/>
      <c r="CD91" s="3240"/>
      <c r="CE91" s="3240"/>
      <c r="CF91" s="3240"/>
      <c r="CG91" s="3240"/>
      <c r="CH91" s="3240"/>
      <c r="CI91" s="3240"/>
      <c r="CJ91" s="3240"/>
      <c r="CK91" s="3240"/>
      <c r="CL91" s="3240"/>
      <c r="CM91" s="3240"/>
      <c r="CN91" s="3240"/>
      <c r="CO91" s="3240"/>
      <c r="CP91" s="3240"/>
      <c r="CQ91" s="3240"/>
      <c r="CR91" s="3240"/>
      <c r="CS91" s="3240"/>
      <c r="CT91" s="3240"/>
      <c r="CU91" s="3240"/>
      <c r="CV91" s="3240"/>
      <c r="CW91" s="3240"/>
      <c r="CX91" s="3240"/>
      <c r="CY91" s="3240"/>
      <c r="CZ91" s="3240"/>
      <c r="DA91" s="3240"/>
      <c r="DB91" s="3240"/>
      <c r="DC91" s="3240"/>
      <c r="DD91" s="3240"/>
      <c r="DE91" s="3240"/>
      <c r="DF91" s="3240"/>
      <c r="DG91" s="3240"/>
      <c r="DH91" s="3240"/>
      <c r="DI91" s="3240"/>
      <c r="DJ91" s="3240"/>
      <c r="DK91" s="3240"/>
      <c r="DL91" s="3241"/>
    </row>
    <row r="92" spans="1:206" ht="4.5" customHeight="1" thickTop="1"/>
    <row r="93" spans="1:206" ht="8.15" hidden="1" customHeight="1">
      <c r="B93" s="3208" t="s">
        <v>1311</v>
      </c>
      <c r="C93" s="3208"/>
      <c r="D93" s="3208"/>
      <c r="E93" s="3208"/>
      <c r="F93" s="3208"/>
      <c r="G93" s="3208"/>
      <c r="H93" s="3208"/>
      <c r="I93" s="3208"/>
      <c r="J93" s="3208"/>
      <c r="K93" s="3208"/>
      <c r="L93" s="3208"/>
      <c r="M93" s="3208"/>
      <c r="N93" s="3208"/>
      <c r="O93" s="3208"/>
      <c r="P93" s="3208"/>
      <c r="Q93" s="3208"/>
      <c r="R93" s="3208"/>
      <c r="S93" s="3208"/>
      <c r="T93" s="3208"/>
      <c r="U93" s="3208"/>
      <c r="V93" s="3208"/>
      <c r="W93" s="3208"/>
      <c r="X93" s="3208"/>
      <c r="Y93" s="3208"/>
      <c r="Z93" s="3208"/>
      <c r="AA93" s="3208"/>
      <c r="AB93" s="3208"/>
      <c r="AC93" s="3208"/>
      <c r="AD93" s="3208"/>
      <c r="AE93" s="3208"/>
      <c r="AF93" s="3208"/>
      <c r="AG93" s="3208"/>
      <c r="AH93" s="3208"/>
      <c r="AI93" s="3208"/>
      <c r="AJ93" s="3208"/>
      <c r="AK93" s="3208"/>
      <c r="AL93" s="3208"/>
      <c r="AM93" s="3208"/>
      <c r="AN93" s="3208"/>
      <c r="AO93" s="3208"/>
      <c r="AP93" s="3208"/>
      <c r="AQ93" s="3208"/>
      <c r="AR93" s="3208"/>
      <c r="AS93" s="3208"/>
      <c r="AT93" s="3208"/>
      <c r="AU93" s="3208"/>
      <c r="AV93" s="3208"/>
      <c r="AW93" s="3208"/>
      <c r="AX93" s="3208"/>
      <c r="AY93" s="3208"/>
      <c r="AZ93" s="3208"/>
      <c r="BA93" s="3208"/>
      <c r="BB93" s="3208"/>
      <c r="BC93" s="3208"/>
      <c r="BD93" s="3208"/>
      <c r="BE93" s="3208"/>
      <c r="BF93" s="3208"/>
      <c r="BG93" s="3208"/>
      <c r="BH93" s="3208"/>
      <c r="BI93" s="3208"/>
      <c r="BJ93" s="3208"/>
      <c r="BK93" s="3208"/>
      <c r="BL93" s="3208"/>
      <c r="BM93" s="3208"/>
      <c r="BN93" s="3208"/>
      <c r="BO93" s="3208"/>
      <c r="BP93" s="3208"/>
      <c r="BQ93" s="3208"/>
      <c r="BR93" s="3208"/>
      <c r="BS93" s="3208"/>
      <c r="BT93" s="3208"/>
      <c r="BU93" s="3208"/>
      <c r="BV93" s="3208"/>
      <c r="BW93" s="3208"/>
      <c r="BX93" s="3208"/>
      <c r="BY93" s="3208"/>
      <c r="BZ93" s="3208"/>
      <c r="CA93" s="3208"/>
      <c r="CB93" s="3208"/>
      <c r="CC93" s="3208"/>
      <c r="CD93" s="3208"/>
      <c r="CE93" s="3208"/>
      <c r="CF93" s="3208"/>
      <c r="CG93" s="3208"/>
      <c r="CH93" s="3208"/>
      <c r="CI93" s="3208"/>
      <c r="CJ93" s="3208"/>
      <c r="CK93" s="3208"/>
      <c r="CL93" s="3208"/>
      <c r="CM93" s="3208"/>
      <c r="CN93" s="3208"/>
      <c r="CO93" s="3208"/>
      <c r="CP93" s="3208"/>
      <c r="CQ93" s="3208"/>
      <c r="CR93" s="3208"/>
      <c r="CS93" s="3208"/>
      <c r="CT93" s="3208"/>
      <c r="CU93" s="3208"/>
      <c r="CV93" s="3208"/>
      <c r="CW93" s="3208"/>
      <c r="CX93" s="3208"/>
      <c r="CY93" s="3208"/>
      <c r="CZ93" s="3208"/>
      <c r="DA93" s="3208"/>
      <c r="DB93" s="3208"/>
      <c r="DC93" s="3208"/>
      <c r="DD93" s="3208"/>
      <c r="DE93" s="3208"/>
      <c r="DF93" s="3208"/>
      <c r="DG93" s="3208"/>
      <c r="DH93" s="3208"/>
      <c r="DI93" s="3208"/>
      <c r="DJ93" s="3208"/>
      <c r="DK93" s="3208"/>
      <c r="DL93" s="3208"/>
    </row>
    <row r="94" spans="1:206" ht="8.15" hidden="1" customHeight="1" thickBot="1">
      <c r="B94" s="3209"/>
      <c r="C94" s="3209"/>
      <c r="D94" s="3209"/>
      <c r="E94" s="3209"/>
      <c r="F94" s="3209"/>
      <c r="G94" s="3209"/>
      <c r="H94" s="3209"/>
      <c r="I94" s="3209"/>
      <c r="J94" s="3209"/>
      <c r="K94" s="3209"/>
      <c r="L94" s="3209"/>
      <c r="M94" s="3209"/>
      <c r="N94" s="3209"/>
      <c r="O94" s="3209"/>
      <c r="P94" s="3209"/>
      <c r="Q94" s="3209"/>
      <c r="R94" s="3209"/>
      <c r="S94" s="3209"/>
      <c r="T94" s="3209"/>
      <c r="U94" s="3209"/>
      <c r="V94" s="3209"/>
      <c r="W94" s="3209"/>
      <c r="X94" s="3209"/>
      <c r="Y94" s="3209"/>
      <c r="Z94" s="3209"/>
      <c r="AA94" s="3209"/>
      <c r="AB94" s="3209"/>
      <c r="AC94" s="3209"/>
      <c r="AD94" s="3209"/>
      <c r="AE94" s="3209"/>
      <c r="AF94" s="3209"/>
      <c r="AG94" s="3209"/>
      <c r="AH94" s="3209"/>
      <c r="AI94" s="3209"/>
      <c r="AJ94" s="3209"/>
      <c r="AK94" s="3209"/>
      <c r="AL94" s="3209"/>
      <c r="AM94" s="3209"/>
      <c r="AN94" s="3209"/>
      <c r="AO94" s="3209"/>
      <c r="AP94" s="3209"/>
      <c r="AQ94" s="3209"/>
      <c r="AR94" s="3209"/>
      <c r="AS94" s="3209"/>
      <c r="AT94" s="3209"/>
      <c r="AU94" s="3209"/>
      <c r="AV94" s="3209"/>
      <c r="AW94" s="3209"/>
      <c r="AX94" s="3209"/>
      <c r="AY94" s="3209"/>
      <c r="AZ94" s="3209"/>
      <c r="BA94" s="3209"/>
      <c r="BB94" s="3209"/>
      <c r="BC94" s="3209"/>
      <c r="BD94" s="3209"/>
      <c r="BE94" s="3209"/>
      <c r="BF94" s="3209"/>
      <c r="BG94" s="3209"/>
      <c r="BH94" s="3209"/>
      <c r="BI94" s="3209"/>
      <c r="BJ94" s="3209"/>
      <c r="BK94" s="3209"/>
      <c r="BL94" s="3209"/>
      <c r="BM94" s="3209"/>
      <c r="BN94" s="3209"/>
      <c r="BO94" s="3209"/>
      <c r="BP94" s="3209"/>
      <c r="BQ94" s="3209"/>
      <c r="BR94" s="3209"/>
      <c r="BS94" s="3209"/>
      <c r="BT94" s="3209"/>
      <c r="BU94" s="3209"/>
      <c r="BV94" s="3209"/>
      <c r="BW94" s="3209"/>
      <c r="BX94" s="3209"/>
      <c r="BY94" s="3209"/>
      <c r="BZ94" s="3209"/>
      <c r="CA94" s="3209"/>
      <c r="CB94" s="3209"/>
      <c r="CC94" s="3209"/>
      <c r="CD94" s="3209"/>
      <c r="CE94" s="3209"/>
      <c r="CF94" s="3209"/>
      <c r="CG94" s="3209"/>
      <c r="CH94" s="3209"/>
      <c r="CI94" s="3209"/>
      <c r="CJ94" s="3209"/>
      <c r="CK94" s="3209"/>
      <c r="CL94" s="3209"/>
      <c r="CM94" s="3209"/>
      <c r="CN94" s="3209"/>
      <c r="CO94" s="3209"/>
      <c r="CP94" s="3209"/>
      <c r="CQ94" s="3209"/>
      <c r="CR94" s="3209"/>
      <c r="CS94" s="3209"/>
      <c r="CT94" s="3209"/>
      <c r="CU94" s="3209"/>
      <c r="CV94" s="3209"/>
      <c r="CW94" s="3209"/>
      <c r="CX94" s="3209"/>
      <c r="CY94" s="3209"/>
      <c r="CZ94" s="3209"/>
      <c r="DA94" s="3209"/>
      <c r="DB94" s="3209"/>
      <c r="DC94" s="3209"/>
      <c r="DD94" s="3209"/>
      <c r="DE94" s="3209"/>
      <c r="DF94" s="3209"/>
      <c r="DG94" s="3209"/>
      <c r="DH94" s="3209"/>
      <c r="DI94" s="3209"/>
      <c r="DJ94" s="3209"/>
      <c r="DK94" s="3209"/>
      <c r="DL94" s="3209"/>
    </row>
    <row r="95" spans="1:206" ht="8.15" hidden="1" customHeight="1">
      <c r="B95" s="3210" t="s">
        <v>241</v>
      </c>
      <c r="C95" s="1752"/>
      <c r="D95" s="1752"/>
      <c r="E95" s="1752"/>
      <c r="F95" s="1752"/>
      <c r="G95" s="1752"/>
      <c r="H95" s="1752"/>
      <c r="I95" s="1753"/>
      <c r="J95" s="3211"/>
      <c r="K95" s="3212"/>
      <c r="L95" s="3212"/>
      <c r="M95" s="3212"/>
      <c r="N95" s="3212"/>
      <c r="O95" s="3212"/>
      <c r="P95" s="3212"/>
      <c r="Q95" s="3212"/>
      <c r="R95" s="3212"/>
      <c r="S95" s="3212"/>
      <c r="T95" s="3212"/>
      <c r="U95" s="3212"/>
      <c r="V95" s="3212"/>
      <c r="W95" s="3212"/>
      <c r="X95" s="3212"/>
      <c r="Y95" s="3212"/>
      <c r="Z95" s="3213"/>
      <c r="AA95" s="1751" t="s">
        <v>242</v>
      </c>
      <c r="AB95" s="1752"/>
      <c r="AC95" s="1752"/>
      <c r="AD95" s="1752"/>
      <c r="AE95" s="1752"/>
      <c r="AF95" s="1752"/>
      <c r="AG95" s="1752"/>
      <c r="AH95" s="1753"/>
      <c r="AI95" s="1765"/>
      <c r="AJ95" s="1766"/>
      <c r="AK95" s="1766"/>
      <c r="AL95" s="1766"/>
      <c r="AM95" s="1766"/>
      <c r="AN95" s="1766"/>
      <c r="AO95" s="1766"/>
      <c r="AP95" s="1766"/>
      <c r="AQ95" s="1766"/>
      <c r="AR95" s="1766"/>
      <c r="AS95" s="1766"/>
      <c r="AT95" s="1766"/>
      <c r="AU95" s="1766"/>
      <c r="AV95" s="1766"/>
      <c r="AW95" s="1766"/>
      <c r="AX95" s="1766"/>
      <c r="AY95" s="1751" t="s">
        <v>391</v>
      </c>
      <c r="AZ95" s="1752"/>
      <c r="BA95" s="1752"/>
      <c r="BB95" s="1752"/>
      <c r="BC95" s="1752"/>
      <c r="BD95" s="1752"/>
      <c r="BE95" s="1752"/>
      <c r="BF95" s="1753"/>
      <c r="BG95" s="3252"/>
      <c r="BH95" s="3253"/>
      <c r="BI95" s="3253"/>
      <c r="BJ95" s="3253"/>
      <c r="BK95" s="3253"/>
      <c r="BL95" s="3253"/>
      <c r="BM95" s="3253"/>
      <c r="BN95" s="3253"/>
      <c r="BO95" s="3253"/>
      <c r="BP95" s="3253"/>
      <c r="BQ95" s="3253"/>
      <c r="BR95" s="3254"/>
      <c r="BS95" s="3284"/>
      <c r="BT95" s="3285"/>
      <c r="BU95" s="3285"/>
      <c r="BV95" s="3285"/>
      <c r="BW95" s="3285"/>
      <c r="BX95" s="3285"/>
      <c r="BY95" s="3285"/>
      <c r="BZ95" s="3279"/>
      <c r="CA95" s="3279"/>
      <c r="CB95" s="3279"/>
      <c r="CC95" s="3279"/>
      <c r="CD95" s="3279"/>
      <c r="CE95" s="3279"/>
      <c r="CF95" s="3280"/>
      <c r="CG95" s="774" t="s">
        <v>1339</v>
      </c>
      <c r="CH95" s="774"/>
      <c r="CI95" s="774"/>
      <c r="CJ95" s="774"/>
      <c r="CK95" s="774"/>
      <c r="CL95" s="774"/>
      <c r="CM95" s="774"/>
      <c r="CN95" s="3304"/>
      <c r="CO95" s="3305"/>
      <c r="CP95" s="3305"/>
      <c r="CQ95" s="3305"/>
      <c r="CR95" s="3305"/>
      <c r="CS95" s="3305"/>
      <c r="CT95" s="3305"/>
      <c r="CU95" s="3305"/>
      <c r="CV95" s="3305"/>
      <c r="CW95" s="3305"/>
      <c r="CX95" s="3305"/>
      <c r="CY95" s="3305"/>
      <c r="CZ95" s="3305"/>
      <c r="DA95" s="3305"/>
      <c r="DB95" s="3305"/>
      <c r="DC95" s="3305"/>
      <c r="DD95" s="3305"/>
      <c r="DE95" s="3305"/>
      <c r="DF95" s="3305"/>
      <c r="DG95" s="3305"/>
      <c r="DH95" s="3305"/>
      <c r="DI95" s="3305"/>
      <c r="DJ95" s="3305"/>
      <c r="DK95" s="3305"/>
      <c r="DL95" s="3306"/>
    </row>
    <row r="96" spans="1:206" ht="8.15" hidden="1" customHeight="1">
      <c r="B96" s="1240"/>
      <c r="C96" s="1241"/>
      <c r="D96" s="1241"/>
      <c r="E96" s="1241"/>
      <c r="F96" s="1241"/>
      <c r="G96" s="1241"/>
      <c r="H96" s="1241"/>
      <c r="I96" s="1242"/>
      <c r="J96" s="3211"/>
      <c r="K96" s="3212"/>
      <c r="L96" s="3212"/>
      <c r="M96" s="3212"/>
      <c r="N96" s="3212"/>
      <c r="O96" s="3212"/>
      <c r="P96" s="3212"/>
      <c r="Q96" s="3212"/>
      <c r="R96" s="3212"/>
      <c r="S96" s="3212"/>
      <c r="T96" s="3212"/>
      <c r="U96" s="3212"/>
      <c r="V96" s="3212"/>
      <c r="W96" s="3212"/>
      <c r="X96" s="3212"/>
      <c r="Y96" s="3212"/>
      <c r="Z96" s="3213"/>
      <c r="AA96" s="1306"/>
      <c r="AB96" s="1241"/>
      <c r="AC96" s="1241"/>
      <c r="AD96" s="1241"/>
      <c r="AE96" s="1241"/>
      <c r="AF96" s="1241"/>
      <c r="AG96" s="1241"/>
      <c r="AH96" s="1242"/>
      <c r="AI96" s="1302"/>
      <c r="AJ96" s="1303"/>
      <c r="AK96" s="1303"/>
      <c r="AL96" s="1303"/>
      <c r="AM96" s="1303"/>
      <c r="AN96" s="1303"/>
      <c r="AO96" s="1303"/>
      <c r="AP96" s="1303"/>
      <c r="AQ96" s="1303"/>
      <c r="AR96" s="1303"/>
      <c r="AS96" s="1303"/>
      <c r="AT96" s="1303"/>
      <c r="AU96" s="1303"/>
      <c r="AV96" s="1303"/>
      <c r="AW96" s="1303"/>
      <c r="AX96" s="1303"/>
      <c r="AY96" s="1306"/>
      <c r="AZ96" s="1241"/>
      <c r="BA96" s="1241"/>
      <c r="BB96" s="1241"/>
      <c r="BC96" s="1241"/>
      <c r="BD96" s="1241"/>
      <c r="BE96" s="1241"/>
      <c r="BF96" s="1242"/>
      <c r="BG96" s="2043"/>
      <c r="BH96" s="1577"/>
      <c r="BI96" s="1577"/>
      <c r="BJ96" s="1577"/>
      <c r="BK96" s="1577"/>
      <c r="BL96" s="1577"/>
      <c r="BM96" s="1577"/>
      <c r="BN96" s="1577"/>
      <c r="BO96" s="1577"/>
      <c r="BP96" s="1577"/>
      <c r="BQ96" s="1577"/>
      <c r="BR96" s="3255"/>
      <c r="BS96" s="2301"/>
      <c r="BT96" s="2302"/>
      <c r="BU96" s="2302"/>
      <c r="BV96" s="2302"/>
      <c r="BW96" s="2302"/>
      <c r="BX96" s="2302"/>
      <c r="BY96" s="2302"/>
      <c r="BZ96" s="2211"/>
      <c r="CA96" s="2211"/>
      <c r="CB96" s="2211"/>
      <c r="CC96" s="2211"/>
      <c r="CD96" s="2211"/>
      <c r="CE96" s="2211"/>
      <c r="CF96" s="3281"/>
      <c r="CG96" s="774"/>
      <c r="CH96" s="774"/>
      <c r="CI96" s="774"/>
      <c r="CJ96" s="774"/>
      <c r="CK96" s="774"/>
      <c r="CL96" s="774"/>
      <c r="CM96" s="774"/>
      <c r="CN96" s="3307"/>
      <c r="CO96" s="1399"/>
      <c r="CP96" s="1399"/>
      <c r="CQ96" s="1399"/>
      <c r="CR96" s="1399"/>
      <c r="CS96" s="1399"/>
      <c r="CT96" s="1399"/>
      <c r="CU96" s="1399"/>
      <c r="CV96" s="1399"/>
      <c r="CW96" s="1399"/>
      <c r="CX96" s="1399"/>
      <c r="CY96" s="1399"/>
      <c r="CZ96" s="1399"/>
      <c r="DA96" s="1399"/>
      <c r="DB96" s="1399"/>
      <c r="DC96" s="1399"/>
      <c r="DD96" s="1399"/>
      <c r="DE96" s="1399"/>
      <c r="DF96" s="1399"/>
      <c r="DG96" s="1399"/>
      <c r="DH96" s="1399"/>
      <c r="DI96" s="1399"/>
      <c r="DJ96" s="1399"/>
      <c r="DK96" s="1399"/>
      <c r="DL96" s="3308"/>
    </row>
    <row r="97" spans="1:165" ht="8.15" hidden="1" customHeight="1">
      <c r="B97" s="1240"/>
      <c r="C97" s="1241"/>
      <c r="D97" s="1241"/>
      <c r="E97" s="1241"/>
      <c r="F97" s="1241"/>
      <c r="G97" s="1241"/>
      <c r="H97" s="1241"/>
      <c r="I97" s="1242"/>
      <c r="J97" s="3214"/>
      <c r="K97" s="3215"/>
      <c r="L97" s="3215"/>
      <c r="M97" s="3215"/>
      <c r="N97" s="3215"/>
      <c r="O97" s="3215"/>
      <c r="P97" s="3215"/>
      <c r="Q97" s="3215"/>
      <c r="R97" s="3215"/>
      <c r="S97" s="3215"/>
      <c r="T97" s="3215"/>
      <c r="U97" s="3215"/>
      <c r="V97" s="3215"/>
      <c r="W97" s="3215"/>
      <c r="X97" s="3215"/>
      <c r="Y97" s="3215"/>
      <c r="Z97" s="3216"/>
      <c r="AA97" s="1306"/>
      <c r="AB97" s="1241"/>
      <c r="AC97" s="1241"/>
      <c r="AD97" s="1241"/>
      <c r="AE97" s="1241"/>
      <c r="AF97" s="1241"/>
      <c r="AG97" s="1241"/>
      <c r="AH97" s="1242"/>
      <c r="AI97" s="1302"/>
      <c r="AJ97" s="1303"/>
      <c r="AK97" s="1303"/>
      <c r="AL97" s="1303"/>
      <c r="AM97" s="1303"/>
      <c r="AN97" s="1303"/>
      <c r="AO97" s="1303"/>
      <c r="AP97" s="1303"/>
      <c r="AQ97" s="1303"/>
      <c r="AR97" s="1303"/>
      <c r="AS97" s="1303"/>
      <c r="AT97" s="1303"/>
      <c r="AU97" s="1303"/>
      <c r="AV97" s="1303"/>
      <c r="AW97" s="1303"/>
      <c r="AX97" s="1303"/>
      <c r="AY97" s="1306"/>
      <c r="AZ97" s="1275"/>
      <c r="BA97" s="1275"/>
      <c r="BB97" s="1275"/>
      <c r="BC97" s="1275"/>
      <c r="BD97" s="1275"/>
      <c r="BE97" s="1275"/>
      <c r="BF97" s="1276"/>
      <c r="BG97" s="2043"/>
      <c r="BH97" s="1577"/>
      <c r="BI97" s="1577"/>
      <c r="BJ97" s="1577"/>
      <c r="BK97" s="1577"/>
      <c r="BL97" s="1577"/>
      <c r="BM97" s="1577"/>
      <c r="BN97" s="1577"/>
      <c r="BO97" s="1577"/>
      <c r="BP97" s="1577"/>
      <c r="BQ97" s="1577"/>
      <c r="BR97" s="3255"/>
      <c r="BS97" s="2301"/>
      <c r="BT97" s="2302"/>
      <c r="BU97" s="2302"/>
      <c r="BV97" s="2302"/>
      <c r="BW97" s="2302"/>
      <c r="BX97" s="2302"/>
      <c r="BY97" s="2302"/>
      <c r="BZ97" s="3282"/>
      <c r="CA97" s="3282"/>
      <c r="CB97" s="3282"/>
      <c r="CC97" s="3282"/>
      <c r="CD97" s="3282"/>
      <c r="CE97" s="3282"/>
      <c r="CF97" s="3283"/>
      <c r="CG97" s="774"/>
      <c r="CH97" s="774"/>
      <c r="CI97" s="774"/>
      <c r="CJ97" s="774"/>
      <c r="CK97" s="774"/>
      <c r="CL97" s="774"/>
      <c r="CM97" s="774"/>
      <c r="CN97" s="3309"/>
      <c r="CO97" s="1402"/>
      <c r="CP97" s="1402"/>
      <c r="CQ97" s="1402"/>
      <c r="CR97" s="1402"/>
      <c r="CS97" s="1402"/>
      <c r="CT97" s="1402"/>
      <c r="CU97" s="1402"/>
      <c r="CV97" s="1402"/>
      <c r="CW97" s="1402"/>
      <c r="CX97" s="1402"/>
      <c r="CY97" s="1402"/>
      <c r="CZ97" s="1402"/>
      <c r="DA97" s="1402"/>
      <c r="DB97" s="1402"/>
      <c r="DC97" s="1402"/>
      <c r="DD97" s="1402"/>
      <c r="DE97" s="1402"/>
      <c r="DF97" s="1402"/>
      <c r="DG97" s="1402"/>
      <c r="DH97" s="1402"/>
      <c r="DI97" s="1402"/>
      <c r="DJ97" s="1402"/>
      <c r="DK97" s="1402"/>
      <c r="DL97" s="3310"/>
    </row>
    <row r="98" spans="1:165" ht="8.15" hidden="1" customHeight="1">
      <c r="A98" s="591"/>
      <c r="B98" s="3232" t="s">
        <v>1297</v>
      </c>
      <c r="C98" s="3233"/>
      <c r="D98" s="3233"/>
      <c r="E98" s="3233"/>
      <c r="F98" s="3233"/>
      <c r="G98" s="3233"/>
      <c r="H98" s="3233"/>
      <c r="I98" s="3233"/>
      <c r="J98" s="3242"/>
      <c r="K98" s="3243"/>
      <c r="L98" s="3243"/>
      <c r="M98" s="3243"/>
      <c r="N98" s="3243"/>
      <c r="O98" s="3243"/>
      <c r="P98" s="3243"/>
      <c r="Q98" s="3243"/>
      <c r="R98" s="3243"/>
      <c r="S98" s="3243"/>
      <c r="T98" s="3248" t="s">
        <v>1298</v>
      </c>
      <c r="U98" s="3233"/>
      <c r="V98" s="3233"/>
      <c r="W98" s="3233"/>
      <c r="X98" s="3233"/>
      <c r="Y98" s="3233"/>
      <c r="Z98" s="3233"/>
      <c r="AA98" s="3311">
        <v>20</v>
      </c>
      <c r="AB98" s="3311"/>
      <c r="AC98" s="3311"/>
      <c r="AD98" s="3311"/>
      <c r="AE98" s="3235"/>
      <c r="AF98" s="3235"/>
      <c r="AG98" s="3235"/>
      <c r="AH98" s="3235"/>
      <c r="AI98" s="3311" t="s">
        <v>1229</v>
      </c>
      <c r="AJ98" s="3311"/>
      <c r="AK98" s="3311"/>
      <c r="AL98" s="3235"/>
      <c r="AM98" s="3235"/>
      <c r="AN98" s="3235"/>
      <c r="AO98" s="3235"/>
      <c r="AP98" s="3311" t="s">
        <v>1230</v>
      </c>
      <c r="AQ98" s="3311"/>
      <c r="AR98" s="3311"/>
      <c r="AS98" s="3311">
        <v>1</v>
      </c>
      <c r="AT98" s="3311"/>
      <c r="AU98" s="3311"/>
      <c r="AV98" s="3311"/>
      <c r="AW98" s="3311" t="s">
        <v>1233</v>
      </c>
      <c r="AX98" s="3311"/>
      <c r="AY98" s="3311"/>
      <c r="AZ98" s="3182" t="s">
        <v>1338</v>
      </c>
      <c r="BA98" s="3182"/>
      <c r="BB98" s="3182"/>
      <c r="BC98" s="3182"/>
      <c r="BD98" s="3182"/>
      <c r="BE98" s="3182"/>
      <c r="BF98" s="3182"/>
      <c r="BG98" s="3182"/>
      <c r="BH98" s="3182"/>
      <c r="BI98" s="3182"/>
      <c r="BJ98" s="3187"/>
      <c r="BK98" s="3178"/>
      <c r="BL98" s="3179"/>
      <c r="BM98" s="3179"/>
      <c r="BN98" s="3179"/>
      <c r="BO98" s="3179"/>
      <c r="BP98" s="3179"/>
      <c r="BQ98" s="3179"/>
      <c r="BR98" s="3179"/>
      <c r="BS98" s="3179"/>
      <c r="BT98" s="3179"/>
      <c r="BU98" s="3179"/>
      <c r="BV98" s="3179"/>
      <c r="BW98" s="3179"/>
      <c r="BX98" s="3179"/>
      <c r="BY98" s="3179"/>
      <c r="BZ98" s="3179"/>
      <c r="CA98" s="3179"/>
      <c r="CB98" s="3179"/>
      <c r="CC98" s="3179"/>
      <c r="CD98" s="3179"/>
      <c r="CE98" s="3179"/>
      <c r="CF98" s="3179"/>
      <c r="CG98" s="3179"/>
      <c r="CH98" s="3179"/>
      <c r="CI98" s="3179"/>
      <c r="CJ98" s="3179"/>
      <c r="CK98" s="3179"/>
      <c r="CL98" s="3179"/>
      <c r="CM98" s="3179"/>
      <c r="CN98" s="3181"/>
      <c r="CO98" s="3182"/>
      <c r="CP98" s="3182"/>
      <c r="CQ98" s="3182"/>
      <c r="CR98" s="3182"/>
      <c r="CS98" s="3182"/>
      <c r="CT98" s="3182"/>
      <c r="CU98" s="3182"/>
      <c r="CV98" s="3182"/>
      <c r="CW98" s="3182"/>
      <c r="CX98" s="3182"/>
      <c r="CY98" s="3182"/>
      <c r="CZ98" s="3182"/>
      <c r="DA98" s="3182"/>
      <c r="DB98" s="3182"/>
      <c r="DC98" s="3182"/>
      <c r="DD98" s="3182"/>
      <c r="DE98" s="3182"/>
      <c r="DF98" s="3182"/>
      <c r="DG98" s="3182"/>
      <c r="DH98" s="3182"/>
      <c r="DI98" s="3182"/>
      <c r="DJ98" s="3182"/>
      <c r="DK98" s="3182"/>
      <c r="DL98" s="3183"/>
    </row>
    <row r="99" spans="1:165" ht="8.15" hidden="1" customHeight="1">
      <c r="A99" s="591"/>
      <c r="B99" s="3234"/>
      <c r="C99" s="3185"/>
      <c r="D99" s="3185"/>
      <c r="E99" s="3185"/>
      <c r="F99" s="3185"/>
      <c r="G99" s="3185"/>
      <c r="H99" s="3185"/>
      <c r="I99" s="3185"/>
      <c r="J99" s="3244"/>
      <c r="K99" s="3245"/>
      <c r="L99" s="3245"/>
      <c r="M99" s="3245"/>
      <c r="N99" s="3245"/>
      <c r="O99" s="3245"/>
      <c r="P99" s="3245"/>
      <c r="Q99" s="3245"/>
      <c r="R99" s="3245"/>
      <c r="S99" s="3245"/>
      <c r="T99" s="3184"/>
      <c r="U99" s="3185"/>
      <c r="V99" s="3185"/>
      <c r="W99" s="3185"/>
      <c r="X99" s="3185"/>
      <c r="Y99" s="3185"/>
      <c r="Z99" s="3185"/>
      <c r="AA99" s="3312"/>
      <c r="AB99" s="3312"/>
      <c r="AC99" s="3312"/>
      <c r="AD99" s="3312"/>
      <c r="AE99" s="3212"/>
      <c r="AF99" s="3212"/>
      <c r="AG99" s="3212"/>
      <c r="AH99" s="3212"/>
      <c r="AI99" s="3312"/>
      <c r="AJ99" s="3312"/>
      <c r="AK99" s="3312"/>
      <c r="AL99" s="3212"/>
      <c r="AM99" s="3212"/>
      <c r="AN99" s="3212"/>
      <c r="AO99" s="3212"/>
      <c r="AP99" s="3312"/>
      <c r="AQ99" s="3312"/>
      <c r="AR99" s="3312"/>
      <c r="AS99" s="3312"/>
      <c r="AT99" s="3312"/>
      <c r="AU99" s="3312"/>
      <c r="AV99" s="3312"/>
      <c r="AW99" s="3312"/>
      <c r="AX99" s="3312"/>
      <c r="AY99" s="3312"/>
      <c r="AZ99" s="3185"/>
      <c r="BA99" s="3185"/>
      <c r="BB99" s="3185"/>
      <c r="BC99" s="3185"/>
      <c r="BD99" s="3185"/>
      <c r="BE99" s="3185"/>
      <c r="BF99" s="3185"/>
      <c r="BG99" s="3185"/>
      <c r="BH99" s="3185"/>
      <c r="BI99" s="3185"/>
      <c r="BJ99" s="3188"/>
      <c r="BK99" s="3180"/>
      <c r="BL99" s="3180"/>
      <c r="BM99" s="3180"/>
      <c r="BN99" s="3180"/>
      <c r="BO99" s="3180"/>
      <c r="BP99" s="3180"/>
      <c r="BQ99" s="3180"/>
      <c r="BR99" s="3180"/>
      <c r="BS99" s="3180"/>
      <c r="BT99" s="3180"/>
      <c r="BU99" s="3180"/>
      <c r="BV99" s="3180"/>
      <c r="BW99" s="3180"/>
      <c r="BX99" s="3180"/>
      <c r="BY99" s="3180"/>
      <c r="BZ99" s="3180"/>
      <c r="CA99" s="3180"/>
      <c r="CB99" s="3180"/>
      <c r="CC99" s="3180"/>
      <c r="CD99" s="3180"/>
      <c r="CE99" s="3180"/>
      <c r="CF99" s="3180"/>
      <c r="CG99" s="3180"/>
      <c r="CH99" s="3180"/>
      <c r="CI99" s="3180"/>
      <c r="CJ99" s="3180"/>
      <c r="CK99" s="3180"/>
      <c r="CL99" s="3180"/>
      <c r="CM99" s="3180"/>
      <c r="CN99" s="3184"/>
      <c r="CO99" s="3185"/>
      <c r="CP99" s="3185"/>
      <c r="CQ99" s="3185"/>
      <c r="CR99" s="3185"/>
      <c r="CS99" s="3185"/>
      <c r="CT99" s="3185"/>
      <c r="CU99" s="3185"/>
      <c r="CV99" s="3185"/>
      <c r="CW99" s="3185"/>
      <c r="CX99" s="3185"/>
      <c r="CY99" s="3185"/>
      <c r="CZ99" s="3185"/>
      <c r="DA99" s="3185"/>
      <c r="DB99" s="3185"/>
      <c r="DC99" s="3185"/>
      <c r="DD99" s="3185"/>
      <c r="DE99" s="3185"/>
      <c r="DF99" s="3185"/>
      <c r="DG99" s="3185"/>
      <c r="DH99" s="3185"/>
      <c r="DI99" s="3185"/>
      <c r="DJ99" s="3185"/>
      <c r="DK99" s="3185"/>
      <c r="DL99" s="3186"/>
    </row>
    <row r="100" spans="1:165" ht="4.5" hidden="1" customHeight="1">
      <c r="A100" s="591"/>
      <c r="B100" s="3234"/>
      <c r="C100" s="3185"/>
      <c r="D100" s="3185"/>
      <c r="E100" s="3185"/>
      <c r="F100" s="3185"/>
      <c r="G100" s="3185"/>
      <c r="H100" s="3185"/>
      <c r="I100" s="3185"/>
      <c r="J100" s="3246"/>
      <c r="K100" s="3247"/>
      <c r="L100" s="3247"/>
      <c r="M100" s="3247"/>
      <c r="N100" s="3247"/>
      <c r="O100" s="3247"/>
      <c r="P100" s="3247"/>
      <c r="Q100" s="3247"/>
      <c r="R100" s="3247"/>
      <c r="S100" s="3247"/>
      <c r="T100" s="3184"/>
      <c r="U100" s="3185"/>
      <c r="V100" s="3185"/>
      <c r="W100" s="3185"/>
      <c r="X100" s="3185"/>
      <c r="Y100" s="3185"/>
      <c r="Z100" s="3185"/>
      <c r="AA100" s="3313"/>
      <c r="AB100" s="3313"/>
      <c r="AC100" s="3313"/>
      <c r="AD100" s="3313"/>
      <c r="AE100" s="3215"/>
      <c r="AF100" s="3215"/>
      <c r="AG100" s="3215"/>
      <c r="AH100" s="3215"/>
      <c r="AI100" s="3313"/>
      <c r="AJ100" s="3313"/>
      <c r="AK100" s="3313"/>
      <c r="AL100" s="3215"/>
      <c r="AM100" s="3215"/>
      <c r="AN100" s="3215"/>
      <c r="AO100" s="3215"/>
      <c r="AP100" s="3313"/>
      <c r="AQ100" s="3313"/>
      <c r="AR100" s="3313"/>
      <c r="AS100" s="3313"/>
      <c r="AT100" s="3313"/>
      <c r="AU100" s="3313"/>
      <c r="AV100" s="3313"/>
      <c r="AW100" s="3313"/>
      <c r="AX100" s="3313"/>
      <c r="AY100" s="3313"/>
      <c r="AZ100" s="3189"/>
      <c r="BA100" s="3189"/>
      <c r="BB100" s="3189"/>
      <c r="BC100" s="3189"/>
      <c r="BD100" s="3189"/>
      <c r="BE100" s="3189"/>
      <c r="BF100" s="3189"/>
      <c r="BG100" s="3189"/>
      <c r="BH100" s="3189"/>
      <c r="BI100" s="3189"/>
      <c r="BJ100" s="3190"/>
      <c r="BK100" s="3180"/>
      <c r="BL100" s="3180"/>
      <c r="BM100" s="3180"/>
      <c r="BN100" s="3180"/>
      <c r="BO100" s="3180"/>
      <c r="BP100" s="3180"/>
      <c r="BQ100" s="3180"/>
      <c r="BR100" s="3180"/>
      <c r="BS100" s="3180"/>
      <c r="BT100" s="3180"/>
      <c r="BU100" s="3180"/>
      <c r="BV100" s="3180"/>
      <c r="BW100" s="3180"/>
      <c r="BX100" s="3180"/>
      <c r="BY100" s="3180"/>
      <c r="BZ100" s="3180"/>
      <c r="CA100" s="3180"/>
      <c r="CB100" s="3180"/>
      <c r="CC100" s="3180"/>
      <c r="CD100" s="3180"/>
      <c r="CE100" s="3180"/>
      <c r="CF100" s="3180"/>
      <c r="CG100" s="3180"/>
      <c r="CH100" s="3180"/>
      <c r="CI100" s="3180"/>
      <c r="CJ100" s="3180"/>
      <c r="CK100" s="3180"/>
      <c r="CL100" s="3180"/>
      <c r="CM100" s="3180"/>
      <c r="CN100" s="3184"/>
      <c r="CO100" s="3185"/>
      <c r="CP100" s="3185"/>
      <c r="CQ100" s="3185"/>
      <c r="CR100" s="3185"/>
      <c r="CS100" s="3185"/>
      <c r="CT100" s="3185"/>
      <c r="CU100" s="3185"/>
      <c r="CV100" s="3185"/>
      <c r="CW100" s="3185"/>
      <c r="CX100" s="3185"/>
      <c r="CY100" s="3185"/>
      <c r="CZ100" s="3185"/>
      <c r="DA100" s="3185"/>
      <c r="DB100" s="3185"/>
      <c r="DC100" s="3185"/>
      <c r="DD100" s="3185"/>
      <c r="DE100" s="3185"/>
      <c r="DF100" s="3185"/>
      <c r="DG100" s="3185"/>
      <c r="DH100" s="3185"/>
      <c r="DI100" s="3185"/>
      <c r="DJ100" s="3185"/>
      <c r="DK100" s="3185"/>
      <c r="DL100" s="3186"/>
    </row>
    <row r="101" spans="1:165" ht="8.15" hidden="1" customHeight="1">
      <c r="B101" s="1939" t="s">
        <v>396</v>
      </c>
      <c r="C101" s="1717"/>
      <c r="D101" s="1717"/>
      <c r="E101" s="1717"/>
      <c r="F101" s="1717"/>
      <c r="G101" s="1717"/>
      <c r="H101" s="1717"/>
      <c r="I101" s="3217"/>
      <c r="J101" s="3181" t="s">
        <v>1279</v>
      </c>
      <c r="K101" s="3182"/>
      <c r="L101" s="3182"/>
      <c r="M101" s="3182"/>
      <c r="N101" s="3182"/>
      <c r="O101" s="3182"/>
      <c r="P101" s="3182"/>
      <c r="Q101" s="3182"/>
      <c r="R101" s="3182"/>
      <c r="S101" s="3221"/>
      <c r="T101" s="3226"/>
      <c r="U101" s="3227"/>
      <c r="V101" s="3227"/>
      <c r="W101" s="3227"/>
      <c r="X101" s="1406" t="s">
        <v>411</v>
      </c>
      <c r="Y101" s="1275"/>
      <c r="Z101" s="1275"/>
      <c r="AA101" s="1275"/>
      <c r="AB101" s="1275"/>
      <c r="AC101" s="1275"/>
      <c r="AD101" s="1275"/>
      <c r="AE101" s="1275"/>
      <c r="AF101" s="1275"/>
      <c r="AG101" s="1275"/>
      <c r="AH101" s="1275"/>
      <c r="AI101" s="1276"/>
      <c r="AJ101" s="1858"/>
      <c r="AK101" s="1425"/>
      <c r="AL101" s="1425"/>
      <c r="AM101" s="1425"/>
      <c r="AN101" s="1425"/>
      <c r="AO101" s="1425"/>
      <c r="AP101" s="1425"/>
      <c r="AQ101" s="1425"/>
      <c r="AR101" s="3286" t="s">
        <v>412</v>
      </c>
      <c r="AS101" s="3287"/>
      <c r="AT101" s="3287"/>
      <c r="AU101" s="3287"/>
      <c r="AV101" s="3287"/>
      <c r="AW101" s="3287"/>
      <c r="AX101" s="3287"/>
      <c r="AY101" s="3288"/>
      <c r="AZ101" s="2087"/>
      <c r="BA101" s="2087"/>
      <c r="BB101" s="2087"/>
      <c r="BC101" s="2087"/>
      <c r="BD101" s="2087"/>
      <c r="BE101" s="2087"/>
      <c r="BF101" s="2087"/>
      <c r="BG101" s="2087"/>
      <c r="BH101" s="3295" t="s">
        <v>413</v>
      </c>
      <c r="BI101" s="3295"/>
      <c r="BJ101" s="3295"/>
      <c r="BK101" s="3248" t="s">
        <v>1284</v>
      </c>
      <c r="BL101" s="3233"/>
      <c r="BM101" s="3233"/>
      <c r="BN101" s="3233"/>
      <c r="BO101" s="3233"/>
      <c r="BP101" s="3233"/>
      <c r="BQ101" s="3233"/>
      <c r="BR101" s="3269"/>
      <c r="BS101" s="2087"/>
      <c r="BT101" s="2087"/>
      <c r="BU101" s="2087"/>
      <c r="BV101" s="2087"/>
      <c r="BW101" s="2087"/>
      <c r="BX101" s="2087"/>
      <c r="BY101" s="2087"/>
      <c r="BZ101" s="2087"/>
      <c r="CA101" s="3273" t="s">
        <v>1285</v>
      </c>
      <c r="CB101" s="3274"/>
      <c r="CC101" s="3274"/>
      <c r="CD101" s="3274"/>
      <c r="CE101" s="3274"/>
      <c r="CF101" s="3298"/>
      <c r="CG101" s="3298"/>
      <c r="CH101" s="3298"/>
      <c r="CI101" s="3298"/>
      <c r="CJ101" s="3298"/>
      <c r="CK101" s="3298"/>
      <c r="CL101" s="3298"/>
      <c r="CM101" s="3298"/>
      <c r="CN101" s="3298"/>
      <c r="CO101" s="3298"/>
      <c r="CP101" s="3298"/>
      <c r="CQ101" s="3298"/>
      <c r="CR101" s="3298"/>
      <c r="CS101" s="3298"/>
      <c r="CT101" s="3298"/>
      <c r="CU101" s="3298"/>
      <c r="CV101" s="3298"/>
      <c r="CW101" s="3298"/>
      <c r="CX101" s="3298"/>
      <c r="CY101" s="3298"/>
      <c r="CZ101" s="3298"/>
      <c r="DA101" s="3298"/>
      <c r="DB101" s="3298"/>
      <c r="DC101" s="3298"/>
      <c r="DD101" s="3298"/>
      <c r="DE101" s="3298"/>
      <c r="DF101" s="3298"/>
      <c r="DG101" s="3298"/>
      <c r="DH101" s="3298"/>
      <c r="DI101" s="3298"/>
      <c r="DJ101" s="3298"/>
      <c r="DK101" s="3298"/>
      <c r="DL101" s="3299"/>
    </row>
    <row r="102" spans="1:165" ht="8.15" hidden="1" customHeight="1">
      <c r="B102" s="1939"/>
      <c r="C102" s="1717"/>
      <c r="D102" s="1717"/>
      <c r="E102" s="1717"/>
      <c r="F102" s="1717"/>
      <c r="G102" s="1717"/>
      <c r="H102" s="1717"/>
      <c r="I102" s="3217"/>
      <c r="J102" s="3184"/>
      <c r="K102" s="3185"/>
      <c r="L102" s="3185"/>
      <c r="M102" s="3185"/>
      <c r="N102" s="3185"/>
      <c r="O102" s="3185"/>
      <c r="P102" s="3185"/>
      <c r="Q102" s="3185"/>
      <c r="R102" s="3185"/>
      <c r="S102" s="3222"/>
      <c r="T102" s="3228"/>
      <c r="U102" s="3212"/>
      <c r="V102" s="3212"/>
      <c r="W102" s="3212"/>
      <c r="X102" s="1432"/>
      <c r="Y102" s="774"/>
      <c r="Z102" s="774"/>
      <c r="AA102" s="774"/>
      <c r="AB102" s="774"/>
      <c r="AC102" s="774"/>
      <c r="AD102" s="774"/>
      <c r="AE102" s="774"/>
      <c r="AF102" s="774"/>
      <c r="AG102" s="774"/>
      <c r="AH102" s="774"/>
      <c r="AI102" s="1750"/>
      <c r="AJ102" s="1366"/>
      <c r="AK102" s="1367"/>
      <c r="AL102" s="1367"/>
      <c r="AM102" s="1367"/>
      <c r="AN102" s="1367"/>
      <c r="AO102" s="1367"/>
      <c r="AP102" s="1367"/>
      <c r="AQ102" s="1367"/>
      <c r="AR102" s="3289"/>
      <c r="AS102" s="3290"/>
      <c r="AT102" s="3290"/>
      <c r="AU102" s="3290"/>
      <c r="AV102" s="3290"/>
      <c r="AW102" s="3290"/>
      <c r="AX102" s="3290"/>
      <c r="AY102" s="3291"/>
      <c r="AZ102" s="2088"/>
      <c r="BA102" s="2088"/>
      <c r="BB102" s="2088"/>
      <c r="BC102" s="2088"/>
      <c r="BD102" s="2088"/>
      <c r="BE102" s="2088"/>
      <c r="BF102" s="2088"/>
      <c r="BG102" s="2088"/>
      <c r="BH102" s="3296"/>
      <c r="BI102" s="3296"/>
      <c r="BJ102" s="3296"/>
      <c r="BK102" s="3184"/>
      <c r="BL102" s="3185"/>
      <c r="BM102" s="3185"/>
      <c r="BN102" s="3185"/>
      <c r="BO102" s="3185"/>
      <c r="BP102" s="3185"/>
      <c r="BQ102" s="3185"/>
      <c r="BR102" s="3222"/>
      <c r="BS102" s="2088"/>
      <c r="BT102" s="2088"/>
      <c r="BU102" s="2088"/>
      <c r="BV102" s="2088"/>
      <c r="BW102" s="2088"/>
      <c r="BX102" s="2088"/>
      <c r="BY102" s="2088"/>
      <c r="BZ102" s="2088"/>
      <c r="CA102" s="3275"/>
      <c r="CB102" s="3276"/>
      <c r="CC102" s="3276"/>
      <c r="CD102" s="3276"/>
      <c r="CE102" s="3276"/>
      <c r="CF102" s="3300"/>
      <c r="CG102" s="3300"/>
      <c r="CH102" s="3300"/>
      <c r="CI102" s="3300"/>
      <c r="CJ102" s="3300"/>
      <c r="CK102" s="3300"/>
      <c r="CL102" s="3300"/>
      <c r="CM102" s="3300"/>
      <c r="CN102" s="3300"/>
      <c r="CO102" s="3300"/>
      <c r="CP102" s="3300"/>
      <c r="CQ102" s="3300"/>
      <c r="CR102" s="3300"/>
      <c r="CS102" s="3300"/>
      <c r="CT102" s="3300"/>
      <c r="CU102" s="3300"/>
      <c r="CV102" s="3300"/>
      <c r="CW102" s="3300"/>
      <c r="CX102" s="3300"/>
      <c r="CY102" s="3300"/>
      <c r="CZ102" s="3300"/>
      <c r="DA102" s="3300"/>
      <c r="DB102" s="3300"/>
      <c r="DC102" s="3300"/>
      <c r="DD102" s="3300"/>
      <c r="DE102" s="3300"/>
      <c r="DF102" s="3300"/>
      <c r="DG102" s="3300"/>
      <c r="DH102" s="3300"/>
      <c r="DI102" s="3300"/>
      <c r="DJ102" s="3300"/>
      <c r="DK102" s="3300"/>
      <c r="DL102" s="3301"/>
    </row>
    <row r="103" spans="1:165" ht="8.15" hidden="1" customHeight="1" thickBot="1">
      <c r="B103" s="3218"/>
      <c r="C103" s="3219"/>
      <c r="D103" s="3219"/>
      <c r="E103" s="3219"/>
      <c r="F103" s="3219"/>
      <c r="G103" s="3219"/>
      <c r="H103" s="3219"/>
      <c r="I103" s="3220"/>
      <c r="J103" s="3223"/>
      <c r="K103" s="3224"/>
      <c r="L103" s="3224"/>
      <c r="M103" s="3224"/>
      <c r="N103" s="3224"/>
      <c r="O103" s="3224"/>
      <c r="P103" s="3224"/>
      <c r="Q103" s="3224"/>
      <c r="R103" s="3224"/>
      <c r="S103" s="3225"/>
      <c r="T103" s="3229"/>
      <c r="U103" s="3230"/>
      <c r="V103" s="3230"/>
      <c r="W103" s="3230"/>
      <c r="X103" s="1646"/>
      <c r="Y103" s="1647"/>
      <c r="Z103" s="1647"/>
      <c r="AA103" s="1647"/>
      <c r="AB103" s="1647"/>
      <c r="AC103" s="1647"/>
      <c r="AD103" s="1647"/>
      <c r="AE103" s="1647"/>
      <c r="AF103" s="1647"/>
      <c r="AG103" s="1647"/>
      <c r="AH103" s="1647"/>
      <c r="AI103" s="3231"/>
      <c r="AJ103" s="2080"/>
      <c r="AK103" s="2081"/>
      <c r="AL103" s="2081"/>
      <c r="AM103" s="2081"/>
      <c r="AN103" s="2081"/>
      <c r="AO103" s="2081"/>
      <c r="AP103" s="2081"/>
      <c r="AQ103" s="2081"/>
      <c r="AR103" s="3292"/>
      <c r="AS103" s="3293"/>
      <c r="AT103" s="3293"/>
      <c r="AU103" s="3293"/>
      <c r="AV103" s="3293"/>
      <c r="AW103" s="3293"/>
      <c r="AX103" s="3293"/>
      <c r="AY103" s="3294"/>
      <c r="AZ103" s="2089"/>
      <c r="BA103" s="2089"/>
      <c r="BB103" s="2089"/>
      <c r="BC103" s="2089"/>
      <c r="BD103" s="2089"/>
      <c r="BE103" s="2089"/>
      <c r="BF103" s="2089"/>
      <c r="BG103" s="2089"/>
      <c r="BH103" s="3297"/>
      <c r="BI103" s="3297"/>
      <c r="BJ103" s="3297"/>
      <c r="BK103" s="3270"/>
      <c r="BL103" s="3271"/>
      <c r="BM103" s="3271"/>
      <c r="BN103" s="3271"/>
      <c r="BO103" s="3271"/>
      <c r="BP103" s="3271"/>
      <c r="BQ103" s="3271"/>
      <c r="BR103" s="3272"/>
      <c r="BS103" s="2089"/>
      <c r="BT103" s="2089"/>
      <c r="BU103" s="2089"/>
      <c r="BV103" s="2089"/>
      <c r="BW103" s="2089"/>
      <c r="BX103" s="2089"/>
      <c r="BY103" s="2089"/>
      <c r="BZ103" s="2089"/>
      <c r="CA103" s="3277"/>
      <c r="CB103" s="3278"/>
      <c r="CC103" s="3278"/>
      <c r="CD103" s="3278"/>
      <c r="CE103" s="3278"/>
      <c r="CF103" s="3302"/>
      <c r="CG103" s="3302"/>
      <c r="CH103" s="3302"/>
      <c r="CI103" s="3302"/>
      <c r="CJ103" s="3302"/>
      <c r="CK103" s="3302"/>
      <c r="CL103" s="3302"/>
      <c r="CM103" s="3302"/>
      <c r="CN103" s="3302"/>
      <c r="CO103" s="3302"/>
      <c r="CP103" s="3302"/>
      <c r="CQ103" s="3302"/>
      <c r="CR103" s="3302"/>
      <c r="CS103" s="3302"/>
      <c r="CT103" s="3302"/>
      <c r="CU103" s="3302"/>
      <c r="CV103" s="3302"/>
      <c r="CW103" s="3302"/>
      <c r="CX103" s="3302"/>
      <c r="CY103" s="3302"/>
      <c r="CZ103" s="3302"/>
      <c r="DA103" s="3302"/>
      <c r="DB103" s="3302"/>
      <c r="DC103" s="3302"/>
      <c r="DD103" s="3302"/>
      <c r="DE103" s="3302"/>
      <c r="DF103" s="3302"/>
      <c r="DG103" s="3302"/>
      <c r="DH103" s="3302"/>
      <c r="DI103" s="3302"/>
      <c r="DJ103" s="3302"/>
      <c r="DK103" s="3302"/>
      <c r="DL103" s="3303"/>
    </row>
    <row r="104" spans="1:165" ht="4.5" hidden="1" customHeight="1"/>
    <row r="105" spans="1:165" ht="4.5" customHeight="1"/>
    <row r="106" spans="1:165" ht="4.5" customHeight="1"/>
    <row r="107" spans="1:165" ht="4.5" customHeight="1"/>
    <row r="108" spans="1:165" ht="4.5" customHeight="1"/>
    <row r="109" spans="1:165" ht="4.5" customHeight="1"/>
    <row r="110" spans="1:165" ht="4.5" customHeight="1" thickBot="1"/>
    <row r="111" spans="1:165" s="200" customFormat="1" ht="11.25" customHeight="1" thickBot="1">
      <c r="A111" s="1592" t="s">
        <v>414</v>
      </c>
      <c r="B111" s="2085"/>
      <c r="C111" s="2085"/>
      <c r="D111" s="2085"/>
      <c r="E111" s="2085"/>
      <c r="F111" s="2085"/>
      <c r="G111" s="2085"/>
      <c r="H111" s="2085"/>
      <c r="I111" s="2085"/>
      <c r="J111" s="2085"/>
      <c r="K111" s="2085"/>
      <c r="L111" s="2085"/>
      <c r="M111" s="2085"/>
      <c r="N111" s="2085"/>
      <c r="O111" s="2085"/>
      <c r="P111" s="2085"/>
      <c r="Q111" s="2085"/>
      <c r="R111" s="2085"/>
      <c r="S111" s="2085"/>
      <c r="T111" s="2085"/>
      <c r="U111" s="2086"/>
      <c r="V111" s="1562" t="s">
        <v>415</v>
      </c>
      <c r="W111" s="1562"/>
      <c r="X111" s="1562"/>
      <c r="Y111" s="1562"/>
      <c r="Z111" s="1562"/>
      <c r="AA111" s="1562"/>
      <c r="AB111" s="1562"/>
      <c r="AC111" s="1562"/>
      <c r="AD111" s="1562"/>
      <c r="AE111" s="1562"/>
      <c r="AF111" s="1562"/>
      <c r="AG111" s="1562"/>
      <c r="AH111" s="1562"/>
      <c r="AI111" s="1562"/>
      <c r="AJ111" s="1562"/>
      <c r="AK111" s="1562"/>
      <c r="AL111" s="1562"/>
      <c r="AM111" s="1562"/>
      <c r="AN111" s="1562"/>
      <c r="AO111" s="1562"/>
      <c r="AP111" s="1562"/>
      <c r="AQ111" s="1562"/>
      <c r="AR111" s="1562"/>
      <c r="AS111" s="1562"/>
      <c r="AT111" s="1562"/>
      <c r="AU111" s="1562"/>
      <c r="AV111" s="1562"/>
      <c r="AW111" s="1562"/>
      <c r="AX111" s="1562"/>
      <c r="AY111" s="1562"/>
      <c r="AZ111" s="1562"/>
      <c r="BA111" s="1562"/>
      <c r="BB111" s="1562"/>
      <c r="BC111" s="1562"/>
      <c r="BD111" s="1562"/>
      <c r="BE111" s="1562"/>
      <c r="BF111" s="1562"/>
      <c r="BG111" s="1562"/>
      <c r="BH111" s="1562"/>
      <c r="BI111" s="1562"/>
      <c r="BJ111" s="1562"/>
      <c r="BK111" s="1562"/>
      <c r="BL111" s="1562"/>
      <c r="BM111" s="1562"/>
      <c r="BN111" s="1562"/>
      <c r="BO111" s="1562"/>
      <c r="BP111" s="1562"/>
      <c r="BQ111" s="1562"/>
      <c r="BR111" s="1562"/>
      <c r="BS111" s="1562"/>
      <c r="BT111" s="1562"/>
      <c r="BU111" s="1562"/>
      <c r="BV111" s="1562"/>
      <c r="BW111" s="1562"/>
      <c r="BX111" s="1562"/>
      <c r="BY111" s="1562"/>
      <c r="BZ111" s="1562"/>
      <c r="CA111" s="1562"/>
      <c r="CB111" s="1562"/>
      <c r="CC111" s="1562"/>
      <c r="CD111" s="1562"/>
      <c r="CE111" s="1562"/>
      <c r="CF111" s="1562"/>
      <c r="CG111" s="1562"/>
      <c r="CH111" s="1562"/>
      <c r="CI111" s="1562"/>
      <c r="CJ111" s="1562"/>
      <c r="CK111" s="1562"/>
      <c r="CL111" s="1562"/>
      <c r="CM111" s="1562"/>
      <c r="CN111" s="1562"/>
      <c r="CO111" s="1562"/>
      <c r="CP111" s="1562"/>
      <c r="CQ111" s="1562"/>
      <c r="CR111" s="1562"/>
      <c r="CS111" s="1562"/>
      <c r="CT111" s="1562"/>
      <c r="CU111" s="1562"/>
      <c r="CV111" s="1562"/>
      <c r="CW111" s="1562"/>
      <c r="CX111" s="1562"/>
      <c r="CY111" s="1562"/>
      <c r="CZ111" s="1562"/>
      <c r="DA111" s="1562"/>
      <c r="DB111" s="1562"/>
      <c r="DC111" s="1562"/>
      <c r="DD111" s="1562"/>
      <c r="DE111" s="1562"/>
      <c r="DF111" s="1562"/>
      <c r="DG111" s="1562"/>
      <c r="DH111" s="1562"/>
      <c r="DI111" s="1562"/>
      <c r="DJ111" s="1562"/>
      <c r="DK111" s="1562"/>
      <c r="DL111" s="1563"/>
      <c r="DM111" s="202"/>
      <c r="DN111" s="45"/>
      <c r="DO111" s="45"/>
      <c r="DP111" s="45"/>
      <c r="DQ111" s="45"/>
      <c r="DR111" s="45"/>
      <c r="DS111" s="45"/>
      <c r="DT111" s="45"/>
      <c r="DU111" s="45"/>
      <c r="DV111" s="45"/>
      <c r="DW111" s="45"/>
      <c r="DX111" s="45"/>
      <c r="DY111" s="45"/>
      <c r="DZ111" s="45"/>
      <c r="EA111" s="45"/>
      <c r="EB111" s="45"/>
      <c r="EC111" s="45"/>
      <c r="ED111" s="45"/>
      <c r="EE111" s="45"/>
      <c r="EF111" s="45"/>
      <c r="EG111" s="45"/>
      <c r="EH111" s="45"/>
      <c r="EI111" s="45"/>
      <c r="EJ111" s="45"/>
      <c r="EK111" s="45"/>
      <c r="EL111" s="45"/>
      <c r="EM111" s="45"/>
      <c r="EN111" s="45"/>
      <c r="EO111" s="45"/>
      <c r="EP111" s="45"/>
      <c r="EQ111" s="45"/>
      <c r="ER111" s="45"/>
      <c r="ES111" s="45"/>
      <c r="ET111" s="45"/>
      <c r="EU111" s="45"/>
      <c r="EV111" s="45"/>
      <c r="EW111" s="45"/>
      <c r="EX111" s="45"/>
      <c r="EY111" s="45"/>
      <c r="EZ111" s="45"/>
      <c r="FA111" s="45"/>
      <c r="FB111" s="45"/>
      <c r="FC111" s="45"/>
      <c r="FD111" s="45"/>
      <c r="FE111" s="45"/>
      <c r="FF111" s="45"/>
      <c r="FG111" s="45"/>
      <c r="FH111" s="45"/>
      <c r="FI111" s="45"/>
    </row>
    <row r="112" spans="1:165" s="200" customFormat="1" ht="8.25" customHeight="1">
      <c r="A112" s="2073" t="s">
        <v>1514</v>
      </c>
      <c r="B112" s="2073"/>
      <c r="C112" s="2073"/>
      <c r="D112" s="2073"/>
      <c r="E112" s="2073"/>
      <c r="F112" s="2073"/>
      <c r="G112" s="2073"/>
      <c r="H112" s="2073"/>
      <c r="I112" s="2073"/>
      <c r="J112" s="2073"/>
      <c r="K112" s="2073"/>
      <c r="L112" s="2073"/>
      <c r="M112" s="2073"/>
      <c r="N112" s="2073"/>
      <c r="O112" s="2073"/>
      <c r="P112" s="2073"/>
      <c r="Q112" s="2073"/>
      <c r="R112" s="2073"/>
      <c r="S112" s="2073"/>
      <c r="T112" s="2073"/>
      <c r="U112" s="2073"/>
      <c r="V112" s="2073"/>
      <c r="W112" s="2073"/>
      <c r="X112" s="2073"/>
      <c r="Y112" s="2073"/>
      <c r="Z112" s="2073"/>
      <c r="AA112" s="2073"/>
      <c r="AB112" s="2073"/>
      <c r="AC112" s="2073"/>
      <c r="AD112" s="2073"/>
      <c r="AE112" s="2073"/>
      <c r="AF112" s="2073"/>
      <c r="AG112" s="2073"/>
      <c r="AH112" s="2073"/>
      <c r="AI112" s="2073"/>
      <c r="AJ112" s="2073"/>
      <c r="AK112" s="2073"/>
      <c r="AL112" s="2073"/>
      <c r="AM112" s="2073"/>
      <c r="AN112" s="2073"/>
      <c r="AO112" s="2073"/>
      <c r="AP112" s="2073"/>
      <c r="AQ112" s="2073"/>
      <c r="AR112" s="2073"/>
      <c r="AS112" s="2073"/>
      <c r="AT112" s="2073"/>
      <c r="AU112" s="2073"/>
      <c r="AV112" s="2073"/>
      <c r="AW112" s="2073"/>
      <c r="AX112" s="2073"/>
      <c r="AY112" s="2073"/>
      <c r="AZ112" s="2073"/>
      <c r="BA112" s="2073"/>
      <c r="BB112" s="2073"/>
      <c r="BC112" s="2073"/>
      <c r="BD112" s="2073"/>
      <c r="BE112" s="2073"/>
      <c r="BF112" s="2073"/>
      <c r="BG112" s="2073"/>
      <c r="BH112" s="2073"/>
      <c r="BI112" s="2073"/>
      <c r="BJ112" s="2073"/>
      <c r="BK112" s="2073"/>
      <c r="BL112" s="2073"/>
      <c r="BM112" s="2073"/>
      <c r="BN112" s="2073"/>
      <c r="BO112" s="2073"/>
      <c r="BP112" s="2073"/>
      <c r="BQ112" s="2073"/>
      <c r="BR112" s="2073"/>
      <c r="BS112" s="2073"/>
      <c r="BT112" s="2073"/>
      <c r="BU112" s="2073"/>
      <c r="BV112" s="2073"/>
      <c r="BW112" s="2073"/>
      <c r="BX112" s="2073"/>
      <c r="BY112" s="2073"/>
      <c r="BZ112" s="2073"/>
      <c r="CA112" s="2073"/>
      <c r="CB112" s="2073"/>
      <c r="CC112" s="2073"/>
      <c r="CD112" s="2073"/>
      <c r="CE112" s="2073"/>
      <c r="CF112" s="2073"/>
      <c r="CG112" s="2073"/>
      <c r="CH112" s="2073"/>
      <c r="CI112" s="2073"/>
      <c r="CJ112" s="2073"/>
      <c r="CK112" s="2073"/>
      <c r="CL112" s="2073"/>
      <c r="CM112" s="2073"/>
      <c r="CN112" s="2073"/>
      <c r="CO112" s="2073"/>
      <c r="CP112" s="2073"/>
      <c r="CQ112" s="2073"/>
      <c r="CR112" s="2073"/>
      <c r="CS112" s="2073"/>
      <c r="CT112" s="2073"/>
      <c r="CU112" s="2073"/>
      <c r="CV112" s="2073"/>
      <c r="CW112" s="2073"/>
      <c r="CX112" s="2073"/>
      <c r="CY112" s="2073"/>
      <c r="CZ112" s="2073"/>
      <c r="DA112" s="2073"/>
      <c r="DB112" s="2073"/>
      <c r="DC112" s="2073"/>
      <c r="DD112" s="2073"/>
      <c r="DE112" s="2073"/>
      <c r="DF112" s="2073"/>
      <c r="DG112" s="2073"/>
      <c r="DH112" s="2073"/>
      <c r="DI112" s="2073"/>
      <c r="DJ112" s="2073"/>
      <c r="DK112" s="2073"/>
      <c r="DL112" s="2073"/>
      <c r="DM112" s="199"/>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row>
    <row r="113" spans="1:165" ht="7.5" customHeight="1">
      <c r="A113" s="1505" t="s">
        <v>1515</v>
      </c>
      <c r="B113" s="2073"/>
      <c r="C113" s="2073"/>
      <c r="D113" s="2073"/>
      <c r="E113" s="2073"/>
      <c r="F113" s="2073"/>
      <c r="G113" s="2073"/>
      <c r="H113" s="2073"/>
      <c r="I113" s="2073"/>
      <c r="J113" s="2073"/>
      <c r="K113" s="2073"/>
      <c r="L113" s="2073"/>
      <c r="M113" s="2073"/>
      <c r="N113" s="2073"/>
      <c r="O113" s="2073"/>
      <c r="P113" s="2073"/>
      <c r="Q113" s="2073"/>
      <c r="R113" s="2073"/>
      <c r="S113" s="2073"/>
      <c r="T113" s="2073"/>
      <c r="U113" s="2073"/>
      <c r="V113" s="2073"/>
      <c r="W113" s="2073"/>
      <c r="X113" s="2073"/>
      <c r="Y113" s="2073"/>
      <c r="Z113" s="2073"/>
      <c r="AA113" s="2073"/>
      <c r="AB113" s="2073"/>
      <c r="AC113" s="2073"/>
      <c r="AD113" s="2073"/>
      <c r="AE113" s="2073"/>
      <c r="AF113" s="2073"/>
      <c r="AG113" s="2073"/>
      <c r="AH113" s="2073"/>
      <c r="AI113" s="2073"/>
      <c r="AJ113" s="2073"/>
      <c r="AK113" s="2073"/>
      <c r="AL113" s="2073"/>
      <c r="AM113" s="2073"/>
      <c r="AN113" s="2073"/>
      <c r="AO113" s="2073"/>
      <c r="AP113" s="2073"/>
      <c r="AQ113" s="2073"/>
      <c r="AR113" s="2073"/>
      <c r="AS113" s="2073"/>
      <c r="AT113" s="2073"/>
      <c r="AU113" s="2073"/>
      <c r="AV113" s="2073"/>
      <c r="AW113" s="2073"/>
      <c r="AX113" s="2073"/>
      <c r="AY113" s="2073"/>
      <c r="AZ113" s="2073"/>
      <c r="BA113" s="2073"/>
      <c r="BB113" s="2073"/>
      <c r="BC113" s="2073"/>
      <c r="BD113" s="2073"/>
      <c r="BE113" s="2073"/>
      <c r="BF113" s="2073"/>
      <c r="BG113" s="2073"/>
      <c r="BH113" s="2073"/>
      <c r="BI113" s="2073"/>
      <c r="BJ113" s="2073"/>
      <c r="BK113" s="2073"/>
      <c r="BL113" s="2073"/>
      <c r="BM113" s="2073"/>
      <c r="BN113" s="2073"/>
      <c r="BO113" s="2073"/>
      <c r="BP113" s="2073"/>
      <c r="BQ113" s="2073"/>
      <c r="BR113" s="2073"/>
      <c r="BS113" s="2073"/>
      <c r="BT113" s="2073"/>
      <c r="BU113" s="2073"/>
      <c r="BV113" s="2073"/>
      <c r="BW113" s="2073"/>
      <c r="BX113" s="2073"/>
      <c r="BY113" s="2073"/>
      <c r="BZ113" s="2073"/>
      <c r="CA113" s="2073"/>
      <c r="CB113" s="2073"/>
      <c r="CC113" s="2073"/>
      <c r="CD113" s="2073"/>
      <c r="CE113" s="2073"/>
      <c r="CF113" s="2073"/>
      <c r="CG113" s="2073"/>
      <c r="CH113" s="2073"/>
      <c r="CI113" s="2073"/>
      <c r="CJ113" s="2073"/>
      <c r="CK113" s="2073"/>
      <c r="CL113" s="2073"/>
      <c r="CM113" s="2073"/>
      <c r="CN113" s="2073"/>
      <c r="CO113" s="2073"/>
      <c r="CP113" s="2073"/>
      <c r="CQ113" s="2073"/>
      <c r="CR113" s="2073"/>
      <c r="CS113" s="2073"/>
      <c r="CT113" s="2073"/>
      <c r="CU113" s="2073"/>
      <c r="CV113" s="2073"/>
      <c r="CW113" s="2073"/>
      <c r="CX113" s="2073"/>
      <c r="CY113" s="2073"/>
      <c r="CZ113" s="2073"/>
      <c r="DA113" s="2073"/>
      <c r="DB113" s="2073"/>
      <c r="DC113" s="2073"/>
      <c r="DD113" s="2073"/>
      <c r="DE113" s="2073"/>
      <c r="DF113" s="2073"/>
      <c r="DG113" s="2073"/>
      <c r="DH113" s="2073"/>
      <c r="DI113" s="2073"/>
      <c r="DJ113" s="2073"/>
      <c r="DK113" s="2073"/>
      <c r="DL113" s="2073"/>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row>
    <row r="114" spans="1:165" ht="7.5" customHeight="1">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row>
    <row r="115" spans="1:165" ht="7.5" customHeight="1">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row>
    <row r="116" spans="1:165" ht="7.5" customHeight="1">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row>
    <row r="117" spans="1:165" ht="7.5" customHeight="1">
      <c r="DN117" s="125"/>
      <c r="DS117" s="109"/>
    </row>
    <row r="119" spans="1:165" ht="7.5" customHeight="1">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row>
    <row r="120" spans="1:165" ht="7.5" customHeight="1">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row>
    <row r="121" spans="1:165" ht="7.5" customHeight="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row>
  </sheetData>
  <sheetProtection algorithmName="SHA-512" hashValue="9VNpS//sQQBO8+rmnxE2KpBk7ipa7P4ZuPL+D7odYS16GMZ0rw02VQekbfqmBUXsyOVP3rNMk5QQynZotbb9Fg==" saltValue="eJZY/itgiPvBeWcTtv4D5A==" spinCount="100000" sheet="1" selectLockedCells="1"/>
  <mergeCells count="248">
    <mergeCell ref="A113:DL113"/>
    <mergeCell ref="BG95:BR97"/>
    <mergeCell ref="CT83:DL85"/>
    <mergeCell ref="AA83:BG85"/>
    <mergeCell ref="BK101:BR103"/>
    <mergeCell ref="BS101:BZ103"/>
    <mergeCell ref="CA101:CE103"/>
    <mergeCell ref="AI95:AX97"/>
    <mergeCell ref="AY95:BF97"/>
    <mergeCell ref="CG95:CM97"/>
    <mergeCell ref="BZ95:CF97"/>
    <mergeCell ref="BS95:BY97"/>
    <mergeCell ref="AJ101:AQ103"/>
    <mergeCell ref="AR101:AY103"/>
    <mergeCell ref="AZ101:BG103"/>
    <mergeCell ref="BH101:BJ103"/>
    <mergeCell ref="CF101:DL103"/>
    <mergeCell ref="CN95:DL97"/>
    <mergeCell ref="AA98:AD100"/>
    <mergeCell ref="AI98:AK100"/>
    <mergeCell ref="AL98:AO100"/>
    <mergeCell ref="AP98:AR100"/>
    <mergeCell ref="AS98:AV100"/>
    <mergeCell ref="AW98:AY100"/>
    <mergeCell ref="A112:DL112"/>
    <mergeCell ref="CQ86:DL88"/>
    <mergeCell ref="B89:G91"/>
    <mergeCell ref="H89:S91"/>
    <mergeCell ref="AB89:AM91"/>
    <mergeCell ref="AN89:AU91"/>
    <mergeCell ref="AV89:BC91"/>
    <mergeCell ref="BD89:BK91"/>
    <mergeCell ref="BL89:BN91"/>
    <mergeCell ref="BV86:BY88"/>
    <mergeCell ref="BZ86:CB88"/>
    <mergeCell ref="CC86:CF88"/>
    <mergeCell ref="CG86:CI88"/>
    <mergeCell ref="CJ86:CL88"/>
    <mergeCell ref="CM86:CP88"/>
    <mergeCell ref="B86:I88"/>
    <mergeCell ref="J86:Q88"/>
    <mergeCell ref="R86:Y88"/>
    <mergeCell ref="Z86:AX88"/>
    <mergeCell ref="AY86:BF88"/>
    <mergeCell ref="BG86:BJ88"/>
    <mergeCell ref="BK86:BQ88"/>
    <mergeCell ref="BR86:BU88"/>
    <mergeCell ref="A111:U111"/>
    <mergeCell ref="V111:DL111"/>
    <mergeCell ref="B81:DL82"/>
    <mergeCell ref="B83:I85"/>
    <mergeCell ref="J83:Z85"/>
    <mergeCell ref="BH83:BO85"/>
    <mergeCell ref="BP83:CE85"/>
    <mergeCell ref="CF83:CM85"/>
    <mergeCell ref="CN83:CS85"/>
    <mergeCell ref="BO89:BU91"/>
    <mergeCell ref="BV89:BY91"/>
    <mergeCell ref="B93:DL94"/>
    <mergeCell ref="B95:I97"/>
    <mergeCell ref="J95:Z97"/>
    <mergeCell ref="AA95:AH97"/>
    <mergeCell ref="B101:I103"/>
    <mergeCell ref="J101:S103"/>
    <mergeCell ref="T101:W103"/>
    <mergeCell ref="X101:AI103"/>
    <mergeCell ref="B98:I100"/>
    <mergeCell ref="AE98:AH100"/>
    <mergeCell ref="T89:AA91"/>
    <mergeCell ref="BZ89:DL91"/>
    <mergeCell ref="J98:S100"/>
    <mergeCell ref="T98:Z100"/>
    <mergeCell ref="B74:L76"/>
    <mergeCell ref="M74:AR76"/>
    <mergeCell ref="AS74:DL76"/>
    <mergeCell ref="B77:L79"/>
    <mergeCell ref="M77:AK79"/>
    <mergeCell ref="AL77:DL79"/>
    <mergeCell ref="CF62:DB63"/>
    <mergeCell ref="A65:BB66"/>
    <mergeCell ref="BC65:CT66"/>
    <mergeCell ref="B69:DL70"/>
    <mergeCell ref="B71:L73"/>
    <mergeCell ref="M71:P73"/>
    <mergeCell ref="Q71:DL73"/>
    <mergeCell ref="DC52:DK63"/>
    <mergeCell ref="AG59:BF60"/>
    <mergeCell ref="BI60:CE61"/>
    <mergeCell ref="CF60:DB61"/>
    <mergeCell ref="B52:F55"/>
    <mergeCell ref="G52:L53"/>
    <mergeCell ref="M52:W53"/>
    <mergeCell ref="X52:AC53"/>
    <mergeCell ref="AD52:AN53"/>
    <mergeCell ref="AO52:AT53"/>
    <mergeCell ref="AU52:BF53"/>
    <mergeCell ref="BK98:CM100"/>
    <mergeCell ref="CN98:DL100"/>
    <mergeCell ref="AZ98:BJ100"/>
    <mergeCell ref="DS53:DY54"/>
    <mergeCell ref="EU53:FA54"/>
    <mergeCell ref="G54:L55"/>
    <mergeCell ref="M54:AF55"/>
    <mergeCell ref="AG54:AL55"/>
    <mergeCell ref="AM54:BF55"/>
    <mergeCell ref="BI54:CE55"/>
    <mergeCell ref="CF54:DB55"/>
    <mergeCell ref="CF56:DB57"/>
    <mergeCell ref="AB57:AF58"/>
    <mergeCell ref="AG57:AS58"/>
    <mergeCell ref="AT57:BF58"/>
    <mergeCell ref="BI58:CE59"/>
    <mergeCell ref="CF58:DB59"/>
    <mergeCell ref="G56:AA58"/>
    <mergeCell ref="AB56:AF56"/>
    <mergeCell ref="AG56:AS56"/>
    <mergeCell ref="AT56:BF56"/>
    <mergeCell ref="BI56:CE57"/>
    <mergeCell ref="G59:AA60"/>
    <mergeCell ref="AB59:AF60"/>
    <mergeCell ref="BI52:DB53"/>
    <mergeCell ref="B56:F58"/>
    <mergeCell ref="B59:F60"/>
    <mergeCell ref="B61:F63"/>
    <mergeCell ref="G61:AY63"/>
    <mergeCell ref="AZ61:BF63"/>
    <mergeCell ref="BI62:CE63"/>
    <mergeCell ref="B37:F39"/>
    <mergeCell ref="G37:AA39"/>
    <mergeCell ref="AB37:AF37"/>
    <mergeCell ref="AG37:AS37"/>
    <mergeCell ref="B45:BD46"/>
    <mergeCell ref="B47:AK48"/>
    <mergeCell ref="AL47:BF48"/>
    <mergeCell ref="BI48:DB49"/>
    <mergeCell ref="B40:F41"/>
    <mergeCell ref="G40:AA41"/>
    <mergeCell ref="AB40:AF41"/>
    <mergeCell ref="AG40:BF41"/>
    <mergeCell ref="BI41:BM42"/>
    <mergeCell ref="BN41:CJ42"/>
    <mergeCell ref="CK41:CO42"/>
    <mergeCell ref="CP41:CZ42"/>
    <mergeCell ref="DA41:DK42"/>
    <mergeCell ref="CT39:DK40"/>
    <mergeCell ref="DC48:DK51"/>
    <mergeCell ref="B49:F49"/>
    <mergeCell ref="G49:BF49"/>
    <mergeCell ref="B50:F51"/>
    <mergeCell ref="G50:AN51"/>
    <mergeCell ref="AO50:AZ51"/>
    <mergeCell ref="BA50:BF51"/>
    <mergeCell ref="BI50:CE51"/>
    <mergeCell ref="CF50:DB51"/>
    <mergeCell ref="BI35:BM36"/>
    <mergeCell ref="BN35:DK36"/>
    <mergeCell ref="BN37:BS38"/>
    <mergeCell ref="BT37:CD38"/>
    <mergeCell ref="CE37:CJ38"/>
    <mergeCell ref="CK37:CU38"/>
    <mergeCell ref="CV37:DA38"/>
    <mergeCell ref="DB37:DK38"/>
    <mergeCell ref="B42:F44"/>
    <mergeCell ref="G42:AY44"/>
    <mergeCell ref="AZ42:BF44"/>
    <mergeCell ref="BI43:BM44"/>
    <mergeCell ref="BN43:CJ44"/>
    <mergeCell ref="CK43:CO44"/>
    <mergeCell ref="CP43:DK44"/>
    <mergeCell ref="AT37:BF37"/>
    <mergeCell ref="BI37:BJ37"/>
    <mergeCell ref="AB38:AF39"/>
    <mergeCell ref="AG38:AS39"/>
    <mergeCell ref="AT38:BF39"/>
    <mergeCell ref="BI38:BM39"/>
    <mergeCell ref="BN39:BS40"/>
    <mergeCell ref="BT39:CM40"/>
    <mergeCell ref="CN39:CS40"/>
    <mergeCell ref="B33:F36"/>
    <mergeCell ref="G33:L34"/>
    <mergeCell ref="M33:W34"/>
    <mergeCell ref="X33:AC34"/>
    <mergeCell ref="AD33:AN34"/>
    <mergeCell ref="AO33:AT34"/>
    <mergeCell ref="B30:F30"/>
    <mergeCell ref="G30:BF30"/>
    <mergeCell ref="BI30:BM31"/>
    <mergeCell ref="AU33:BF34"/>
    <mergeCell ref="BI33:CB34"/>
    <mergeCell ref="BN30:CJ31"/>
    <mergeCell ref="CC33:DD34"/>
    <mergeCell ref="CK30:CO31"/>
    <mergeCell ref="CP30:DK31"/>
    <mergeCell ref="B31:F32"/>
    <mergeCell ref="G31:P32"/>
    <mergeCell ref="Q31:AY32"/>
    <mergeCell ref="AZ31:BF32"/>
    <mergeCell ref="DE33:DK34"/>
    <mergeCell ref="G35:L36"/>
    <mergeCell ref="M35:AF36"/>
    <mergeCell ref="AG35:AL36"/>
    <mergeCell ref="AM35:BF36"/>
    <mergeCell ref="B28:AM29"/>
    <mergeCell ref="AN28:AQ29"/>
    <mergeCell ref="AR28:BF29"/>
    <mergeCell ref="BI28:BM29"/>
    <mergeCell ref="BN28:CJ29"/>
    <mergeCell ref="CK28:CO29"/>
    <mergeCell ref="CP28:CZ29"/>
    <mergeCell ref="DA28:DK29"/>
    <mergeCell ref="BI25:BM26"/>
    <mergeCell ref="BN26:BS27"/>
    <mergeCell ref="BT26:CM27"/>
    <mergeCell ref="BI24:BJ24"/>
    <mergeCell ref="BN24:BS25"/>
    <mergeCell ref="BT24:CD25"/>
    <mergeCell ref="CE24:CJ25"/>
    <mergeCell ref="CK24:CU25"/>
    <mergeCell ref="CV24:DA25"/>
    <mergeCell ref="DB24:DK25"/>
    <mergeCell ref="B25:F26"/>
    <mergeCell ref="G25:AD26"/>
    <mergeCell ref="AE25:AI26"/>
    <mergeCell ref="AJ25:BF26"/>
    <mergeCell ref="B22:X24"/>
    <mergeCell ref="Z22:BF24"/>
    <mergeCell ref="BI22:BM23"/>
    <mergeCell ref="BN22:CU23"/>
    <mergeCell ref="CV22:DE23"/>
    <mergeCell ref="DF22:DK23"/>
    <mergeCell ref="CN26:CS27"/>
    <mergeCell ref="CT26:DK27"/>
    <mergeCell ref="X20:AB21"/>
    <mergeCell ref="AC20:AE21"/>
    <mergeCell ref="AF20:BF21"/>
    <mergeCell ref="BI20:CB21"/>
    <mergeCell ref="CC20:DD21"/>
    <mergeCell ref="DE20:DK21"/>
    <mergeCell ref="A1:DM3"/>
    <mergeCell ref="A4:BC6"/>
    <mergeCell ref="BD4:BX6"/>
    <mergeCell ref="BY4:CS6"/>
    <mergeCell ref="B20:F21"/>
    <mergeCell ref="G20:I21"/>
    <mergeCell ref="J20:L21"/>
    <mergeCell ref="M20:O21"/>
    <mergeCell ref="P20:T21"/>
    <mergeCell ref="U20:W21"/>
  </mergeCells>
  <phoneticPr fontId="68"/>
  <conditionalFormatting sqref="B86:Q88">
    <cfRule type="expression" dxfId="965" priority="21">
      <formula>$BP$83&lt;&gt;"新規"</formula>
    </cfRule>
  </conditionalFormatting>
  <conditionalFormatting sqref="B98:S100">
    <cfRule type="expression" dxfId="964" priority="63">
      <formula>NOT(OR($AI$95="新規",COUNTIF($AI$95,"*更新*")&gt;0))</formula>
    </cfRule>
    <cfRule type="expression" dxfId="963" priority="51">
      <formula>$J$95="株主総会版"</formula>
    </cfRule>
  </conditionalFormatting>
  <conditionalFormatting sqref="B83:AA83 BH83:CT83 B84:Z85 BH84:CS85 B86:DL88 B89:T89 AB89:BO89 BV89 BZ89 B90:S91 AB90:BN91 B95:DL103">
    <cfRule type="expression" dxfId="962" priority="1">
      <formula>$M$71=""</formula>
    </cfRule>
  </conditionalFormatting>
  <conditionalFormatting sqref="B74:DL76">
    <cfRule type="expression" dxfId="961" priority="23">
      <formula>OR($J$86="有",$BZ$95="有")</formula>
    </cfRule>
  </conditionalFormatting>
  <conditionalFormatting sqref="B77:DL79">
    <cfRule type="expression" dxfId="960" priority="286">
      <formula>OR($M$71="",$M$71="無")</formula>
    </cfRule>
  </conditionalFormatting>
  <conditionalFormatting sqref="G25">
    <cfRule type="notContainsBlanks" dxfId="959" priority="228" stopIfTrue="1">
      <formula>LEN(TRIM(G25))&gt;0</formula>
    </cfRule>
  </conditionalFormatting>
  <conditionalFormatting sqref="G49:G50 M52 AD52 AU52 M54 AM54 G56 AG56:BF58 G59 AG59">
    <cfRule type="notContainsBlanks" dxfId="958" priority="229" stopIfTrue="1">
      <formula>LEN(TRIM(G49))&gt;0</formula>
    </cfRule>
  </conditionalFormatting>
  <conditionalFormatting sqref="H89:T89 AB89:BN91 H90:S91">
    <cfRule type="expression" dxfId="957" priority="57">
      <formula>AND(COUNTIF($BP$83,"更新")&gt;0,COUNTIF($BP$83,"*追加*")=0)</formula>
    </cfRule>
  </conditionalFormatting>
  <conditionalFormatting sqref="J20 P20 X20">
    <cfRule type="notContainsBlanks" dxfId="956" priority="227" stopIfTrue="1">
      <formula>LEN(TRIM(J20))&gt;0</formula>
    </cfRule>
  </conditionalFormatting>
  <conditionalFormatting sqref="J83">
    <cfRule type="notContainsBlanks" dxfId="955" priority="252" stopIfTrue="1">
      <formula>LEN(TRIM(J83))&gt;0</formula>
    </cfRule>
    <cfRule type="expression" dxfId="954" priority="378">
      <formula>COUNTIF($BI$54:$CE$63,"Desk")&gt;0</formula>
    </cfRule>
  </conditionalFormatting>
  <conditionalFormatting sqref="J98">
    <cfRule type="expression" dxfId="953" priority="64">
      <formula>OR($AI$95="新規",COUNTIF($AI$95,"*更新*")&gt;0)</formula>
    </cfRule>
  </conditionalFormatting>
  <conditionalFormatting sqref="J98:S100">
    <cfRule type="notContainsBlanks" dxfId="952" priority="59" stopIfTrue="1">
      <formula>LEN(TRIM(J98))&gt;0</formula>
    </cfRule>
  </conditionalFormatting>
  <conditionalFormatting sqref="J95:Z97">
    <cfRule type="notContainsBlanks" dxfId="951" priority="54" stopIfTrue="1">
      <formula>LEN(TRIM(J95))&gt;0</formula>
    </cfRule>
    <cfRule type="expression" dxfId="950" priority="55">
      <formula>COUNTIF($BI$54:$CE$63,"*Desk Event*")&gt;0</formula>
    </cfRule>
  </conditionalFormatting>
  <conditionalFormatting sqref="M71">
    <cfRule type="containsBlanks" dxfId="949" priority="19931">
      <formula>LEN(TRIM(M71))=0</formula>
    </cfRule>
  </conditionalFormatting>
  <conditionalFormatting sqref="M74 AS74 B74:L76">
    <cfRule type="expression" dxfId="948" priority="14">
      <formula>OR($M$71="",$M$71="有")</formula>
    </cfRule>
  </conditionalFormatting>
  <conditionalFormatting sqref="M74">
    <cfRule type="expression" dxfId="947" priority="19930">
      <formula>AND($M$71="無",OR(AND(#REF!="新規",#REF!="無"),AND(#REF!="新規",#REF!="無"),AND(#REF!="新規",#REF!="無")))</formula>
    </cfRule>
    <cfRule type="notContainsBlanks" dxfId="946" priority="364" stopIfTrue="1">
      <formula>LEN(TRIM(M74))&gt;0</formula>
    </cfRule>
  </conditionalFormatting>
  <conditionalFormatting sqref="M77">
    <cfRule type="notContainsBlanks" dxfId="945" priority="304">
      <formula>LEN(TRIM(M77))&gt;0</formula>
    </cfRule>
  </conditionalFormatting>
  <conditionalFormatting sqref="M71:P73">
    <cfRule type="notContainsBlanks" dxfId="944" priority="19926" stopIfTrue="1">
      <formula>LEN(TRIM(M71))&gt;0</formula>
    </cfRule>
  </conditionalFormatting>
  <conditionalFormatting sqref="M77:AK79">
    <cfRule type="expression" dxfId="943" priority="305">
      <formula>$M$71="有"</formula>
    </cfRule>
  </conditionalFormatting>
  <conditionalFormatting sqref="M74:AR76">
    <cfRule type="expression" dxfId="942" priority="19929">
      <formula>AND(OR(J$83="標準(DigitalArts@Cloud同時購入)",$J$83="標準(弊社他製品利用)",$J$83="標準(Desk@Cloud単独購入/保有)"),$J$86="無")</formula>
    </cfRule>
    <cfRule type="expression" dxfId="941" priority="19928">
      <formula>$M$71="無"</formula>
    </cfRule>
  </conditionalFormatting>
  <conditionalFormatting sqref="R86:AX88">
    <cfRule type="expression" dxfId="940" priority="22">
      <formula>AND($BP$83="新規",$J$86="無")</formula>
    </cfRule>
  </conditionalFormatting>
  <conditionalFormatting sqref="T89 AN89 BD89 Z86 J86 BP83 CN83 BV86 CC86">
    <cfRule type="notContainsBlanks" dxfId="939" priority="257">
      <formula>LEN(TRIM(J83))&gt;0</formula>
    </cfRule>
  </conditionalFormatting>
  <conditionalFormatting sqref="T89">
    <cfRule type="expression" dxfId="938" priority="326">
      <formula>$BP$83&lt;&gt;""</formula>
    </cfRule>
  </conditionalFormatting>
  <conditionalFormatting sqref="T101:W103">
    <cfRule type="notContainsBlanks" dxfId="937" priority="36" stopIfTrue="1">
      <formula>LEN(TRIM(T101))&gt;0</formula>
    </cfRule>
    <cfRule type="expression" dxfId="936" priority="38">
      <formula>OR($AI$95="新規",COUNTIF($AI$95,"*追加*")&gt;0)</formula>
    </cfRule>
  </conditionalFormatting>
  <conditionalFormatting sqref="T98:AY100 J101:BJ103">
    <cfRule type="expression" dxfId="935" priority="16">
      <formula>COUNTIF($AI$95,"*更新*")</formula>
    </cfRule>
  </conditionalFormatting>
  <conditionalFormatting sqref="T98:CM100">
    <cfRule type="expression" dxfId="934" priority="11">
      <formula>$AI$95&lt;&gt;"新規"</formula>
    </cfRule>
  </conditionalFormatting>
  <conditionalFormatting sqref="X101:BJ103">
    <cfRule type="expression" dxfId="933" priority="27">
      <formula>$J$95="株主総会版"</formula>
    </cfRule>
  </conditionalFormatting>
  <conditionalFormatting sqref="Z86">
    <cfRule type="expression" dxfId="932" priority="328">
      <formula>OR($J$86="有",AND($BP$83&lt;&gt;"新規",$BP$83&lt;&gt;""))</formula>
    </cfRule>
  </conditionalFormatting>
  <conditionalFormatting sqref="Z86:AX88">
    <cfRule type="expression" dxfId="931" priority="318">
      <formula>AND($J$83&lt;&gt;"",$BP$83&lt;&gt;"新規")</formula>
    </cfRule>
  </conditionalFormatting>
  <conditionalFormatting sqref="AA83">
    <cfRule type="expression" dxfId="930" priority="307">
      <formula>AND($J$83&lt;&gt;"",COUNTIF($J$83,"*購入*")&gt;0)</formula>
    </cfRule>
  </conditionalFormatting>
  <conditionalFormatting sqref="AB89:BN91">
    <cfRule type="expression" dxfId="929" priority="56">
      <formula>$BP$83="更新(減数)"</formula>
    </cfRule>
  </conditionalFormatting>
  <conditionalFormatting sqref="AE98:AH100">
    <cfRule type="expression" dxfId="928" priority="42">
      <formula>$AI$95="新規"</formula>
    </cfRule>
    <cfRule type="notContainsBlanks" dxfId="927" priority="41" stopIfTrue="1">
      <formula>LEN(TRIM(AE98))&gt;0</formula>
    </cfRule>
  </conditionalFormatting>
  <conditionalFormatting sqref="AI95:AX97">
    <cfRule type="notContainsBlanks" dxfId="926" priority="52" stopIfTrue="1">
      <formula>LEN(TRIM(AI95))&gt;0</formula>
    </cfRule>
    <cfRule type="expression" dxfId="925" priority="53">
      <formula>$J$95&lt;&gt;""</formula>
    </cfRule>
  </conditionalFormatting>
  <conditionalFormatting sqref="AJ25">
    <cfRule type="notContainsBlanks" dxfId="924" priority="231" stopIfTrue="1">
      <formula>LEN(TRIM(AJ25))&gt;0</formula>
    </cfRule>
  </conditionalFormatting>
  <conditionalFormatting sqref="AJ101:AQ103">
    <cfRule type="expression" dxfId="923" priority="34">
      <formula>OR($AI$95="新規",COUNTIF($AI$95,"*追加*")&gt;0)</formula>
    </cfRule>
    <cfRule type="notContainsBlanks" dxfId="922" priority="33" stopIfTrue="1">
      <formula>LEN(TRIM(AJ101))&gt;0</formula>
    </cfRule>
  </conditionalFormatting>
  <conditionalFormatting sqref="AL98:AO100">
    <cfRule type="notContainsBlanks" dxfId="921" priority="39" stopIfTrue="1">
      <formula>LEN(TRIM(AL98))&gt;0</formula>
    </cfRule>
    <cfRule type="expression" dxfId="920" priority="40">
      <formula>$AI$95="新規"</formula>
    </cfRule>
  </conditionalFormatting>
  <conditionalFormatting sqref="AN89:AU91">
    <cfRule type="expression" dxfId="918" priority="325">
      <formula>$BP$83&lt;&gt;""</formula>
    </cfRule>
  </conditionalFormatting>
  <conditionalFormatting sqref="AR28 G30:G31 Q31 AZ31 M33 AD33 AU33 M35 AM35 G37 AG37:BF39 G40 AG40">
    <cfRule type="notContainsBlanks" dxfId="917" priority="230" stopIfTrue="1">
      <formula>LEN(TRIM(G28))&gt;0</formula>
    </cfRule>
  </conditionalFormatting>
  <conditionalFormatting sqref="AR28:BF29">
    <cfRule type="expression" dxfId="916" priority="226" stopIfTrue="1">
      <formula>OR($AR$28="文教",$AR$28="官公庁／自治体",$AR$28="その他公共",$AR$28="企業")</formula>
    </cfRule>
  </conditionalFormatting>
  <conditionalFormatting sqref="AR101:BJ103">
    <cfRule type="expression" dxfId="915" priority="26">
      <formula>$AJ$101="無"</formula>
    </cfRule>
  </conditionalFormatting>
  <conditionalFormatting sqref="AV89:BN91">
    <cfRule type="expression" dxfId="914" priority="308">
      <formula>$AN$89="無"</formula>
    </cfRule>
  </conditionalFormatting>
  <conditionalFormatting sqref="AY86:BJ88">
    <cfRule type="expression" dxfId="913" priority="254">
      <formula>AND($BP$83&lt;&gt;"",$BP$83&lt;&gt;"新規",COUNTIF($BP$83,"&lt;&gt;*更新*"))</formula>
    </cfRule>
  </conditionalFormatting>
  <conditionalFormatting sqref="AY95:BR97">
    <cfRule type="expression" dxfId="912" priority="18">
      <formula>$J$95="株主総会版"</formula>
    </cfRule>
    <cfRule type="expression" dxfId="911" priority="17">
      <formula>$AI$95="更新"</formula>
    </cfRule>
  </conditionalFormatting>
  <conditionalFormatting sqref="AZ42:BF44">
    <cfRule type="expression" dxfId="910" priority="234">
      <formula>$AZ$42="はい"</formula>
    </cfRule>
    <cfRule type="expression" dxfId="909" priority="235">
      <formula>$AZ$42="いいえ"</formula>
    </cfRule>
  </conditionalFormatting>
  <conditionalFormatting sqref="AZ61:BF63">
    <cfRule type="expression" dxfId="908" priority="233">
      <formula>$AZ$61="はい"</formula>
    </cfRule>
    <cfRule type="expression" dxfId="907" priority="232">
      <formula>$AZ$61="いいえ"</formula>
    </cfRule>
  </conditionalFormatting>
  <conditionalFormatting sqref="AZ101:BG103">
    <cfRule type="notContainsBlanks" dxfId="906" priority="28" stopIfTrue="1">
      <formula>LEN(TRIM(AZ101))&gt;0</formula>
    </cfRule>
    <cfRule type="expression" dxfId="905" priority="32">
      <formula>$AJ$101="有"</formula>
    </cfRule>
  </conditionalFormatting>
  <conditionalFormatting sqref="AZ98:CM100">
    <cfRule type="expression" dxfId="904" priority="5">
      <formula>$CN$95&lt;&gt;""</formula>
    </cfRule>
    <cfRule type="expression" dxfId="903" priority="8">
      <formula>NOT(AND($J$83&lt;&gt;"",$BP$83="新規",$J$95="株主総会版",$AI$95="新規"))</formula>
    </cfRule>
    <cfRule type="expression" dxfId="902" priority="10">
      <formula>$M$74&lt;&gt;""</formula>
    </cfRule>
  </conditionalFormatting>
  <conditionalFormatting sqref="BD89:BK91">
    <cfRule type="expression" dxfId="901" priority="324">
      <formula>$AN$89="有"</formula>
    </cfRule>
  </conditionalFormatting>
  <conditionalFormatting sqref="BD4:BX6">
    <cfRule type="expression" dxfId="900" priority="240">
      <formula>OR($DE$20="",AND($DE$20="異なる",$DE$33=""))</formula>
    </cfRule>
  </conditionalFormatting>
  <conditionalFormatting sqref="BG86">
    <cfRule type="notContainsBlanks" dxfId="899" priority="306" stopIfTrue="1">
      <formula>LEN(TRIM(BG86))&gt;0</formula>
    </cfRule>
  </conditionalFormatting>
  <conditionalFormatting sqref="BG95">
    <cfRule type="notContainsBlanks" dxfId="898" priority="49" stopIfTrue="1">
      <formula>LEN(TRIM(BG95))&gt;0</formula>
    </cfRule>
    <cfRule type="expression" dxfId="897" priority="50">
      <formula>OR($AI$95="新規",COUNTIF($AI$95,"*追加*")&gt;0,$AI$95="更新(減数)")</formula>
    </cfRule>
  </conditionalFormatting>
  <conditionalFormatting sqref="BG86:BJ88">
    <cfRule type="expression" dxfId="896" priority="379">
      <formula>OR($BP$83="新規",COUNTIF($BP$83,"*更新*"))</formula>
    </cfRule>
  </conditionalFormatting>
  <conditionalFormatting sqref="BI50">
    <cfRule type="containsBlanks" dxfId="895" priority="284">
      <formula>LEN(TRIM(BI50))=0</formula>
    </cfRule>
  </conditionalFormatting>
  <conditionalFormatting sqref="BI22:BN22 BI23:BM23 BI33:DK34 BI35:BN35 BI36:BM36">
    <cfRule type="expression" dxfId="894" priority="265">
      <formula>$DE$20="同じ"</formula>
    </cfRule>
  </conditionalFormatting>
  <conditionalFormatting sqref="BI35:BN35 BI36:BM36">
    <cfRule type="expression" dxfId="893" priority="266">
      <formula>$DE$33="同じ"</formula>
    </cfRule>
  </conditionalFormatting>
  <conditionalFormatting sqref="BI54:CE63">
    <cfRule type="notContainsBlanks" dxfId="892" priority="272">
      <formula>LEN(TRIM(BI54))&gt;0</formula>
    </cfRule>
  </conditionalFormatting>
  <conditionalFormatting sqref="BI24:DK31">
    <cfRule type="expression" dxfId="891" priority="241">
      <formula>$DE$20="同じ"</formula>
    </cfRule>
  </conditionalFormatting>
  <conditionalFormatting sqref="BI37:DK44">
    <cfRule type="expression" dxfId="890" priority="243">
      <formula>$DE$33="同じ"</formula>
    </cfRule>
    <cfRule type="expression" dxfId="889" priority="170">
      <formula>$DE$20="同じ"</formula>
    </cfRule>
  </conditionalFormatting>
  <conditionalFormatting sqref="BK101:CE103">
    <cfRule type="expression" dxfId="888" priority="60">
      <formula>$J$95&lt;&gt;"株主総会版"</formula>
    </cfRule>
    <cfRule type="expression" dxfId="887" priority="15">
      <formula>$AI$95="更新"</formula>
    </cfRule>
    <cfRule type="expression" dxfId="886" priority="13">
      <formula>$J$95&lt;&gt;"株主総会版"</formula>
    </cfRule>
  </conditionalFormatting>
  <conditionalFormatting sqref="BK86:CF88 CG86:CQ86 CG87:CP88">
    <cfRule type="expression" dxfId="885" priority="297">
      <formula>AND($BP$83&lt;&gt;"新規",$BP$83&lt;&gt;"")</formula>
    </cfRule>
  </conditionalFormatting>
  <conditionalFormatting sqref="BK98:CM100">
    <cfRule type="notContainsBlanks" dxfId="884" priority="4" stopIfTrue="1">
      <formula>LEN(TRIM(BK98))&gt;0</formula>
    </cfRule>
    <cfRule type="expression" dxfId="883" priority="12">
      <formula>$AI$95="新規"</formula>
    </cfRule>
    <cfRule type="expression" dxfId="882" priority="9">
      <formula>AND($J$95="株主総会版",$AI$95="新規")</formula>
    </cfRule>
  </conditionalFormatting>
  <conditionalFormatting sqref="BN35 BN22 DE33 BT37 CK37 BT39 CT39 BN41:CJ44 CP41:DK44 BT24 CK24 BT26 CT26 BN28:CJ31 CP28:DK31 DE20">
    <cfRule type="notContainsBlanks" dxfId="881" priority="267" stopIfTrue="1">
      <formula>LEN(TRIM(BN20))&gt;0</formula>
    </cfRule>
  </conditionalFormatting>
  <conditionalFormatting sqref="BO89:BY91">
    <cfRule type="expression" dxfId="880" priority="68">
      <formula>$J$83&lt;&gt;"通常版"</formula>
    </cfRule>
  </conditionalFormatting>
  <conditionalFormatting sqref="BO89:BZ89">
    <cfRule type="expression" dxfId="879" priority="69">
      <formula>OR(COUNTIF($BP$83,"*更新*")&gt;0,COUNTIF($BP$83,"*追加*")&gt;0)</formula>
    </cfRule>
  </conditionalFormatting>
  <conditionalFormatting sqref="BP83">
    <cfRule type="expression" dxfId="878" priority="320">
      <formula>$J$83&lt;&gt;""</formula>
    </cfRule>
  </conditionalFormatting>
  <conditionalFormatting sqref="BS101:BZ103">
    <cfRule type="expression" dxfId="877" priority="62">
      <formula>$J$95="株主総会版"</formula>
    </cfRule>
    <cfRule type="notContainsBlanks" dxfId="876" priority="61" stopIfTrue="1">
      <formula>LEN(TRIM(BS101))&gt;0</formula>
    </cfRule>
  </conditionalFormatting>
  <conditionalFormatting sqref="BS95:CF97">
    <cfRule type="expression" dxfId="875" priority="46">
      <formula>$AI$95&lt;&gt;"新規"</formula>
    </cfRule>
  </conditionalFormatting>
  <conditionalFormatting sqref="BV86:BY88 CC86:CF88 J86">
    <cfRule type="expression" dxfId="874" priority="327">
      <formula>$BP$83="新規"</formula>
    </cfRule>
  </conditionalFormatting>
  <conditionalFormatting sqref="BV89:BY91">
    <cfRule type="notContainsBlanks" dxfId="873" priority="97" stopIfTrue="1">
      <formula>LEN(TRIM(BV89))&gt;0</formula>
    </cfRule>
    <cfRule type="expression" dxfId="872" priority="19932">
      <formula>AND($J$83="通常版",OR($BP$83="新規",COUNTIF($BP$83,"*追加*")))</formula>
    </cfRule>
  </conditionalFormatting>
  <conditionalFormatting sqref="BY4">
    <cfRule type="expression" dxfId="871" priority="19927">
      <formula>OR($M$71="",AND(#REF!="",#REF!="",#REF!="",$J$83=""))</formula>
    </cfRule>
  </conditionalFormatting>
  <conditionalFormatting sqref="BZ95:CF97">
    <cfRule type="notContainsBlanks" dxfId="870" priority="47" stopIfTrue="1">
      <formula>LEN(TRIM(BZ95))&gt;0</formula>
    </cfRule>
  </conditionalFormatting>
  <conditionalFormatting sqref="CF58">
    <cfRule type="expression" dxfId="869" priority="268">
      <formula>AND(BI58&lt;&gt;"",CF58="")</formula>
    </cfRule>
  </conditionalFormatting>
  <conditionalFormatting sqref="CF60">
    <cfRule type="expression" dxfId="868" priority="262">
      <formula>AND(BI60&lt;&gt;"",CF60="")</formula>
    </cfRule>
  </conditionalFormatting>
  <conditionalFormatting sqref="CF62">
    <cfRule type="expression" dxfId="867" priority="261">
      <formula>AND(BI62&lt;&gt;"",CF62="")</formula>
    </cfRule>
  </conditionalFormatting>
  <conditionalFormatting sqref="CF54:DB55">
    <cfRule type="notContainsBlanks" dxfId="866" priority="263">
      <formula>LEN(TRIM(CF54))&gt;0</formula>
    </cfRule>
  </conditionalFormatting>
  <conditionalFormatting sqref="CF56:DB57">
    <cfRule type="expression" dxfId="865" priority="269">
      <formula>AND(BI56&lt;&gt;"",CF56="")</formula>
    </cfRule>
  </conditionalFormatting>
  <conditionalFormatting sqref="CG95:DL97">
    <cfRule type="expression" dxfId="864" priority="6">
      <formula>$BZ$95="無"</formula>
    </cfRule>
    <cfRule type="expression" dxfId="863" priority="24">
      <formula>OR($AI$95="新規",$AI$95="")</formula>
    </cfRule>
  </conditionalFormatting>
  <conditionalFormatting sqref="CN83">
    <cfRule type="expression" dxfId="862" priority="323">
      <formula>$BP$83&lt;&gt;""</formula>
    </cfRule>
  </conditionalFormatting>
  <conditionalFormatting sqref="CN83:CS85 CF83">
    <cfRule type="expression" dxfId="861" priority="317" stopIfTrue="1">
      <formula>$BP$83="更新"</formula>
    </cfRule>
  </conditionalFormatting>
  <conditionalFormatting sqref="CN95:DL97">
    <cfRule type="expression" dxfId="860" priority="45">
      <formula>OR(COUNTIF($AI$95,"*追加*")&gt;0,COUNTIF($AI$95,"*更新*")&gt;0)</formula>
    </cfRule>
    <cfRule type="expression" dxfId="859" priority="44">
      <formula>$BZ$95="有"</formula>
    </cfRule>
    <cfRule type="notContainsBlanks" dxfId="858" priority="43" stopIfTrue="1">
      <formula>LEN(TRIM(CN95))&gt;0</formula>
    </cfRule>
  </conditionalFormatting>
  <conditionalFormatting sqref="DB24">
    <cfRule type="notContainsBlanks" dxfId="857" priority="242" stopIfTrue="1">
      <formula>LEN(TRIM(DB24))&gt;0</formula>
    </cfRule>
  </conditionalFormatting>
  <conditionalFormatting sqref="DB37">
    <cfRule type="notContainsBlanks" dxfId="856" priority="244" stopIfTrue="1">
      <formula>LEN(TRIM(DB37))&gt;0</formula>
    </cfRule>
  </conditionalFormatting>
  <dataValidations count="39">
    <dataValidation imeMode="on" allowBlank="1" showInputMessage="1" showErrorMessage="1" error="半角文字が入っている可能性があります。" sqref="BA50:BF51" xr:uid="{00000000-0002-0000-0400-000000000000}"/>
    <dataValidation type="custom" imeMode="on" allowBlank="1" showInputMessage="1" showErrorMessage="1" error="半角文字が入っている可能性があります。" sqref="AO50:AZ51" xr:uid="{00000000-0002-0000-0400-000001000000}">
      <formula1>AND(AO50=DBCS(AO50))</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M74:AR76" xr:uid="{00000000-0002-0000-0400-000002000000}">
      <formula1>AND(COUNTIF(M74,"*,*")+COUNTIF(M74,"*..*")+COUNTIF(M74,"*&lt;*")+COUNTIF(M74,"*&gt;*")+COUNTIF(M74,"*;*")+COUNTIF(M74,"*:*")+COUNTIF(M74,"*/*")+COUNTIF(M74,"&lt;&gt;*@*")=0,LEN(M74)&lt;65)</formula1>
    </dataValidation>
    <dataValidation type="custom" imeMode="fullKatakana" allowBlank="1" showInputMessage="1" showErrorMessage="1" error="全角カナで入力してください" prompt="全角カタカナで入力してください。" sqref="G30" xr:uid="{00000000-0002-0000-0400-000003000000}">
      <formula1>AND(G30=DBCS(G30))</formula1>
    </dataValidation>
    <dataValidation type="whole" imeMode="disabled" operator="greaterThanOrEqual" allowBlank="1" showInputMessage="1" showErrorMessage="1" error="・新規最低購入ライセンス数は10ライセンスです。_x000a_・「追加」のときは追加後の合計ライセンス数を入力してください。" prompt="・新規最低購入ライセンス数は10ライセンスです。_x000a_・「追加」のときは追加後の合計ライセンス数を入力してください。" sqref="CN83:CS85 BG95:BR97" xr:uid="{00000000-0002-0000-0400-000004000000}">
      <formula1>10</formula1>
    </dataValidation>
    <dataValidation type="list" allowBlank="1" showInputMessage="1" showErrorMessage="1" sqref="BP83:CE85" xr:uid="{00000000-0002-0000-0400-000005000000}">
      <formula1>DeskCloud_申請区分</formula1>
    </dataValidation>
    <dataValidation type="custom" imeMode="disabled" allowBlank="1" showInputMessage="1" showErrorMessage="1" errorTitle="E-Mail形式ではありません。" error="「,」「..」「/」「;」「:」「&lt;」「&gt;」のいずれかが含まれるか、「＠」がありません。" sqref="CP30:DO31 G25:AD26 CP43:DO44 AG40:BF41 AG59:BF60 AJ25:BF26" xr:uid="{00000000-0002-0000-0400-000006000000}">
      <formula1>COUNTIF(G25,"*,*")+COUNTIF(G25,"*..*")+COUNTIF(G25,"*&lt;*")+COUNTIF(G25,"*&gt;*")+COUNTIF(G25,"*;*")+COUNTIF(G25,"*:*")+COUNTIF(G25,"*/*")+COUNTIF(G25,"&lt;&gt;*@*")=0</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00000000-0002-0000-0400-000007000000}">
      <formula1>業種</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00000000-0002-0000-0400-000008000000}">
      <formula1>AND(Q31=DBCS(Q31))</formula1>
    </dataValidation>
    <dataValidation type="list" imeMode="hiragana" allowBlank="1" showInputMessage="1" showErrorMessage="1" error="半角文字が入っている可能性があります。" sqref="G31" xr:uid="{00000000-0002-0000-0400-000009000000}">
      <formula1>法人格_前</formula1>
    </dataValidation>
    <dataValidation type="list" imeMode="hiragana" allowBlank="1" showInputMessage="1" showErrorMessage="1" error="半角文字が入っている可能性があります。" sqref="AZ31" xr:uid="{00000000-0002-0000-0400-00000A000000}">
      <formula1>法人格_後</formula1>
    </dataValidation>
    <dataValidation type="whole" imeMode="disabled" operator="greaterThanOrEqual" allowBlank="1" showInputMessage="1" showErrorMessage="1" sqref="J20:L21" xr:uid="{00000000-0002-0000-0400-00000B000000}">
      <formula1>20</formula1>
    </dataValidation>
    <dataValidation type="whole" imeMode="disabled" allowBlank="1" showInputMessage="1" showErrorMessage="1" sqref="X20:AB21" xr:uid="{00000000-0002-0000-0400-00000C000000}">
      <formula1>1</formula1>
      <formula2>31</formula2>
    </dataValidation>
    <dataValidation imeMode="disabled" allowBlank="1" showInputMessage="1" showErrorMessage="1" sqref="CF56:DB61" xr:uid="{00000000-0002-0000-0400-00000D000000}"/>
    <dataValidation type="custom" imeMode="disabled" allowBlank="1" showInputMessage="1" showErrorMessage="1" promptTitle="入力方法" prompt="(例)03-1111-2222_x000a_のように半角数字で_x000a_ハイフンを入れて_x000a_入力してください" sqref="BN30:CJ31 BN43:CJ44 G59:AA60 G40:AA41" xr:uid="{00000000-0002-0000-0400-00000E000000}">
      <formula1>AND(COUNTIF(G30,"*-*"),LEN(G30)=LENB(G30),LEN(G30)&lt;14)</formula1>
    </dataValidation>
    <dataValidation type="custom" imeMode="disabled" allowBlank="1" showInputMessage="1" showErrorMessage="1" error="半角英数字で入力してください" sqref="BI50:DB51" xr:uid="{00000000-0002-0000-0400-00000F000000}">
      <formula1>LENB(BI50)=LEN(BI50)</formula1>
    </dataValidation>
    <dataValidation type="custom" imeMode="on" allowBlank="1" showInputMessage="1" showErrorMessage="1" error="半角文字が入っている可能性があります。" promptTitle="入力方法" prompt="番地も含めてすべて全角で入力してください。" sqref="BT26:CM27 BT39:CM40" xr:uid="{00000000-0002-0000-0400-000010000000}">
      <formula1>AND(BT26=DBCS(BT26))</formula1>
    </dataValidation>
    <dataValidation type="custom" imeMode="on" allowBlank="1" showInputMessage="1" showErrorMessage="1" error="半角文字が入っている可能性があります。" promptTitle="入力方法" prompt="階数なども含めてすべて全角で入力してください。" sqref="CT26:DK27 CT39:DK40 AM35:BF36 AM54:BF55" xr:uid="{00000000-0002-0000-0400-000011000000}">
      <formula1>AND(AM26=DBCS(AM26))</formula1>
    </dataValidation>
    <dataValidation type="custom" imeMode="on" allowBlank="1" showInputMessage="1" showErrorMessage="1" error="半角文字が入っている可能性があります。" prompt="番地も含めてすべて全角で入力してください。" sqref="M35:AF36 M54:AF55" xr:uid="{00000000-0002-0000-0400-000012000000}">
      <formula1>AND(M35=DBCS(M35))</formula1>
    </dataValidation>
    <dataValidation type="custom" imeMode="on" allowBlank="1" showInputMessage="1" showErrorMessage="1" error="半角文字が入っている可能性があります。" prompt="全角文字で入力してください。" sqref="CP28:DK29 CP41:DK42 BN22 BN28:CJ29 DB24:DK25 BN41:CJ42 BN35 DB37:DK38 AG57:BF58 AU33:BF34 AU52:BF53 G37:AA39 AG38:BF39 G56:AA58 G50" xr:uid="{00000000-0002-0000-0400-000013000000}">
      <formula1>AND(G22=DBCS(G22))</formula1>
    </dataValidation>
    <dataValidation type="list" allowBlank="1" showInputMessage="1" showErrorMessage="1" prompt="ご発注対象製品をプルダウンよりご選択ください。" sqref="BI54:CE63" xr:uid="{00000000-0002-0000-0400-000014000000}">
      <formula1>"Desk,Desk Event"</formula1>
    </dataValidation>
    <dataValidation imeMode="disabled" allowBlank="1" showInputMessage="1" showErrorMessage="1" prompt="ご発注対象に対応するお見積番号をご入力ください。" sqref="CF54:DB55" xr:uid="{00000000-0002-0000-0400-000015000000}"/>
    <dataValidation type="list" imeMode="on" allowBlank="1" showInputMessage="1" showErrorMessage="1" sqref="AZ42:BF44 AZ61:BF63" xr:uid="{00000000-0002-0000-0400-000016000000}">
      <formula1>"はい,いいえ"</formula1>
    </dataValidation>
    <dataValidation type="custom" imeMode="disabled" operator="equal" allowBlank="1" showInputMessage="1" showErrorMessage="1" promptTitle="入力方法" prompt="半角数字でハイフンを入れて入力をしてください。" sqref="BT24:CD25 BT37:CD38 M52:W53 M33:W34" xr:uid="{00000000-0002-0000-0400-000017000000}">
      <formula1>AND(COUNTIF(M24,"*-*"),LEN(M24)=LENB(M24),LEN(M24)=8)</formula1>
    </dataValidation>
    <dataValidation type="custom" imeMode="fullKatakana" allowBlank="1" showInputMessage="1" showErrorMessage="1" error="全角カタカナで入力してください" prompt="全角カタカナで入力してください。" sqref="AG37:BF37 AG56:BF56 G49" xr:uid="{00000000-0002-0000-0400-000018000000}">
      <formula1>AND(G37=DBCS(G37))</formula1>
    </dataValidation>
    <dataValidation type="list" imeMode="on" allowBlank="1" showInputMessage="1" showErrorMessage="1" sqref="CK37:CU38 CK24:CU25 AD33:AN34 AD52:AN53" xr:uid="{00000000-0002-0000-0400-000019000000}">
      <formula1>都道府県</formula1>
    </dataValidation>
    <dataValidation type="list" allowBlank="1" showInputMessage="1" showErrorMessage="1" sqref="DE20:DK21 DE33:DK34" xr:uid="{00000000-0002-0000-0400-00001A000000}">
      <formula1>"同じ,異なる"</formula1>
    </dataValidation>
    <dataValidation type="whole" imeMode="disabled" operator="greaterThanOrEqual" allowBlank="1" showInputMessage="1" showErrorMessage="1" sqref="BV86:BY88" xr:uid="{00000000-0002-0000-0400-00001B000000}">
      <formula1>19</formula1>
    </dataValidation>
    <dataValidation type="whole" imeMode="disabled" allowBlank="1" showInputMessage="1" showErrorMessage="1" sqref="CC86:CF88 P20:T21" xr:uid="{00000000-0002-0000-0400-00001C000000}">
      <formula1>1</formula1>
      <formula2>12</formula2>
    </dataValidation>
    <dataValidation imeMode="off" allowBlank="1" showInputMessage="1" showErrorMessage="1" sqref="Z86" xr:uid="{00000000-0002-0000-0400-00001D000000}"/>
    <dataValidation type="list" allowBlank="1" showInputMessage="1" showErrorMessage="1" sqref="BZ95 M71:P73 AN89:AU91 J86 AJ101:AQ103" xr:uid="{00000000-0002-0000-0400-00001E000000}">
      <formula1>有無</formula1>
    </dataValidation>
    <dataValidation type="list" allowBlank="1" showInputMessage="1" showErrorMessage="1" sqref="BG86:BJ88 J98:S100" xr:uid="{00000000-0002-0000-0400-00001F000000}">
      <formula1>契約期間</formula1>
    </dataValidation>
    <dataValidation type="list" allowBlank="1" showInputMessage="1" showErrorMessage="1" sqref="J83:Z85" xr:uid="{00000000-0002-0000-0400-000020000000}">
      <formula1>Desk_製品区分</formula1>
    </dataValidation>
    <dataValidation type="whole" imeMode="disabled" operator="greaterThanOrEqual" allowBlank="1" showInputMessage="1" showErrorMessage="1" error="・ディスク拡張の個数を数値で入力してください。" sqref="AZ101:BG103" xr:uid="{00000000-0002-0000-0400-000021000000}">
      <formula1>1</formula1>
    </dataValidation>
    <dataValidation type="list" allowBlank="1" showInputMessage="1" showErrorMessage="1" prompt="「無」を選択した場合も、1ライセンスあたり10時間のオンライン会議は利用可能です。" sqref="T89:AA91" xr:uid="{00000000-0002-0000-0400-000022000000}">
      <formula1>有無</formula1>
    </dataValidation>
    <dataValidation type="whole" allowBlank="1" showInputMessage="1" showErrorMessage="1" error="・1～12以外の値が入力されています。_x000a_" sqref="AL98:AO100" xr:uid="{00000000-0002-0000-0400-000023000000}">
      <formula1>1</formula1>
      <formula2>12</formula2>
    </dataValidation>
    <dataValidation type="whole" operator="greaterThanOrEqual" allowBlank="1" showInputMessage="1" showErrorMessage="1" error="・入力された値が過去の「年」です。" sqref="AE98:AH100" xr:uid="{00000000-0002-0000-0400-000024000000}">
      <formula1>23</formula1>
    </dataValidation>
    <dataValidation type="list" allowBlank="1" showInputMessage="1" showErrorMessage="1" sqref="AI95:AX97" xr:uid="{00000000-0002-0000-0400-000025000000}">
      <formula1>IF($J$95="通常版",INDIRECT("Desk_Event_申請区分_通常版"),INDIRECT("Desk_Event_申請区分_株主総会版"))</formula1>
    </dataValidation>
    <dataValidation type="custom" allowBlank="1" showInputMessage="1" showErrorMessage="1" sqref="BK98:CM100" xr:uid="{00000000-0002-0000-0400-000026000000}">
      <formula1>AND(COUNTIF(BK98,"*,*")+COUNTIF(BK98,"*..*")+COUNTIF(BK98,"*&lt;*")+COUNTIF(BK98,"*&gt;*")+COUNTIF(BK98,"*;*")+COUNTIF(BK98,"*:*")+COUNTIF(BK98,"*/*")+COUNTIF(BK98,"&lt;&gt;*@*")=0,LEN(BK98)&lt;65)</formula1>
    </dataValidation>
  </dataValidations>
  <hyperlinks>
    <hyperlink ref="AL77" r:id="rId1" xr:uid="{00000000-0004-0000-0400-000000000000}"/>
    <hyperlink ref="A113" r:id="rId2" xr:uid="{487A49F6-5163-443D-B8FD-C83671CB9F0B}"/>
  </hyperlinks>
  <printOptions horizontalCentered="1"/>
  <pageMargins left="0.11811023622047245" right="0.11811023622047245" top="0.39370078740157483" bottom="0.19685039370078741" header="0.11811023622047245" footer="0.11811023622047245"/>
  <pageSetup paperSize="9" scale="69" orientation="portrait" horizontalDpi="300" verticalDpi="300" r:id="rId3"/>
  <headerFooter>
    <oddFooter>&amp;LDigital Arts Inc.&amp;C&amp;P ページ&amp;R&amp;D</oddFooter>
  </headerFooter>
  <drawing r:id="rId4"/>
  <extLst>
    <ext xmlns:x14="http://schemas.microsoft.com/office/spreadsheetml/2009/9/main" uri="{78C0D931-6437-407d-A8EE-F0AAD7539E65}">
      <x14:conditionalFormattings>
        <x14:conditionalFormatting xmlns:xm="http://schemas.microsoft.com/office/excel/2006/main">
          <x14:cfRule type="expression" priority="314" id="{B87FBC55-7783-448D-AB96-DBEEC770997E}">
            <xm:f>AND($J$83=中間データ共通・DACloud!$AB$5,$AI$83="")</xm:f>
            <x14:dxf>
              <font>
                <color theme="0" tint="-0.34998626667073579"/>
              </font>
              <fill>
                <patternFill>
                  <bgColor theme="0" tint="-0.34998626667073579"/>
                </patternFill>
              </fill>
            </x14:dxf>
          </x14:cfRule>
          <xm:sqref>AN89:AU91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27000000}">
          <x14:formula1>
            <xm:f>'中間データ共通・Desk・f-FILTER・Z-FILTER'!$O$4:$O$5</xm:f>
          </x14:formula1>
          <xm:sqref>BV89:BY91</xm:sqref>
        </x14:dataValidation>
        <x14:dataValidation type="list" imeMode="disabled" allowBlank="1" showInputMessage="1" showErrorMessage="1" xr:uid="{00000000-0002-0000-0400-000028000000}">
          <x14:formula1>
            <xm:f>'中間データ共通・Desk・f-FILTER・Z-FILTER'!$W$4:$W$13</xm:f>
          </x14:formula1>
          <xm:sqref>BS101:BZ103</xm:sqref>
        </x14:dataValidation>
        <x14:dataValidation type="list" allowBlank="1" showInputMessage="1" showErrorMessage="1" xr:uid="{00000000-0002-0000-0400-000029000000}">
          <x14:formula1>
            <xm:f>'中間データ共通・Desk・f-FILTER・Z-FILTER'!$U$4:$U$5</xm:f>
          </x14:formula1>
          <xm:sqref>T101:W103</xm:sqref>
        </x14:dataValidation>
        <x14:dataValidation type="list" allowBlank="1" showInputMessage="1" showErrorMessage="1" xr:uid="{00000000-0002-0000-0400-00002A000000}">
          <x14:formula1>
            <xm:f>IF(お客様情報!G41="日本電気株式会社",INDIRECT("Webinar_NEC"),INDIRECT("Webinar_通常"))</xm:f>
          </x14:formula1>
          <xm:sqref>J95:Z97</xm:sqref>
        </x14:dataValidation>
        <x14:dataValidation type="whole" imeMode="disabled" allowBlank="1" showInputMessage="1" showErrorMessage="1" xr:uid="{00000000-0002-0000-0400-00002B000000}">
          <x14:formula1>
            <xm:f>中間データ共通・DACloud!AC4</xm:f>
          </x14:formula1>
          <x14:formula2>
            <xm:f>中間データ共通・DACloud!AC5</xm:f>
          </x14:formula2>
          <xm:sqref>BD89:BK91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X103"/>
  <sheetViews>
    <sheetView workbookViewId="0">
      <selection activeCell="J20" sqref="J20:L21"/>
    </sheetView>
  </sheetViews>
  <sheetFormatPr defaultColWidth="1.26953125" defaultRowHeight="7.5" customHeight="1"/>
  <cols>
    <col min="1" max="1" width="2.6328125" style="198" customWidth="1"/>
    <col min="2" max="2" width="1.26953125" style="198" customWidth="1"/>
    <col min="3" max="116" width="1.26953125" style="198"/>
    <col min="117" max="117" width="1.26953125" style="690" customWidth="1"/>
    <col min="118" max="118" width="8.08984375" style="45" bestFit="1" customWidth="1"/>
    <col min="119" max="122" width="1.26953125" style="45"/>
    <col min="123" max="123" width="1.26953125" style="45" customWidth="1"/>
    <col min="124" max="165" width="1.26953125" style="45"/>
    <col min="166" max="16384" width="1.26953125" style="198"/>
  </cols>
  <sheetData>
    <row r="1" spans="1:118" ht="7.5" customHeight="1">
      <c r="A1" s="879" t="s">
        <v>1521</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c r="BB1" s="879"/>
      <c r="BC1" s="879"/>
      <c r="BD1" s="879"/>
      <c r="BE1" s="879"/>
      <c r="BF1" s="879"/>
      <c r="BG1" s="879"/>
      <c r="BH1" s="879"/>
      <c r="BI1" s="879"/>
      <c r="BJ1" s="879"/>
      <c r="BK1" s="879"/>
      <c r="BL1" s="879"/>
      <c r="BM1" s="879"/>
      <c r="BN1" s="879"/>
      <c r="BO1" s="879"/>
      <c r="BP1" s="879"/>
      <c r="BQ1" s="879"/>
      <c r="BR1" s="879"/>
      <c r="BS1" s="879"/>
      <c r="BT1" s="879"/>
      <c r="BU1" s="879"/>
      <c r="BV1" s="879"/>
      <c r="BW1" s="879"/>
      <c r="BX1" s="879"/>
      <c r="BY1" s="879"/>
      <c r="BZ1" s="879"/>
      <c r="CA1" s="879"/>
      <c r="CB1" s="879"/>
      <c r="CC1" s="879"/>
      <c r="CD1" s="879"/>
      <c r="CE1" s="879"/>
      <c r="CF1" s="879"/>
      <c r="CG1" s="879"/>
      <c r="CH1" s="879"/>
      <c r="CI1" s="879"/>
      <c r="CJ1" s="879"/>
      <c r="CK1" s="879"/>
      <c r="CL1" s="879"/>
      <c r="CM1" s="879"/>
      <c r="CN1" s="879"/>
      <c r="CO1" s="879"/>
      <c r="CP1" s="879"/>
      <c r="CQ1" s="879"/>
      <c r="CR1" s="879"/>
      <c r="CS1" s="879"/>
      <c r="CT1" s="879"/>
      <c r="CU1" s="879"/>
      <c r="CV1" s="879"/>
      <c r="CW1" s="879"/>
      <c r="CX1" s="879"/>
      <c r="CY1" s="879"/>
      <c r="CZ1" s="879"/>
      <c r="DA1" s="879"/>
      <c r="DB1" s="879"/>
      <c r="DC1" s="879"/>
      <c r="DD1" s="879"/>
      <c r="DE1" s="879"/>
      <c r="DF1" s="879"/>
      <c r="DG1" s="879"/>
      <c r="DH1" s="879"/>
      <c r="DI1" s="879"/>
      <c r="DJ1" s="879"/>
      <c r="DK1" s="879"/>
      <c r="DL1" s="879"/>
      <c r="DM1" s="879"/>
      <c r="DN1" s="49"/>
    </row>
    <row r="2" spans="1:118" ht="7.5" customHeight="1">
      <c r="A2" s="879"/>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49"/>
    </row>
    <row r="3" spans="1:118" ht="7.5" customHeigh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49"/>
    </row>
    <row r="4" spans="1:118" ht="7.5" customHeight="1">
      <c r="A4" s="880" t="s">
        <v>1586</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80"/>
      <c r="BC4" s="880"/>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313"/>
      <c r="CV4" s="313"/>
      <c r="CW4" s="313"/>
      <c r="CX4" s="313"/>
      <c r="CY4" s="313"/>
      <c r="CZ4" s="313"/>
      <c r="DA4" s="313"/>
      <c r="DB4" s="313"/>
      <c r="DC4" s="313"/>
      <c r="DD4" s="313"/>
      <c r="DE4" s="313"/>
      <c r="DF4" s="313"/>
      <c r="DG4" s="313"/>
      <c r="DH4" s="313"/>
      <c r="DI4" s="313"/>
      <c r="DJ4" s="313"/>
      <c r="DK4" s="313"/>
      <c r="DL4" s="313"/>
      <c r="DM4" s="313"/>
      <c r="DN4" s="313"/>
    </row>
    <row r="5" spans="1:118" ht="7.5" customHeight="1">
      <c r="A5" s="880"/>
      <c r="B5" s="880"/>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313"/>
      <c r="CV5" s="313"/>
      <c r="CW5" s="313"/>
      <c r="CX5" s="313"/>
      <c r="CY5" s="313"/>
      <c r="CZ5" s="313"/>
      <c r="DA5" s="313"/>
      <c r="DB5" s="313"/>
      <c r="DC5" s="313"/>
      <c r="DD5" s="313"/>
      <c r="DE5" s="313"/>
      <c r="DF5" s="313"/>
      <c r="DG5" s="313"/>
      <c r="DH5" s="313"/>
      <c r="DI5" s="313"/>
      <c r="DJ5" s="313"/>
      <c r="DK5" s="313"/>
      <c r="DL5" s="313"/>
      <c r="DM5" s="313"/>
      <c r="DN5" s="313"/>
    </row>
    <row r="6" spans="1:118" ht="7.5" customHeight="1">
      <c r="A6" s="880"/>
      <c r="B6" s="880"/>
      <c r="C6" s="880"/>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313"/>
      <c r="CV6" s="313"/>
      <c r="CW6" s="313"/>
      <c r="CX6" s="313"/>
      <c r="CY6" s="313"/>
      <c r="CZ6" s="313"/>
      <c r="DA6" s="313"/>
      <c r="DB6" s="313"/>
      <c r="DC6" s="313"/>
      <c r="DD6" s="313"/>
      <c r="DE6" s="313"/>
      <c r="DF6" s="313"/>
      <c r="DG6" s="313"/>
      <c r="DH6" s="313"/>
      <c r="DI6" s="313"/>
      <c r="DJ6" s="313"/>
      <c r="DK6" s="313"/>
      <c r="DL6" s="313"/>
      <c r="DM6" s="313"/>
      <c r="DN6" s="313"/>
    </row>
    <row r="7" spans="1:118" ht="7.5" customHeight="1">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row>
    <row r="8" spans="1:118" ht="7.5" customHeight="1">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row>
    <row r="9" spans="1:118" ht="7.5" customHeight="1">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row>
    <row r="10" spans="1:118" ht="7.5" customHeight="1">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row>
    <row r="11" spans="1:118" ht="7.5" customHeight="1">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row>
    <row r="12" spans="1:118" ht="7.5" customHeight="1">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row>
    <row r="13" spans="1:118" ht="7.5" customHeight="1">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row>
    <row r="14" spans="1:118" ht="7.5" customHeight="1">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row>
    <row r="15" spans="1:118" ht="7.5" customHeight="1">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row>
    <row r="16" spans="1:118" ht="7.5" customHeight="1">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row>
    <row r="17" spans="1:120" ht="7.5" customHeight="1">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row>
    <row r="18" spans="1:120" ht="7.5" customHeight="1">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row>
    <row r="19" spans="1:120" ht="7.5" customHeight="1" thickBot="1">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row>
    <row r="20" spans="1:120" s="45" customFormat="1"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511</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c r="DM20" s="44"/>
    </row>
    <row r="21" spans="1:120"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c r="DM21" s="44"/>
    </row>
    <row r="22" spans="1:120" s="45" customFormat="1"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5" t="s">
        <v>1260</v>
      </c>
      <c r="CW22" s="846"/>
      <c r="CX22" s="846"/>
      <c r="CY22" s="846"/>
      <c r="CZ22" s="846"/>
      <c r="DA22" s="846"/>
      <c r="DB22" s="846"/>
      <c r="DC22" s="846"/>
      <c r="DD22" s="846"/>
      <c r="DE22" s="846"/>
      <c r="DF22" s="849"/>
      <c r="DG22" s="850"/>
      <c r="DH22" s="850"/>
      <c r="DI22" s="850"/>
      <c r="DJ22" s="850"/>
      <c r="DK22" s="851"/>
      <c r="DL22" s="47"/>
      <c r="DM22" s="44"/>
    </row>
    <row r="23" spans="1:120"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7"/>
      <c r="CW23" s="848"/>
      <c r="CX23" s="848"/>
      <c r="CY23" s="848"/>
      <c r="CZ23" s="848"/>
      <c r="DA23" s="848"/>
      <c r="DB23" s="848"/>
      <c r="DC23" s="848"/>
      <c r="DD23" s="848"/>
      <c r="DE23" s="848"/>
      <c r="DF23" s="852"/>
      <c r="DG23" s="853"/>
      <c r="DH23" s="853"/>
      <c r="DI23" s="853"/>
      <c r="DJ23" s="853"/>
      <c r="DK23" s="854"/>
      <c r="DL23" s="47"/>
      <c r="DM23" s="44"/>
    </row>
    <row r="24" spans="1:120" s="45" customFormat="1"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855"/>
      <c r="BJ24" s="856"/>
      <c r="BK24" s="547"/>
      <c r="BL24" s="547"/>
      <c r="BM24" s="548"/>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c r="DM24" s="44"/>
    </row>
    <row r="25" spans="1:120" s="45" customFormat="1" ht="7.5" customHeight="1" thickTop="1">
      <c r="A25" s="48"/>
      <c r="B25" s="807" t="s">
        <v>566</v>
      </c>
      <c r="C25" s="808"/>
      <c r="D25" s="808"/>
      <c r="E25" s="808"/>
      <c r="F25" s="809"/>
      <c r="G25" s="3121"/>
      <c r="H25" s="3122"/>
      <c r="I25" s="3122"/>
      <c r="J25" s="3122"/>
      <c r="K25" s="3122"/>
      <c r="L25" s="3122"/>
      <c r="M25" s="3122"/>
      <c r="N25" s="3122"/>
      <c r="O25" s="3122"/>
      <c r="P25" s="3122"/>
      <c r="Q25" s="3122"/>
      <c r="R25" s="3122"/>
      <c r="S25" s="3122"/>
      <c r="T25" s="3122"/>
      <c r="U25" s="3122"/>
      <c r="V25" s="3122"/>
      <c r="W25" s="3122"/>
      <c r="X25" s="3122"/>
      <c r="Y25" s="3122"/>
      <c r="Z25" s="3122"/>
      <c r="AA25" s="3122"/>
      <c r="AB25" s="3122"/>
      <c r="AC25" s="3122"/>
      <c r="AD25" s="3123"/>
      <c r="AE25" s="819" t="s">
        <v>170</v>
      </c>
      <c r="AF25" s="819"/>
      <c r="AG25" s="819"/>
      <c r="AH25" s="819"/>
      <c r="AI25" s="819"/>
      <c r="AJ25" s="821"/>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3"/>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c r="DM25" s="44"/>
    </row>
    <row r="26" spans="1:120" s="45" customFormat="1" ht="7.5" customHeight="1" thickBot="1">
      <c r="A26" s="48"/>
      <c r="B26" s="810"/>
      <c r="C26" s="811"/>
      <c r="D26" s="811"/>
      <c r="E26" s="811"/>
      <c r="F26" s="812"/>
      <c r="G26" s="3124"/>
      <c r="H26" s="3125"/>
      <c r="I26" s="3125"/>
      <c r="J26" s="3125"/>
      <c r="K26" s="3125"/>
      <c r="L26" s="3125"/>
      <c r="M26" s="3125"/>
      <c r="N26" s="3125"/>
      <c r="O26" s="3125"/>
      <c r="P26" s="3125"/>
      <c r="Q26" s="3125"/>
      <c r="R26" s="3125"/>
      <c r="S26" s="3125"/>
      <c r="T26" s="3125"/>
      <c r="U26" s="3125"/>
      <c r="V26" s="3125"/>
      <c r="W26" s="3125"/>
      <c r="X26" s="3125"/>
      <c r="Y26" s="3125"/>
      <c r="Z26" s="3125"/>
      <c r="AA26" s="3125"/>
      <c r="AB26" s="3125"/>
      <c r="AC26" s="3125"/>
      <c r="AD26" s="3126"/>
      <c r="AE26" s="820"/>
      <c r="AF26" s="820"/>
      <c r="AG26" s="820"/>
      <c r="AH26" s="820"/>
      <c r="AI26" s="820"/>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6"/>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8"/>
      <c r="DN26" s="49"/>
      <c r="DO26" s="49"/>
      <c r="DP26" s="49"/>
    </row>
    <row r="27" spans="1:120"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9"/>
      <c r="BJ27" s="550"/>
      <c r="BK27" s="550"/>
      <c r="BL27" s="550"/>
      <c r="BM27" s="551"/>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8"/>
      <c r="DN27" s="49"/>
      <c r="DO27" s="49"/>
      <c r="DP27" s="49"/>
    </row>
    <row r="28" spans="1:120" s="45" customFormat="1" ht="7.5" customHeight="1" thickTop="1">
      <c r="A28" s="48"/>
      <c r="B28" s="934" t="s">
        <v>792</v>
      </c>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6"/>
      <c r="AN28" s="940" t="s">
        <v>1149</v>
      </c>
      <c r="AO28" s="941"/>
      <c r="AP28" s="941"/>
      <c r="AQ28" s="942"/>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8"/>
      <c r="DN28" s="49"/>
      <c r="DO28" s="49"/>
      <c r="DP28" s="49"/>
    </row>
    <row r="29" spans="1:120" s="45" customFormat="1" ht="7.5" customHeight="1">
      <c r="A29" s="48"/>
      <c r="B29" s="937"/>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9"/>
      <c r="AN29" s="943"/>
      <c r="AO29" s="944"/>
      <c r="AP29" s="944"/>
      <c r="AQ29" s="945"/>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8"/>
      <c r="DN29" s="49"/>
      <c r="DO29" s="49"/>
      <c r="DP29" s="49"/>
    </row>
    <row r="30" spans="1:120" s="45" customFormat="1" ht="7.5" customHeight="1">
      <c r="A30" s="48"/>
      <c r="B30" s="1090" t="s">
        <v>72</v>
      </c>
      <c r="C30" s="1091"/>
      <c r="D30" s="1091"/>
      <c r="E30" s="1091"/>
      <c r="F30" s="1092"/>
      <c r="G30" s="3139"/>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0"/>
      <c r="AK30" s="3140"/>
      <c r="AL30" s="3140"/>
      <c r="AM30" s="3140"/>
      <c r="AN30" s="3140"/>
      <c r="AO30" s="3140"/>
      <c r="AP30" s="3140"/>
      <c r="AQ30" s="3140"/>
      <c r="AR30" s="3140"/>
      <c r="AS30" s="3140"/>
      <c r="AT30" s="3140"/>
      <c r="AU30" s="3140"/>
      <c r="AV30" s="3140"/>
      <c r="AW30" s="3140"/>
      <c r="AX30" s="3140"/>
      <c r="AY30" s="3140"/>
      <c r="AZ30" s="3140"/>
      <c r="BA30" s="3140"/>
      <c r="BB30" s="3140"/>
      <c r="BC30" s="3140"/>
      <c r="BD30" s="3140"/>
      <c r="BE30" s="3140"/>
      <c r="BF30" s="3141"/>
      <c r="BG30" s="48"/>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c r="DM30" s="44"/>
    </row>
    <row r="31" spans="1:120" s="45" customFormat="1" ht="7.5" customHeight="1" thickBot="1">
      <c r="A31" s="48"/>
      <c r="B31" s="1093" t="s">
        <v>794</v>
      </c>
      <c r="C31" s="1094"/>
      <c r="D31" s="1094"/>
      <c r="E31" s="1094"/>
      <c r="F31" s="1095"/>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c r="DM31" s="44"/>
    </row>
    <row r="32" spans="1:120" s="45" customFormat="1" ht="7.5" customHeight="1" thickBot="1">
      <c r="A32" s="48"/>
      <c r="B32" s="1096"/>
      <c r="C32" s="1097"/>
      <c r="D32" s="1097"/>
      <c r="E32" s="1097"/>
      <c r="F32" s="1098"/>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391"/>
      <c r="DK32" s="392"/>
      <c r="DL32" s="51"/>
      <c r="DM32" s="44"/>
    </row>
    <row r="33" spans="1:117" s="45" customFormat="1" ht="7.5" customHeight="1">
      <c r="A33" s="48"/>
      <c r="B33" s="1117" t="s">
        <v>75</v>
      </c>
      <c r="C33" s="1118"/>
      <c r="D33" s="1118"/>
      <c r="E33" s="1118"/>
      <c r="F33" s="1119"/>
      <c r="G33" s="3127" t="s">
        <v>73</v>
      </c>
      <c r="H33" s="3128"/>
      <c r="I33" s="3128"/>
      <c r="J33" s="3128"/>
      <c r="K33" s="3128"/>
      <c r="L33" s="3129"/>
      <c r="M33" s="3133"/>
      <c r="N33" s="3134"/>
      <c r="O33" s="3134"/>
      <c r="P33" s="3134"/>
      <c r="Q33" s="3134"/>
      <c r="R33" s="3134"/>
      <c r="S33" s="3134"/>
      <c r="T33" s="3134"/>
      <c r="U33" s="3134"/>
      <c r="V33" s="3134"/>
      <c r="W33" s="3135"/>
      <c r="X33" s="3127" t="s">
        <v>11</v>
      </c>
      <c r="Y33" s="3128"/>
      <c r="Z33" s="3128"/>
      <c r="AA33" s="3128"/>
      <c r="AB33" s="3128"/>
      <c r="AC33" s="3129"/>
      <c r="AD33" s="3133"/>
      <c r="AE33" s="3134"/>
      <c r="AF33" s="3134"/>
      <c r="AG33" s="3134"/>
      <c r="AH33" s="3134"/>
      <c r="AI33" s="3134"/>
      <c r="AJ33" s="3134"/>
      <c r="AK33" s="3134"/>
      <c r="AL33" s="3134"/>
      <c r="AM33" s="3134"/>
      <c r="AN33" s="3135"/>
      <c r="AO33" s="3127" t="s">
        <v>74</v>
      </c>
      <c r="AP33" s="3128"/>
      <c r="AQ33" s="3128"/>
      <c r="AR33" s="3128"/>
      <c r="AS33" s="3128"/>
      <c r="AT33" s="3129"/>
      <c r="AU33" s="3133"/>
      <c r="AV33" s="3134"/>
      <c r="AW33" s="3134"/>
      <c r="AX33" s="3134"/>
      <c r="AY33" s="3134"/>
      <c r="AZ33" s="3134"/>
      <c r="BA33" s="3134"/>
      <c r="BB33" s="3134"/>
      <c r="BC33" s="3134"/>
      <c r="BD33" s="3134"/>
      <c r="BE33" s="3134"/>
      <c r="BF33" s="3142"/>
      <c r="BG33" s="48"/>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511</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c r="DM33" s="44"/>
    </row>
    <row r="34" spans="1:117" s="45" customFormat="1" ht="7.5" customHeight="1">
      <c r="A34" s="48"/>
      <c r="B34" s="1120"/>
      <c r="C34" s="1121"/>
      <c r="D34" s="1121"/>
      <c r="E34" s="1121"/>
      <c r="F34" s="1122"/>
      <c r="G34" s="3130"/>
      <c r="H34" s="3131"/>
      <c r="I34" s="3131"/>
      <c r="J34" s="3131"/>
      <c r="K34" s="3131"/>
      <c r="L34" s="3132"/>
      <c r="M34" s="3136"/>
      <c r="N34" s="3137"/>
      <c r="O34" s="3137"/>
      <c r="P34" s="3137"/>
      <c r="Q34" s="3137"/>
      <c r="R34" s="3137"/>
      <c r="S34" s="3137"/>
      <c r="T34" s="3137"/>
      <c r="U34" s="3137"/>
      <c r="V34" s="3137"/>
      <c r="W34" s="3138"/>
      <c r="X34" s="3130"/>
      <c r="Y34" s="3131"/>
      <c r="Z34" s="3131"/>
      <c r="AA34" s="3131"/>
      <c r="AB34" s="3131"/>
      <c r="AC34" s="3132"/>
      <c r="AD34" s="3136"/>
      <c r="AE34" s="3137"/>
      <c r="AF34" s="3137"/>
      <c r="AG34" s="3137"/>
      <c r="AH34" s="3137"/>
      <c r="AI34" s="3137"/>
      <c r="AJ34" s="3137"/>
      <c r="AK34" s="3137"/>
      <c r="AL34" s="3137"/>
      <c r="AM34" s="3137"/>
      <c r="AN34" s="3138"/>
      <c r="AO34" s="3130"/>
      <c r="AP34" s="3131"/>
      <c r="AQ34" s="3131"/>
      <c r="AR34" s="3131"/>
      <c r="AS34" s="3131"/>
      <c r="AT34" s="3132"/>
      <c r="AU34" s="3136"/>
      <c r="AV34" s="3137"/>
      <c r="AW34" s="3137"/>
      <c r="AX34" s="3137"/>
      <c r="AY34" s="3137"/>
      <c r="AZ34" s="3137"/>
      <c r="BA34" s="3137"/>
      <c r="BB34" s="3137"/>
      <c r="BC34" s="3137"/>
      <c r="BD34" s="3137"/>
      <c r="BE34" s="3137"/>
      <c r="BF34" s="3143"/>
      <c r="BG34" s="48"/>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c r="DM34" s="44"/>
    </row>
    <row r="35" spans="1:117" s="45" customFormat="1" ht="7.5" customHeight="1">
      <c r="A35" s="48"/>
      <c r="B35" s="1120"/>
      <c r="C35" s="1121"/>
      <c r="D35" s="1121"/>
      <c r="E35" s="1121"/>
      <c r="F35" s="1122"/>
      <c r="G35" s="3127" t="s">
        <v>76</v>
      </c>
      <c r="H35" s="3128"/>
      <c r="I35" s="3128"/>
      <c r="J35" s="3128"/>
      <c r="K35" s="3128"/>
      <c r="L35" s="3129"/>
      <c r="M35" s="793"/>
      <c r="N35" s="794"/>
      <c r="O35" s="794"/>
      <c r="P35" s="794"/>
      <c r="Q35" s="794"/>
      <c r="R35" s="794"/>
      <c r="S35" s="794"/>
      <c r="T35" s="794"/>
      <c r="U35" s="794"/>
      <c r="V35" s="794"/>
      <c r="W35" s="794"/>
      <c r="X35" s="794"/>
      <c r="Y35" s="794"/>
      <c r="Z35" s="794"/>
      <c r="AA35" s="794"/>
      <c r="AB35" s="794"/>
      <c r="AC35" s="794"/>
      <c r="AD35" s="794"/>
      <c r="AE35" s="794"/>
      <c r="AF35" s="795"/>
      <c r="AG35" s="3127" t="s">
        <v>77</v>
      </c>
      <c r="AH35" s="3128"/>
      <c r="AI35" s="3128"/>
      <c r="AJ35" s="3128"/>
      <c r="AK35" s="3128"/>
      <c r="AL35" s="3129"/>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c r="DM35" s="44"/>
    </row>
    <row r="36" spans="1:117" s="45" customFormat="1" ht="7.5" customHeight="1">
      <c r="A36" s="48"/>
      <c r="B36" s="1123"/>
      <c r="C36" s="1124"/>
      <c r="D36" s="1124"/>
      <c r="E36" s="1124"/>
      <c r="F36" s="1125"/>
      <c r="G36" s="3130"/>
      <c r="H36" s="3131"/>
      <c r="I36" s="3131"/>
      <c r="J36" s="3131"/>
      <c r="K36" s="3131"/>
      <c r="L36" s="3132"/>
      <c r="M36" s="796"/>
      <c r="N36" s="797"/>
      <c r="O36" s="797"/>
      <c r="P36" s="797"/>
      <c r="Q36" s="797"/>
      <c r="R36" s="797"/>
      <c r="S36" s="797"/>
      <c r="T36" s="797"/>
      <c r="U36" s="797"/>
      <c r="V36" s="797"/>
      <c r="W36" s="797"/>
      <c r="X36" s="797"/>
      <c r="Y36" s="797"/>
      <c r="Z36" s="797"/>
      <c r="AA36" s="797"/>
      <c r="AB36" s="797"/>
      <c r="AC36" s="797"/>
      <c r="AD36" s="797"/>
      <c r="AE36" s="797"/>
      <c r="AF36" s="798"/>
      <c r="AG36" s="3130"/>
      <c r="AH36" s="3131"/>
      <c r="AI36" s="3131"/>
      <c r="AJ36" s="3131"/>
      <c r="AK36" s="3131"/>
      <c r="AL36" s="3132"/>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c r="DM36" s="44"/>
    </row>
    <row r="37" spans="1:117" s="45" customFormat="1" ht="7.5" customHeight="1">
      <c r="A37" s="48"/>
      <c r="B37" s="1138" t="s">
        <v>795</v>
      </c>
      <c r="C37" s="1139"/>
      <c r="D37" s="1139"/>
      <c r="E37" s="1139"/>
      <c r="F37" s="1140"/>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3162" t="s">
        <v>72</v>
      </c>
      <c r="AC37" s="3162"/>
      <c r="AD37" s="3162"/>
      <c r="AE37" s="3162"/>
      <c r="AF37" s="3163"/>
      <c r="AG37" s="3164"/>
      <c r="AH37" s="3145"/>
      <c r="AI37" s="3145"/>
      <c r="AJ37" s="3145"/>
      <c r="AK37" s="3145"/>
      <c r="AL37" s="3145"/>
      <c r="AM37" s="3145"/>
      <c r="AN37" s="3145"/>
      <c r="AO37" s="3145"/>
      <c r="AP37" s="3145"/>
      <c r="AQ37" s="3145"/>
      <c r="AR37" s="3145"/>
      <c r="AS37" s="3145"/>
      <c r="AT37" s="3144"/>
      <c r="AU37" s="3145"/>
      <c r="AV37" s="3145"/>
      <c r="AW37" s="3145"/>
      <c r="AX37" s="3145"/>
      <c r="AY37" s="3145"/>
      <c r="AZ37" s="3145"/>
      <c r="BA37" s="3145"/>
      <c r="BB37" s="3145"/>
      <c r="BC37" s="3145"/>
      <c r="BD37" s="3145"/>
      <c r="BE37" s="3145"/>
      <c r="BF37" s="3146"/>
      <c r="BG37" s="48"/>
      <c r="BH37" s="48"/>
      <c r="BI37" s="855"/>
      <c r="BJ37" s="856"/>
      <c r="BK37" s="547"/>
      <c r="BL37" s="547"/>
      <c r="BM37" s="548"/>
      <c r="BN37" s="969" t="s">
        <v>73</v>
      </c>
      <c r="BO37" s="970"/>
      <c r="BP37" s="970"/>
      <c r="BQ37" s="970"/>
      <c r="BR37" s="970"/>
      <c r="BS37" s="971"/>
      <c r="BT37" s="793"/>
      <c r="BU37" s="794"/>
      <c r="BV37" s="794"/>
      <c r="BW37" s="794"/>
      <c r="BX37" s="794"/>
      <c r="BY37" s="794"/>
      <c r="BZ37" s="794"/>
      <c r="CA37" s="794"/>
      <c r="CB37" s="794"/>
      <c r="CC37" s="794"/>
      <c r="CD37" s="795"/>
      <c r="CE37" s="969" t="s">
        <v>11</v>
      </c>
      <c r="CF37" s="970"/>
      <c r="CG37" s="970"/>
      <c r="CH37" s="970"/>
      <c r="CI37" s="970"/>
      <c r="CJ37" s="971"/>
      <c r="CK37" s="793"/>
      <c r="CL37" s="794"/>
      <c r="CM37" s="794"/>
      <c r="CN37" s="794"/>
      <c r="CO37" s="794"/>
      <c r="CP37" s="794"/>
      <c r="CQ37" s="794"/>
      <c r="CR37" s="794"/>
      <c r="CS37" s="794"/>
      <c r="CT37" s="794"/>
      <c r="CU37" s="795"/>
      <c r="CV37" s="969" t="s">
        <v>74</v>
      </c>
      <c r="CW37" s="970"/>
      <c r="CX37" s="970"/>
      <c r="CY37" s="970"/>
      <c r="CZ37" s="970"/>
      <c r="DA37" s="971"/>
      <c r="DB37" s="793"/>
      <c r="DC37" s="794"/>
      <c r="DD37" s="794"/>
      <c r="DE37" s="794"/>
      <c r="DF37" s="794"/>
      <c r="DG37" s="794"/>
      <c r="DH37" s="794"/>
      <c r="DI37" s="794"/>
      <c r="DJ37" s="794"/>
      <c r="DK37" s="805"/>
      <c r="DL37" s="44"/>
      <c r="DM37" s="44"/>
    </row>
    <row r="38" spans="1:117" s="45" customFormat="1" ht="7.5" customHeight="1">
      <c r="A38" s="48"/>
      <c r="B38" s="1141"/>
      <c r="C38" s="1142"/>
      <c r="D38" s="1142"/>
      <c r="E38" s="1142"/>
      <c r="F38" s="1143"/>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3147" t="s">
        <v>797</v>
      </c>
      <c r="AC38" s="3148"/>
      <c r="AD38" s="3148"/>
      <c r="AE38" s="3148"/>
      <c r="AF38" s="3149"/>
      <c r="AG38" s="3151"/>
      <c r="AH38" s="3152"/>
      <c r="AI38" s="3152"/>
      <c r="AJ38" s="3152"/>
      <c r="AK38" s="3152"/>
      <c r="AL38" s="3152"/>
      <c r="AM38" s="3152"/>
      <c r="AN38" s="3152"/>
      <c r="AO38" s="3152"/>
      <c r="AP38" s="3152"/>
      <c r="AQ38" s="3152"/>
      <c r="AR38" s="3152"/>
      <c r="AS38" s="3152"/>
      <c r="AT38" s="3155"/>
      <c r="AU38" s="3156"/>
      <c r="AV38" s="3156"/>
      <c r="AW38" s="3156"/>
      <c r="AX38" s="3156"/>
      <c r="AY38" s="3156"/>
      <c r="AZ38" s="3156"/>
      <c r="BA38" s="3156"/>
      <c r="BB38" s="3156"/>
      <c r="BC38" s="3156"/>
      <c r="BD38" s="3156"/>
      <c r="BE38" s="3156"/>
      <c r="BF38" s="3157"/>
      <c r="BG38" s="48"/>
      <c r="BH38" s="48"/>
      <c r="BI38" s="957" t="s">
        <v>75</v>
      </c>
      <c r="BJ38" s="958"/>
      <c r="BK38" s="958"/>
      <c r="BL38" s="958"/>
      <c r="BM38" s="959"/>
      <c r="BN38" s="972"/>
      <c r="BO38" s="973"/>
      <c r="BP38" s="973"/>
      <c r="BQ38" s="973"/>
      <c r="BR38" s="973"/>
      <c r="BS38" s="974"/>
      <c r="BT38" s="796"/>
      <c r="BU38" s="797"/>
      <c r="BV38" s="797"/>
      <c r="BW38" s="797"/>
      <c r="BX38" s="797"/>
      <c r="BY38" s="797"/>
      <c r="BZ38" s="797"/>
      <c r="CA38" s="797"/>
      <c r="CB38" s="797"/>
      <c r="CC38" s="797"/>
      <c r="CD38" s="798"/>
      <c r="CE38" s="972"/>
      <c r="CF38" s="973"/>
      <c r="CG38" s="973"/>
      <c r="CH38" s="973"/>
      <c r="CI38" s="973"/>
      <c r="CJ38" s="974"/>
      <c r="CK38" s="796"/>
      <c r="CL38" s="797"/>
      <c r="CM38" s="797"/>
      <c r="CN38" s="797"/>
      <c r="CO38" s="797"/>
      <c r="CP38" s="797"/>
      <c r="CQ38" s="797"/>
      <c r="CR38" s="797"/>
      <c r="CS38" s="797"/>
      <c r="CT38" s="797"/>
      <c r="CU38" s="798"/>
      <c r="CV38" s="972"/>
      <c r="CW38" s="973"/>
      <c r="CX38" s="973"/>
      <c r="CY38" s="973"/>
      <c r="CZ38" s="973"/>
      <c r="DA38" s="974"/>
      <c r="DB38" s="796"/>
      <c r="DC38" s="797"/>
      <c r="DD38" s="797"/>
      <c r="DE38" s="797"/>
      <c r="DF38" s="797"/>
      <c r="DG38" s="797"/>
      <c r="DH38" s="797"/>
      <c r="DI38" s="797"/>
      <c r="DJ38" s="797"/>
      <c r="DK38" s="806"/>
      <c r="DL38" s="44"/>
      <c r="DM38" s="44"/>
    </row>
    <row r="39" spans="1:117" s="45" customFormat="1" ht="7.5" customHeight="1">
      <c r="A39" s="48"/>
      <c r="B39" s="1144"/>
      <c r="C39" s="1145"/>
      <c r="D39" s="1145"/>
      <c r="E39" s="1145"/>
      <c r="F39" s="1146"/>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3150"/>
      <c r="AC39" s="1145"/>
      <c r="AD39" s="1145"/>
      <c r="AE39" s="1145"/>
      <c r="AF39" s="1146"/>
      <c r="AG39" s="3153"/>
      <c r="AH39" s="3154"/>
      <c r="AI39" s="3154"/>
      <c r="AJ39" s="3154"/>
      <c r="AK39" s="3154"/>
      <c r="AL39" s="3154"/>
      <c r="AM39" s="3154"/>
      <c r="AN39" s="3154"/>
      <c r="AO39" s="3154"/>
      <c r="AP39" s="3154"/>
      <c r="AQ39" s="3154"/>
      <c r="AR39" s="3154"/>
      <c r="AS39" s="3154"/>
      <c r="AT39" s="3158"/>
      <c r="AU39" s="3154"/>
      <c r="AV39" s="3154"/>
      <c r="AW39" s="3154"/>
      <c r="AX39" s="3154"/>
      <c r="AY39" s="3154"/>
      <c r="AZ39" s="3154"/>
      <c r="BA39" s="3154"/>
      <c r="BB39" s="3154"/>
      <c r="BC39" s="3154"/>
      <c r="BD39" s="3154"/>
      <c r="BE39" s="3154"/>
      <c r="BF39" s="3159"/>
      <c r="BG39" s="48"/>
      <c r="BH39" s="48"/>
      <c r="BI39" s="957"/>
      <c r="BJ39" s="958"/>
      <c r="BK39" s="958"/>
      <c r="BL39" s="958"/>
      <c r="BM39" s="959"/>
      <c r="BN39" s="969" t="s">
        <v>76</v>
      </c>
      <c r="BO39" s="970"/>
      <c r="BP39" s="970"/>
      <c r="BQ39" s="970"/>
      <c r="BR39" s="970"/>
      <c r="BS39" s="971"/>
      <c r="BT39" s="793"/>
      <c r="BU39" s="794"/>
      <c r="BV39" s="794"/>
      <c r="BW39" s="794"/>
      <c r="BX39" s="794"/>
      <c r="BY39" s="794"/>
      <c r="BZ39" s="794"/>
      <c r="CA39" s="794"/>
      <c r="CB39" s="794"/>
      <c r="CC39" s="794"/>
      <c r="CD39" s="794"/>
      <c r="CE39" s="794"/>
      <c r="CF39" s="794"/>
      <c r="CG39" s="794"/>
      <c r="CH39" s="794"/>
      <c r="CI39" s="794"/>
      <c r="CJ39" s="794"/>
      <c r="CK39" s="794"/>
      <c r="CL39" s="794"/>
      <c r="CM39" s="795"/>
      <c r="CN39" s="969" t="s">
        <v>77</v>
      </c>
      <c r="CO39" s="970"/>
      <c r="CP39" s="970"/>
      <c r="CQ39" s="970"/>
      <c r="CR39" s="970"/>
      <c r="CS39" s="971"/>
      <c r="CT39" s="928"/>
      <c r="CU39" s="929"/>
      <c r="CV39" s="929"/>
      <c r="CW39" s="929"/>
      <c r="CX39" s="929"/>
      <c r="CY39" s="929"/>
      <c r="CZ39" s="929"/>
      <c r="DA39" s="929"/>
      <c r="DB39" s="929"/>
      <c r="DC39" s="929"/>
      <c r="DD39" s="929"/>
      <c r="DE39" s="929"/>
      <c r="DF39" s="929"/>
      <c r="DG39" s="929"/>
      <c r="DH39" s="929"/>
      <c r="DI39" s="929"/>
      <c r="DJ39" s="929"/>
      <c r="DK39" s="930"/>
      <c r="DL39" s="44"/>
      <c r="DM39" s="44"/>
    </row>
    <row r="40" spans="1:117" s="45" customFormat="1" ht="7.5" customHeight="1">
      <c r="A40" s="48"/>
      <c r="B40" s="1138" t="s">
        <v>570</v>
      </c>
      <c r="C40" s="1139"/>
      <c r="D40" s="1139"/>
      <c r="E40" s="1139"/>
      <c r="F40" s="1140"/>
      <c r="G40" s="3165"/>
      <c r="H40" s="3166"/>
      <c r="I40" s="3166"/>
      <c r="J40" s="3166"/>
      <c r="K40" s="3166"/>
      <c r="L40" s="3166"/>
      <c r="M40" s="3166"/>
      <c r="N40" s="3166"/>
      <c r="O40" s="3166"/>
      <c r="P40" s="3166"/>
      <c r="Q40" s="3166"/>
      <c r="R40" s="3166"/>
      <c r="S40" s="3166"/>
      <c r="T40" s="3166"/>
      <c r="U40" s="3166"/>
      <c r="V40" s="3166"/>
      <c r="W40" s="3166"/>
      <c r="X40" s="3166"/>
      <c r="Y40" s="3166"/>
      <c r="Z40" s="3166"/>
      <c r="AA40" s="3167"/>
      <c r="AB40" s="3127" t="s">
        <v>569</v>
      </c>
      <c r="AC40" s="1139"/>
      <c r="AD40" s="1139"/>
      <c r="AE40" s="1139"/>
      <c r="AF40" s="1140"/>
      <c r="AG40" s="3172"/>
      <c r="AH40" s="3173"/>
      <c r="AI40" s="3173"/>
      <c r="AJ40" s="3173"/>
      <c r="AK40" s="3173"/>
      <c r="AL40" s="3173"/>
      <c r="AM40" s="3173"/>
      <c r="AN40" s="3173"/>
      <c r="AO40" s="3173"/>
      <c r="AP40" s="3173"/>
      <c r="AQ40" s="3173"/>
      <c r="AR40" s="3173"/>
      <c r="AS40" s="3173"/>
      <c r="AT40" s="3173"/>
      <c r="AU40" s="3173"/>
      <c r="AV40" s="3173"/>
      <c r="AW40" s="3173"/>
      <c r="AX40" s="3173"/>
      <c r="AY40" s="3173"/>
      <c r="AZ40" s="3173"/>
      <c r="BA40" s="3173"/>
      <c r="BB40" s="3173"/>
      <c r="BC40" s="3173"/>
      <c r="BD40" s="3173"/>
      <c r="BE40" s="3173"/>
      <c r="BF40" s="3174"/>
      <c r="BG40" s="48"/>
      <c r="BH40" s="48"/>
      <c r="BI40" s="549"/>
      <c r="BJ40" s="550"/>
      <c r="BK40" s="550"/>
      <c r="BL40" s="550"/>
      <c r="BM40" s="551"/>
      <c r="BN40" s="972"/>
      <c r="BO40" s="973"/>
      <c r="BP40" s="973"/>
      <c r="BQ40" s="973"/>
      <c r="BR40" s="973"/>
      <c r="BS40" s="974"/>
      <c r="BT40" s="796"/>
      <c r="BU40" s="797"/>
      <c r="BV40" s="797"/>
      <c r="BW40" s="797"/>
      <c r="BX40" s="797"/>
      <c r="BY40" s="797"/>
      <c r="BZ40" s="797"/>
      <c r="CA40" s="797"/>
      <c r="CB40" s="797"/>
      <c r="CC40" s="797"/>
      <c r="CD40" s="797"/>
      <c r="CE40" s="797"/>
      <c r="CF40" s="797"/>
      <c r="CG40" s="797"/>
      <c r="CH40" s="797"/>
      <c r="CI40" s="797"/>
      <c r="CJ40" s="797"/>
      <c r="CK40" s="797"/>
      <c r="CL40" s="797"/>
      <c r="CM40" s="798"/>
      <c r="CN40" s="972"/>
      <c r="CO40" s="973"/>
      <c r="CP40" s="973"/>
      <c r="CQ40" s="973"/>
      <c r="CR40" s="973"/>
      <c r="CS40" s="974"/>
      <c r="CT40" s="931"/>
      <c r="CU40" s="932"/>
      <c r="CV40" s="932"/>
      <c r="CW40" s="932"/>
      <c r="CX40" s="932"/>
      <c r="CY40" s="932"/>
      <c r="CZ40" s="932"/>
      <c r="DA40" s="932"/>
      <c r="DB40" s="932"/>
      <c r="DC40" s="932"/>
      <c r="DD40" s="932"/>
      <c r="DE40" s="932"/>
      <c r="DF40" s="932"/>
      <c r="DG40" s="932"/>
      <c r="DH40" s="932"/>
      <c r="DI40" s="932"/>
      <c r="DJ40" s="932"/>
      <c r="DK40" s="933"/>
      <c r="DL40" s="44"/>
      <c r="DM40" s="44"/>
    </row>
    <row r="41" spans="1:117" s="45" customFormat="1" ht="7.5" customHeight="1" thickBot="1">
      <c r="A41" s="48"/>
      <c r="B41" s="1147"/>
      <c r="C41" s="1148"/>
      <c r="D41" s="1148"/>
      <c r="E41" s="1148"/>
      <c r="F41" s="1149"/>
      <c r="G41" s="3168"/>
      <c r="H41" s="3169"/>
      <c r="I41" s="3169"/>
      <c r="J41" s="3169"/>
      <c r="K41" s="3169"/>
      <c r="L41" s="3169"/>
      <c r="M41" s="3169"/>
      <c r="N41" s="3169"/>
      <c r="O41" s="3169"/>
      <c r="P41" s="3169"/>
      <c r="Q41" s="3169"/>
      <c r="R41" s="3169"/>
      <c r="S41" s="3169"/>
      <c r="T41" s="3169"/>
      <c r="U41" s="3169"/>
      <c r="V41" s="3169"/>
      <c r="W41" s="3169"/>
      <c r="X41" s="3169"/>
      <c r="Y41" s="3169"/>
      <c r="Z41" s="3169"/>
      <c r="AA41" s="3170"/>
      <c r="AB41" s="3171"/>
      <c r="AC41" s="1148"/>
      <c r="AD41" s="1148"/>
      <c r="AE41" s="1148"/>
      <c r="AF41" s="1149"/>
      <c r="AG41" s="3175"/>
      <c r="AH41" s="3176"/>
      <c r="AI41" s="3176"/>
      <c r="AJ41" s="3176"/>
      <c r="AK41" s="3176"/>
      <c r="AL41" s="3176"/>
      <c r="AM41" s="3176"/>
      <c r="AN41" s="3176"/>
      <c r="AO41" s="3176"/>
      <c r="AP41" s="3176"/>
      <c r="AQ41" s="3176"/>
      <c r="AR41" s="3176"/>
      <c r="AS41" s="3176"/>
      <c r="AT41" s="3176"/>
      <c r="AU41" s="3176"/>
      <c r="AV41" s="3176"/>
      <c r="AW41" s="3176"/>
      <c r="AX41" s="3176"/>
      <c r="AY41" s="3176"/>
      <c r="AZ41" s="3176"/>
      <c r="BA41" s="3176"/>
      <c r="BB41" s="3176"/>
      <c r="BC41" s="3176"/>
      <c r="BD41" s="3176"/>
      <c r="BE41" s="3176"/>
      <c r="BF41" s="3177"/>
      <c r="BG41" s="48"/>
      <c r="BH41" s="48"/>
      <c r="BI41" s="960" t="s">
        <v>567</v>
      </c>
      <c r="BJ41" s="961"/>
      <c r="BK41" s="961"/>
      <c r="BL41" s="961"/>
      <c r="BM41" s="962"/>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1002" t="s">
        <v>266</v>
      </c>
      <c r="CL41" s="961"/>
      <c r="CM41" s="961"/>
      <c r="CN41" s="961"/>
      <c r="CO41" s="962"/>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c r="DM41" s="44"/>
    </row>
    <row r="42" spans="1:117" s="45" customFormat="1"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48"/>
      <c r="BH42" s="48"/>
      <c r="BI42" s="960"/>
      <c r="BJ42" s="961"/>
      <c r="BK42" s="961"/>
      <c r="BL42" s="961"/>
      <c r="BM42" s="962"/>
      <c r="BN42" s="950"/>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1002"/>
      <c r="CL42" s="961"/>
      <c r="CM42" s="961"/>
      <c r="CN42" s="961"/>
      <c r="CO42" s="962"/>
      <c r="CP42" s="954"/>
      <c r="CQ42" s="955"/>
      <c r="CR42" s="955"/>
      <c r="CS42" s="955"/>
      <c r="CT42" s="955"/>
      <c r="CU42" s="955"/>
      <c r="CV42" s="955"/>
      <c r="CW42" s="955"/>
      <c r="CX42" s="955"/>
      <c r="CY42" s="955"/>
      <c r="CZ42" s="955"/>
      <c r="DA42" s="955"/>
      <c r="DB42" s="955"/>
      <c r="DC42" s="955"/>
      <c r="DD42" s="955"/>
      <c r="DE42" s="955"/>
      <c r="DF42" s="955"/>
      <c r="DG42" s="955"/>
      <c r="DH42" s="955"/>
      <c r="DI42" s="955"/>
      <c r="DJ42" s="955"/>
      <c r="DK42" s="956"/>
      <c r="DL42" s="50"/>
      <c r="DM42" s="44"/>
    </row>
    <row r="43" spans="1:117" s="45" customFormat="1" ht="7.5" customHeigh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48"/>
      <c r="BH43" s="48"/>
      <c r="BI43" s="835" t="s">
        <v>570</v>
      </c>
      <c r="BJ43" s="836"/>
      <c r="BK43" s="836"/>
      <c r="BL43" s="836"/>
      <c r="BM43" s="837"/>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902" t="s">
        <v>569</v>
      </c>
      <c r="CL43" s="836"/>
      <c r="CM43" s="836"/>
      <c r="CN43" s="836"/>
      <c r="CO43" s="837"/>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c r="DM43" s="44"/>
    </row>
    <row r="44" spans="1:117" s="45" customFormat="1"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I44" s="986"/>
      <c r="BJ44" s="987"/>
      <c r="BK44" s="987"/>
      <c r="BL44" s="987"/>
      <c r="BM44" s="9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995"/>
      <c r="CL44" s="987"/>
      <c r="CM44" s="987"/>
      <c r="CN44" s="987"/>
      <c r="CO44" s="9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c r="DM44" s="44"/>
    </row>
    <row r="45" spans="1:117" s="45" customFormat="1" ht="7.5" customHeight="1" thickTop="1">
      <c r="A45" s="48"/>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c r="AS45" s="2298"/>
      <c r="AT45" s="2298"/>
      <c r="AU45" s="2298"/>
      <c r="AV45" s="2298"/>
      <c r="AW45" s="2298"/>
      <c r="AX45" s="2298"/>
      <c r="AY45" s="2298"/>
      <c r="AZ45" s="2298"/>
      <c r="BA45" s="2298"/>
      <c r="BB45" s="2298"/>
      <c r="BC45" s="2298"/>
      <c r="BD45" s="2298"/>
      <c r="BG45" s="48"/>
      <c r="BH45" s="48"/>
      <c r="DC45" s="334"/>
      <c r="DD45" s="334"/>
      <c r="DE45" s="334"/>
      <c r="DF45" s="334"/>
      <c r="DG45" s="334"/>
      <c r="DH45" s="334"/>
      <c r="DI45" s="334"/>
      <c r="DJ45" s="334"/>
      <c r="DK45" s="334"/>
      <c r="DL45" s="52"/>
      <c r="DM45" s="44"/>
    </row>
    <row r="46" spans="1:117" s="45" customFormat="1" ht="7.5" customHeight="1" thickBot="1">
      <c r="A46" s="48"/>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c r="AS46" s="2298"/>
      <c r="AT46" s="2298"/>
      <c r="AU46" s="2298"/>
      <c r="AV46" s="2298"/>
      <c r="AW46" s="2298"/>
      <c r="AX46" s="2298"/>
      <c r="AY46" s="2298"/>
      <c r="AZ46" s="2298"/>
      <c r="BA46" s="2298"/>
      <c r="BB46" s="2298"/>
      <c r="BC46" s="2298"/>
      <c r="BD46" s="2298"/>
      <c r="BG46" s="48"/>
      <c r="BH46" s="48"/>
      <c r="DC46" s="334"/>
      <c r="DD46" s="334"/>
      <c r="DE46" s="334"/>
      <c r="DF46" s="334"/>
      <c r="DG46" s="334"/>
      <c r="DH46" s="334"/>
      <c r="DI46" s="334"/>
      <c r="DJ46" s="334"/>
      <c r="DK46" s="334"/>
      <c r="DL46" s="52"/>
      <c r="DM46" s="44"/>
    </row>
    <row r="47" spans="1:117" s="45" customFormat="1" ht="7.5" customHeight="1" thickTop="1" thickBot="1">
      <c r="A47" s="48"/>
      <c r="B47" s="934" t="s">
        <v>793</v>
      </c>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1069"/>
      <c r="AM47" s="1070"/>
      <c r="AN47" s="1070"/>
      <c r="AO47" s="1070"/>
      <c r="AP47" s="1070"/>
      <c r="AQ47" s="1070"/>
      <c r="AR47" s="1070"/>
      <c r="AS47" s="1070"/>
      <c r="AT47" s="1070"/>
      <c r="AU47" s="1070"/>
      <c r="AV47" s="1070"/>
      <c r="AW47" s="1070"/>
      <c r="AX47" s="1070"/>
      <c r="AY47" s="1070"/>
      <c r="AZ47" s="1070"/>
      <c r="BA47" s="1070"/>
      <c r="BB47" s="1070"/>
      <c r="BC47" s="1070"/>
      <c r="BD47" s="1070"/>
      <c r="BE47" s="1070"/>
      <c r="BF47" s="1071"/>
      <c r="BG47" s="48"/>
      <c r="BH47" s="48"/>
      <c r="DC47" s="334"/>
      <c r="DD47" s="334"/>
      <c r="DE47" s="334"/>
      <c r="DF47" s="334"/>
      <c r="DG47" s="334"/>
      <c r="DH47" s="334"/>
      <c r="DI47" s="334"/>
      <c r="DJ47" s="334"/>
      <c r="DK47" s="334"/>
      <c r="DL47" s="44"/>
      <c r="DM47" s="44"/>
    </row>
    <row r="48" spans="1:117" s="45" customFormat="1" ht="7.5" customHeight="1" thickTop="1">
      <c r="A48" s="48"/>
      <c r="B48" s="937"/>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1072"/>
      <c r="AM48" s="1073"/>
      <c r="AN48" s="1073"/>
      <c r="AO48" s="1073"/>
      <c r="AP48" s="1073"/>
      <c r="AQ48" s="1073"/>
      <c r="AR48" s="1073"/>
      <c r="AS48" s="1073"/>
      <c r="AT48" s="1073"/>
      <c r="AU48" s="1073"/>
      <c r="AV48" s="1073"/>
      <c r="AW48" s="1073"/>
      <c r="AX48" s="1073"/>
      <c r="AY48" s="1073"/>
      <c r="AZ48" s="1073"/>
      <c r="BA48" s="1073"/>
      <c r="BB48" s="1073"/>
      <c r="BC48" s="1073"/>
      <c r="BD48" s="1073"/>
      <c r="BE48" s="1073"/>
      <c r="BF48" s="1074"/>
      <c r="BG48" s="48"/>
      <c r="BH48" s="48"/>
      <c r="BI48" s="1075" t="s">
        <v>572</v>
      </c>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7"/>
      <c r="DC48" s="1081" t="s">
        <v>263</v>
      </c>
      <c r="DD48" s="1082"/>
      <c r="DE48" s="1082"/>
      <c r="DF48" s="1082"/>
      <c r="DG48" s="1082"/>
      <c r="DH48" s="1082"/>
      <c r="DI48" s="1082"/>
      <c r="DJ48" s="1082"/>
      <c r="DK48" s="1083"/>
      <c r="DL48" s="44"/>
      <c r="DM48" s="44"/>
    </row>
    <row r="49" spans="1:157" s="45" customFormat="1" ht="7.5" customHeight="1">
      <c r="A49" s="48"/>
      <c r="B49" s="1090" t="s">
        <v>72</v>
      </c>
      <c r="C49" s="1091"/>
      <c r="D49" s="1091"/>
      <c r="E49" s="1091"/>
      <c r="F49" s="1092"/>
      <c r="G49" s="3139"/>
      <c r="H49" s="3140"/>
      <c r="I49" s="3140"/>
      <c r="J49" s="3140"/>
      <c r="K49" s="3140"/>
      <c r="L49" s="3140"/>
      <c r="M49" s="3140"/>
      <c r="N49" s="3140"/>
      <c r="O49" s="3140"/>
      <c r="P49" s="3140"/>
      <c r="Q49" s="3140"/>
      <c r="R49" s="3140"/>
      <c r="S49" s="3140"/>
      <c r="T49" s="3140"/>
      <c r="U49" s="3140"/>
      <c r="V49" s="3140"/>
      <c r="W49" s="3140"/>
      <c r="X49" s="3140"/>
      <c r="Y49" s="3140"/>
      <c r="Z49" s="3140"/>
      <c r="AA49" s="3140"/>
      <c r="AB49" s="3140"/>
      <c r="AC49" s="3140"/>
      <c r="AD49" s="3140"/>
      <c r="AE49" s="3140"/>
      <c r="AF49" s="3140"/>
      <c r="AG49" s="3140"/>
      <c r="AH49" s="3140"/>
      <c r="AI49" s="3140"/>
      <c r="AJ49" s="3140"/>
      <c r="AK49" s="3140"/>
      <c r="AL49" s="3140"/>
      <c r="AM49" s="3140"/>
      <c r="AN49" s="3140"/>
      <c r="AO49" s="3140"/>
      <c r="AP49" s="3140"/>
      <c r="AQ49" s="3140"/>
      <c r="AR49" s="3140"/>
      <c r="AS49" s="3140"/>
      <c r="AT49" s="3140"/>
      <c r="AU49" s="3140"/>
      <c r="AV49" s="3140"/>
      <c r="AW49" s="3140"/>
      <c r="AX49" s="3140"/>
      <c r="AY49" s="3140"/>
      <c r="AZ49" s="3140"/>
      <c r="BA49" s="3140"/>
      <c r="BB49" s="3140"/>
      <c r="BC49" s="3140"/>
      <c r="BD49" s="3140"/>
      <c r="BE49" s="3140"/>
      <c r="BF49" s="3141"/>
      <c r="BG49" s="48"/>
      <c r="BH49" s="48"/>
      <c r="BI49" s="1078"/>
      <c r="BJ49" s="1079"/>
      <c r="BK49" s="1079"/>
      <c r="BL49" s="1079"/>
      <c r="BM49" s="1079"/>
      <c r="BN49" s="1079"/>
      <c r="BO49" s="1079"/>
      <c r="BP49" s="1079"/>
      <c r="BQ49" s="1079"/>
      <c r="BR49" s="1079"/>
      <c r="BS49" s="1079"/>
      <c r="BT49" s="1079"/>
      <c r="BU49" s="1079"/>
      <c r="BV49" s="1079"/>
      <c r="BW49" s="1079"/>
      <c r="BX49" s="1079"/>
      <c r="BY49" s="1079"/>
      <c r="BZ49" s="1079"/>
      <c r="CA49" s="1079"/>
      <c r="CB49" s="1079"/>
      <c r="CC49" s="1079"/>
      <c r="CD49" s="1079"/>
      <c r="CE49" s="1079"/>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80"/>
      <c r="DC49" s="1084"/>
      <c r="DD49" s="1085"/>
      <c r="DE49" s="1085"/>
      <c r="DF49" s="1085"/>
      <c r="DG49" s="1085"/>
      <c r="DH49" s="1085"/>
      <c r="DI49" s="1085"/>
      <c r="DJ49" s="1085"/>
      <c r="DK49" s="1086"/>
      <c r="DL49" s="44"/>
      <c r="DM49" s="44"/>
    </row>
    <row r="50" spans="1:157" s="45" customFormat="1" ht="7.5" customHeight="1">
      <c r="A50" s="48"/>
      <c r="B50" s="1093" t="s">
        <v>794</v>
      </c>
      <c r="C50" s="1094"/>
      <c r="D50" s="1094"/>
      <c r="E50" s="1094"/>
      <c r="F50" s="1095"/>
      <c r="G50" s="1099" t="s">
        <v>1605</v>
      </c>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3160" t="s">
        <v>1260</v>
      </c>
      <c r="AP50" s="1103"/>
      <c r="AQ50" s="1103"/>
      <c r="AR50" s="1103"/>
      <c r="AS50" s="1103"/>
      <c r="AT50" s="1103"/>
      <c r="AU50" s="1103"/>
      <c r="AV50" s="1103"/>
      <c r="AW50" s="1103"/>
      <c r="AX50" s="1103"/>
      <c r="AY50" s="1103"/>
      <c r="AZ50" s="1104"/>
      <c r="BA50" s="1107"/>
      <c r="BB50" s="1107"/>
      <c r="BC50" s="1107"/>
      <c r="BD50" s="1107"/>
      <c r="BE50" s="1107"/>
      <c r="BF50" s="1108"/>
      <c r="BG50" s="48"/>
      <c r="BH50" s="48"/>
      <c r="BI50" s="1111"/>
      <c r="BJ50" s="1112"/>
      <c r="BK50" s="1112"/>
      <c r="BL50" s="1112"/>
      <c r="BM50" s="1112"/>
      <c r="BN50" s="1112"/>
      <c r="BO50" s="1112"/>
      <c r="BP50" s="1112"/>
      <c r="BQ50" s="1112"/>
      <c r="BR50" s="1112"/>
      <c r="BS50" s="1112"/>
      <c r="BT50" s="1112"/>
      <c r="BU50" s="1112"/>
      <c r="BV50" s="1112"/>
      <c r="BW50" s="1112"/>
      <c r="BX50" s="1112"/>
      <c r="BY50" s="1112"/>
      <c r="BZ50" s="1112"/>
      <c r="CA50" s="1112"/>
      <c r="CB50" s="1112"/>
      <c r="CC50" s="1112"/>
      <c r="CD50" s="1112"/>
      <c r="CE50" s="1112"/>
      <c r="CF50" s="1112"/>
      <c r="CG50" s="1112"/>
      <c r="CH50" s="1112"/>
      <c r="CI50" s="1112"/>
      <c r="CJ50" s="1112"/>
      <c r="CK50" s="1112"/>
      <c r="CL50" s="1112"/>
      <c r="CM50" s="1112"/>
      <c r="CN50" s="1112"/>
      <c r="CO50" s="1112"/>
      <c r="CP50" s="1112"/>
      <c r="CQ50" s="1112"/>
      <c r="CR50" s="1112"/>
      <c r="CS50" s="1112"/>
      <c r="CT50" s="1112"/>
      <c r="CU50" s="1112"/>
      <c r="CV50" s="1112"/>
      <c r="CW50" s="1112"/>
      <c r="CX50" s="1112"/>
      <c r="CY50" s="1112"/>
      <c r="CZ50" s="1112"/>
      <c r="DA50" s="1112"/>
      <c r="DB50" s="1115"/>
      <c r="DC50" s="1084"/>
      <c r="DD50" s="1085"/>
      <c r="DE50" s="1085"/>
      <c r="DF50" s="1085"/>
      <c r="DG50" s="1085"/>
      <c r="DH50" s="1085"/>
      <c r="DI50" s="1085"/>
      <c r="DJ50" s="1085"/>
      <c r="DK50" s="1086"/>
      <c r="DL50" s="44"/>
      <c r="DM50" s="48"/>
      <c r="DN50" s="49"/>
      <c r="DO50" s="49"/>
      <c r="DP50" s="274"/>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row>
    <row r="51" spans="1:157" s="45" customFormat="1" ht="7.5" customHeight="1" thickBot="1">
      <c r="A51" s="48"/>
      <c r="B51" s="1096"/>
      <c r="C51" s="1097"/>
      <c r="D51" s="1097"/>
      <c r="E51" s="1097"/>
      <c r="F51" s="1098"/>
      <c r="G51" s="1101"/>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3161"/>
      <c r="AP51" s="1105"/>
      <c r="AQ51" s="1105"/>
      <c r="AR51" s="1105"/>
      <c r="AS51" s="1105"/>
      <c r="AT51" s="1105"/>
      <c r="AU51" s="1105"/>
      <c r="AV51" s="1105"/>
      <c r="AW51" s="1105"/>
      <c r="AX51" s="1105"/>
      <c r="AY51" s="1105"/>
      <c r="AZ51" s="1106"/>
      <c r="BA51" s="1109"/>
      <c r="BB51" s="1109"/>
      <c r="BC51" s="1109"/>
      <c r="BD51" s="1109"/>
      <c r="BE51" s="1109"/>
      <c r="BF51" s="1110"/>
      <c r="BG51" s="48"/>
      <c r="BH51" s="48"/>
      <c r="BI51" s="1113"/>
      <c r="BJ51" s="1114"/>
      <c r="BK51" s="1114"/>
      <c r="BL51" s="1114"/>
      <c r="BM51" s="1114"/>
      <c r="BN51" s="1114"/>
      <c r="BO51" s="1114"/>
      <c r="BP51" s="1114"/>
      <c r="BQ51" s="1114"/>
      <c r="BR51" s="1114"/>
      <c r="BS51" s="1114"/>
      <c r="BT51" s="1114"/>
      <c r="BU51" s="1114"/>
      <c r="BV51" s="1114"/>
      <c r="BW51" s="1114"/>
      <c r="BX51" s="1114"/>
      <c r="BY51" s="1114"/>
      <c r="BZ51" s="1114"/>
      <c r="CA51" s="1114"/>
      <c r="CB51" s="1114"/>
      <c r="CC51" s="1114"/>
      <c r="CD51" s="1114"/>
      <c r="CE51" s="1114"/>
      <c r="CF51" s="1114"/>
      <c r="CG51" s="1114"/>
      <c r="CH51" s="1114"/>
      <c r="CI51" s="1114"/>
      <c r="CJ51" s="1114"/>
      <c r="CK51" s="1114"/>
      <c r="CL51" s="1114"/>
      <c r="CM51" s="1114"/>
      <c r="CN51" s="1114"/>
      <c r="CO51" s="1114"/>
      <c r="CP51" s="1114"/>
      <c r="CQ51" s="1114"/>
      <c r="CR51" s="1114"/>
      <c r="CS51" s="1114"/>
      <c r="CT51" s="1114"/>
      <c r="CU51" s="1114"/>
      <c r="CV51" s="1114"/>
      <c r="CW51" s="1114"/>
      <c r="CX51" s="1114"/>
      <c r="CY51" s="1114"/>
      <c r="CZ51" s="1114"/>
      <c r="DA51" s="1114"/>
      <c r="DB51" s="1116"/>
      <c r="DC51" s="1087"/>
      <c r="DD51" s="1088"/>
      <c r="DE51" s="1088"/>
      <c r="DF51" s="1088"/>
      <c r="DG51" s="1088"/>
      <c r="DH51" s="1088"/>
      <c r="DI51" s="1088"/>
      <c r="DJ51" s="1088"/>
      <c r="DK51" s="1089"/>
      <c r="DL51" s="44"/>
      <c r="DM51" s="48"/>
      <c r="DN51" s="49"/>
      <c r="DO51" s="49"/>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row>
    <row r="52" spans="1:157" s="45" customFormat="1" ht="7.5" customHeight="1">
      <c r="A52" s="48"/>
      <c r="B52" s="1117" t="s">
        <v>75</v>
      </c>
      <c r="C52" s="1118"/>
      <c r="D52" s="1118"/>
      <c r="E52" s="1118"/>
      <c r="F52" s="1119"/>
      <c r="G52" s="3127" t="s">
        <v>73</v>
      </c>
      <c r="H52" s="3128"/>
      <c r="I52" s="3128"/>
      <c r="J52" s="3128"/>
      <c r="K52" s="3128"/>
      <c r="L52" s="3129"/>
      <c r="M52" s="3133" t="s">
        <v>1607</v>
      </c>
      <c r="N52" s="3134"/>
      <c r="O52" s="3134"/>
      <c r="P52" s="3134"/>
      <c r="Q52" s="3134"/>
      <c r="R52" s="3134"/>
      <c r="S52" s="3134"/>
      <c r="T52" s="3134"/>
      <c r="U52" s="3134"/>
      <c r="V52" s="3134"/>
      <c r="W52" s="3135"/>
      <c r="X52" s="3127" t="s">
        <v>11</v>
      </c>
      <c r="Y52" s="3128"/>
      <c r="Z52" s="3128"/>
      <c r="AA52" s="3128"/>
      <c r="AB52" s="3128"/>
      <c r="AC52" s="3129"/>
      <c r="AD52" s="3133" t="s">
        <v>313</v>
      </c>
      <c r="AE52" s="3134"/>
      <c r="AF52" s="3134"/>
      <c r="AG52" s="3134"/>
      <c r="AH52" s="3134"/>
      <c r="AI52" s="3134"/>
      <c r="AJ52" s="3134"/>
      <c r="AK52" s="3134"/>
      <c r="AL52" s="3134"/>
      <c r="AM52" s="3134"/>
      <c r="AN52" s="3135"/>
      <c r="AO52" s="3127" t="s">
        <v>74</v>
      </c>
      <c r="AP52" s="3128"/>
      <c r="AQ52" s="3128"/>
      <c r="AR52" s="3128"/>
      <c r="AS52" s="3128"/>
      <c r="AT52" s="3129"/>
      <c r="AU52" s="3133" t="s">
        <v>1609</v>
      </c>
      <c r="AV52" s="3134"/>
      <c r="AW52" s="3134"/>
      <c r="AX52" s="3134"/>
      <c r="AY52" s="3134"/>
      <c r="AZ52" s="3134"/>
      <c r="BA52" s="3134"/>
      <c r="BB52" s="3134"/>
      <c r="BC52" s="3134"/>
      <c r="BD52" s="3134"/>
      <c r="BE52" s="3134"/>
      <c r="BF52" s="3142"/>
      <c r="BG52" s="48"/>
      <c r="BH52" s="48"/>
      <c r="BI52" s="1126" t="s">
        <v>664</v>
      </c>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c r="CK52" s="1127"/>
      <c r="CL52" s="1127"/>
      <c r="CM52" s="1127"/>
      <c r="CN52" s="1127"/>
      <c r="CO52" s="1127"/>
      <c r="CP52" s="1127"/>
      <c r="CQ52" s="1127"/>
      <c r="CR52" s="1127"/>
      <c r="CS52" s="1127"/>
      <c r="CT52" s="1127"/>
      <c r="CU52" s="1127"/>
      <c r="CV52" s="1127"/>
      <c r="CW52" s="1127"/>
      <c r="CX52" s="1127"/>
      <c r="CY52" s="1127"/>
      <c r="CZ52" s="1127"/>
      <c r="DA52" s="1127"/>
      <c r="DB52" s="1128"/>
      <c r="DC52" s="1132"/>
      <c r="DD52" s="1133"/>
      <c r="DE52" s="1133"/>
      <c r="DF52" s="1133"/>
      <c r="DG52" s="1133"/>
      <c r="DH52" s="1133"/>
      <c r="DI52" s="1133"/>
      <c r="DJ52" s="1133"/>
      <c r="DK52" s="1134"/>
      <c r="DL52" s="50"/>
      <c r="DM52" s="48"/>
      <c r="DN52" s="49"/>
      <c r="DO52" s="49"/>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row>
    <row r="53" spans="1:157" s="45" customFormat="1" ht="7.5" customHeight="1">
      <c r="A53" s="48"/>
      <c r="B53" s="1120"/>
      <c r="C53" s="1121"/>
      <c r="D53" s="1121"/>
      <c r="E53" s="1121"/>
      <c r="F53" s="1122"/>
      <c r="G53" s="3130"/>
      <c r="H53" s="3131"/>
      <c r="I53" s="3131"/>
      <c r="J53" s="3131"/>
      <c r="K53" s="3131"/>
      <c r="L53" s="3132"/>
      <c r="M53" s="3136"/>
      <c r="N53" s="3137"/>
      <c r="O53" s="3137"/>
      <c r="P53" s="3137"/>
      <c r="Q53" s="3137"/>
      <c r="R53" s="3137"/>
      <c r="S53" s="3137"/>
      <c r="T53" s="3137"/>
      <c r="U53" s="3137"/>
      <c r="V53" s="3137"/>
      <c r="W53" s="3138"/>
      <c r="X53" s="3130"/>
      <c r="Y53" s="3131"/>
      <c r="Z53" s="3131"/>
      <c r="AA53" s="3131"/>
      <c r="AB53" s="3131"/>
      <c r="AC53" s="3132"/>
      <c r="AD53" s="3136"/>
      <c r="AE53" s="3137"/>
      <c r="AF53" s="3137"/>
      <c r="AG53" s="3137"/>
      <c r="AH53" s="3137"/>
      <c r="AI53" s="3137"/>
      <c r="AJ53" s="3137"/>
      <c r="AK53" s="3137"/>
      <c r="AL53" s="3137"/>
      <c r="AM53" s="3137"/>
      <c r="AN53" s="3138"/>
      <c r="AO53" s="3130"/>
      <c r="AP53" s="3131"/>
      <c r="AQ53" s="3131"/>
      <c r="AR53" s="3131"/>
      <c r="AS53" s="3131"/>
      <c r="AT53" s="3132"/>
      <c r="AU53" s="3136"/>
      <c r="AV53" s="3137"/>
      <c r="AW53" s="3137"/>
      <c r="AX53" s="3137"/>
      <c r="AY53" s="3137"/>
      <c r="AZ53" s="3137"/>
      <c r="BA53" s="3137"/>
      <c r="BB53" s="3137"/>
      <c r="BC53" s="3137"/>
      <c r="BD53" s="3137"/>
      <c r="BE53" s="3137"/>
      <c r="BF53" s="3143"/>
      <c r="BG53" s="48"/>
      <c r="BH53" s="48"/>
      <c r="BI53" s="1129"/>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1"/>
      <c r="DC53" s="1132"/>
      <c r="DD53" s="1133"/>
      <c r="DE53" s="1133"/>
      <c r="DF53" s="1133"/>
      <c r="DG53" s="1133"/>
      <c r="DH53" s="1133"/>
      <c r="DI53" s="1133"/>
      <c r="DJ53" s="1133"/>
      <c r="DK53" s="1134"/>
      <c r="DL53" s="50"/>
      <c r="DM53" s="44"/>
      <c r="DP53" s="273"/>
      <c r="DQ53" s="273"/>
      <c r="DR53" s="273"/>
      <c r="DS53" s="1183" t="s">
        <v>643</v>
      </c>
      <c r="DT53" s="1183"/>
      <c r="DU53" s="1183"/>
      <c r="DV53" s="1183"/>
      <c r="DW53" s="1183"/>
      <c r="DX53" s="1183"/>
      <c r="DY53" s="118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1183" t="s">
        <v>642</v>
      </c>
      <c r="EV53" s="1183"/>
      <c r="EW53" s="1183"/>
      <c r="EX53" s="1183"/>
      <c r="EY53" s="1183"/>
      <c r="EZ53" s="1183"/>
      <c r="FA53" s="1183"/>
    </row>
    <row r="54" spans="1:157" s="45" customFormat="1" ht="7.5" customHeight="1">
      <c r="A54" s="48"/>
      <c r="B54" s="1120"/>
      <c r="C54" s="1121"/>
      <c r="D54" s="1121"/>
      <c r="E54" s="1121"/>
      <c r="F54" s="1122"/>
      <c r="G54" s="3127" t="s">
        <v>76</v>
      </c>
      <c r="H54" s="3128"/>
      <c r="I54" s="3128"/>
      <c r="J54" s="3128"/>
      <c r="K54" s="3128"/>
      <c r="L54" s="3129"/>
      <c r="M54" s="793" t="s">
        <v>1611</v>
      </c>
      <c r="N54" s="794"/>
      <c r="O54" s="794"/>
      <c r="P54" s="794"/>
      <c r="Q54" s="794"/>
      <c r="R54" s="794"/>
      <c r="S54" s="794"/>
      <c r="T54" s="794"/>
      <c r="U54" s="794"/>
      <c r="V54" s="794"/>
      <c r="W54" s="794"/>
      <c r="X54" s="794"/>
      <c r="Y54" s="794"/>
      <c r="Z54" s="794"/>
      <c r="AA54" s="794"/>
      <c r="AB54" s="794"/>
      <c r="AC54" s="794"/>
      <c r="AD54" s="794"/>
      <c r="AE54" s="794"/>
      <c r="AF54" s="795"/>
      <c r="AG54" s="3127" t="s">
        <v>77</v>
      </c>
      <c r="AH54" s="3128"/>
      <c r="AI54" s="3128"/>
      <c r="AJ54" s="3128"/>
      <c r="AK54" s="3128"/>
      <c r="AL54" s="3129"/>
      <c r="AM54" s="928" t="s">
        <v>1613</v>
      </c>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1184" t="s">
        <v>1591</v>
      </c>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1186"/>
      <c r="CG54" s="1187"/>
      <c r="CH54" s="1187"/>
      <c r="CI54" s="1187"/>
      <c r="CJ54" s="1187"/>
      <c r="CK54" s="1187"/>
      <c r="CL54" s="1187"/>
      <c r="CM54" s="1187"/>
      <c r="CN54" s="1187"/>
      <c r="CO54" s="1187"/>
      <c r="CP54" s="1187"/>
      <c r="CQ54" s="1187"/>
      <c r="CR54" s="1187"/>
      <c r="CS54" s="1187"/>
      <c r="CT54" s="1187"/>
      <c r="CU54" s="1187"/>
      <c r="CV54" s="1187"/>
      <c r="CW54" s="1187"/>
      <c r="CX54" s="1187"/>
      <c r="CY54" s="1187"/>
      <c r="CZ54" s="1187"/>
      <c r="DA54" s="1187"/>
      <c r="DB54" s="1188"/>
      <c r="DC54" s="1132"/>
      <c r="DD54" s="1133"/>
      <c r="DE54" s="1133"/>
      <c r="DF54" s="1133"/>
      <c r="DG54" s="1133"/>
      <c r="DH54" s="1133"/>
      <c r="DI54" s="1133"/>
      <c r="DJ54" s="1133"/>
      <c r="DK54" s="1134"/>
      <c r="DL54" s="52"/>
      <c r="DM54" s="44"/>
      <c r="DP54" s="273"/>
      <c r="DQ54" s="273"/>
      <c r="DR54" s="273"/>
      <c r="DS54" s="1183"/>
      <c r="DT54" s="1183"/>
      <c r="DU54" s="1183"/>
      <c r="DV54" s="1183"/>
      <c r="DW54" s="1183"/>
      <c r="DX54" s="1183"/>
      <c r="DY54" s="1183"/>
      <c r="DZ54" s="273"/>
      <c r="EA54" s="273"/>
      <c r="EB54" s="273"/>
      <c r="EC54" s="273"/>
      <c r="ED54" s="273"/>
      <c r="EE54" s="273"/>
      <c r="EF54" s="273"/>
      <c r="EG54" s="273"/>
      <c r="EH54" s="273"/>
      <c r="EI54" s="273"/>
      <c r="EJ54" s="273"/>
      <c r="EK54" s="273"/>
      <c r="EL54" s="273"/>
      <c r="EM54" s="273"/>
      <c r="EN54" s="273"/>
      <c r="EU54" s="1183"/>
      <c r="EV54" s="1183"/>
      <c r="EW54" s="1183"/>
      <c r="EX54" s="1183"/>
      <c r="EY54" s="1183"/>
      <c r="EZ54" s="1183"/>
      <c r="FA54" s="1183"/>
    </row>
    <row r="55" spans="1:157" s="45" customFormat="1" ht="7.5" customHeight="1">
      <c r="A55" s="48"/>
      <c r="B55" s="1123"/>
      <c r="C55" s="1124"/>
      <c r="D55" s="1124"/>
      <c r="E55" s="1124"/>
      <c r="F55" s="1125"/>
      <c r="G55" s="3130"/>
      <c r="H55" s="3131"/>
      <c r="I55" s="3131"/>
      <c r="J55" s="3131"/>
      <c r="K55" s="3131"/>
      <c r="L55" s="3132"/>
      <c r="M55" s="796"/>
      <c r="N55" s="797"/>
      <c r="O55" s="797"/>
      <c r="P55" s="797"/>
      <c r="Q55" s="797"/>
      <c r="R55" s="797"/>
      <c r="S55" s="797"/>
      <c r="T55" s="797"/>
      <c r="U55" s="797"/>
      <c r="V55" s="797"/>
      <c r="W55" s="797"/>
      <c r="X55" s="797"/>
      <c r="Y55" s="797"/>
      <c r="Z55" s="797"/>
      <c r="AA55" s="797"/>
      <c r="AB55" s="797"/>
      <c r="AC55" s="797"/>
      <c r="AD55" s="797"/>
      <c r="AE55" s="797"/>
      <c r="AF55" s="798"/>
      <c r="AG55" s="3130"/>
      <c r="AH55" s="3131"/>
      <c r="AI55" s="3131"/>
      <c r="AJ55" s="3131"/>
      <c r="AK55" s="3131"/>
      <c r="AL55" s="3132"/>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184"/>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1189"/>
      <c r="CG55" s="1190"/>
      <c r="CH55" s="1190"/>
      <c r="CI55" s="1190"/>
      <c r="CJ55" s="1190"/>
      <c r="CK55" s="1190"/>
      <c r="CL55" s="1190"/>
      <c r="CM55" s="1190"/>
      <c r="CN55" s="1190"/>
      <c r="CO55" s="1190"/>
      <c r="CP55" s="1190"/>
      <c r="CQ55" s="1190"/>
      <c r="CR55" s="1190"/>
      <c r="CS55" s="1190"/>
      <c r="CT55" s="1190"/>
      <c r="CU55" s="1190"/>
      <c r="CV55" s="1190"/>
      <c r="CW55" s="1190"/>
      <c r="CX55" s="1190"/>
      <c r="CY55" s="1190"/>
      <c r="CZ55" s="1190"/>
      <c r="DA55" s="1190"/>
      <c r="DB55" s="1191"/>
      <c r="DC55" s="1132"/>
      <c r="DD55" s="1133"/>
      <c r="DE55" s="1133"/>
      <c r="DF55" s="1133"/>
      <c r="DG55" s="1133"/>
      <c r="DH55" s="1133"/>
      <c r="DI55" s="1133"/>
      <c r="DJ55" s="1133"/>
      <c r="DK55" s="1134"/>
      <c r="DL55" s="52"/>
      <c r="DM55" s="44"/>
      <c r="DP55" s="273"/>
      <c r="DQ55" s="273"/>
      <c r="DR55" s="273"/>
      <c r="DZ55" s="273"/>
      <c r="EA55" s="273"/>
      <c r="EB55" s="273"/>
      <c r="EC55" s="273"/>
      <c r="ED55" s="273"/>
      <c r="EE55" s="273"/>
      <c r="EF55" s="273"/>
      <c r="EG55" s="273"/>
      <c r="EH55" s="273"/>
      <c r="EI55" s="273"/>
      <c r="EJ55" s="273"/>
      <c r="EK55" s="273"/>
      <c r="EL55" s="273"/>
      <c r="EM55" s="273"/>
      <c r="EN55" s="273"/>
    </row>
    <row r="56" spans="1:157" s="45" customFormat="1" ht="7.5" customHeight="1">
      <c r="A56" s="48"/>
      <c r="B56" s="1138" t="s">
        <v>795</v>
      </c>
      <c r="C56" s="1139"/>
      <c r="D56" s="1139"/>
      <c r="E56" s="1139"/>
      <c r="F56" s="1140"/>
      <c r="G56" s="1021" t="s">
        <v>1616</v>
      </c>
      <c r="H56" s="1022"/>
      <c r="I56" s="1022"/>
      <c r="J56" s="1022"/>
      <c r="K56" s="1022"/>
      <c r="L56" s="1022"/>
      <c r="M56" s="1022"/>
      <c r="N56" s="1022"/>
      <c r="O56" s="1022"/>
      <c r="P56" s="1022"/>
      <c r="Q56" s="1022"/>
      <c r="R56" s="1022"/>
      <c r="S56" s="1022"/>
      <c r="T56" s="1022"/>
      <c r="U56" s="1022"/>
      <c r="V56" s="1022"/>
      <c r="W56" s="1022"/>
      <c r="X56" s="1022"/>
      <c r="Y56" s="1022"/>
      <c r="Z56" s="1022"/>
      <c r="AA56" s="1023"/>
      <c r="AB56" s="3191" t="s">
        <v>72</v>
      </c>
      <c r="AC56" s="3162"/>
      <c r="AD56" s="3162"/>
      <c r="AE56" s="3162"/>
      <c r="AF56" s="3163"/>
      <c r="AG56" s="3164"/>
      <c r="AH56" s="3145"/>
      <c r="AI56" s="3145"/>
      <c r="AJ56" s="3145"/>
      <c r="AK56" s="3145"/>
      <c r="AL56" s="3145"/>
      <c r="AM56" s="3145"/>
      <c r="AN56" s="3145"/>
      <c r="AO56" s="3145"/>
      <c r="AP56" s="3145"/>
      <c r="AQ56" s="3145"/>
      <c r="AR56" s="3145"/>
      <c r="AS56" s="3192"/>
      <c r="AT56" s="3144"/>
      <c r="AU56" s="3145"/>
      <c r="AV56" s="3145"/>
      <c r="AW56" s="3145"/>
      <c r="AX56" s="3145"/>
      <c r="AY56" s="3145"/>
      <c r="AZ56" s="3145"/>
      <c r="BA56" s="3145"/>
      <c r="BB56" s="3145"/>
      <c r="BC56" s="3145"/>
      <c r="BD56" s="3145"/>
      <c r="BE56" s="3145"/>
      <c r="BF56" s="3146"/>
      <c r="BG56" s="48"/>
      <c r="BH56" s="48"/>
      <c r="BI56" s="2260"/>
      <c r="BJ56" s="2261"/>
      <c r="BK56" s="2261"/>
      <c r="BL56" s="2261"/>
      <c r="BM56" s="2261"/>
      <c r="BN56" s="2261"/>
      <c r="BO56" s="2261"/>
      <c r="BP56" s="2261"/>
      <c r="BQ56" s="2261"/>
      <c r="BR56" s="2261"/>
      <c r="BS56" s="2261"/>
      <c r="BT56" s="2261"/>
      <c r="BU56" s="2261"/>
      <c r="BV56" s="2261"/>
      <c r="BW56" s="2261"/>
      <c r="BX56" s="2261"/>
      <c r="BY56" s="2261"/>
      <c r="BZ56" s="2261"/>
      <c r="CA56" s="2261"/>
      <c r="CB56" s="2261"/>
      <c r="CC56" s="2261"/>
      <c r="CD56" s="2261"/>
      <c r="CE56" s="2261"/>
      <c r="CF56" s="1192"/>
      <c r="CG56" s="1192"/>
      <c r="CH56" s="1192"/>
      <c r="CI56" s="1192"/>
      <c r="CJ56" s="1192"/>
      <c r="CK56" s="1192"/>
      <c r="CL56" s="1192"/>
      <c r="CM56" s="1192"/>
      <c r="CN56" s="1192"/>
      <c r="CO56" s="1192"/>
      <c r="CP56" s="1192"/>
      <c r="CQ56" s="1192"/>
      <c r="CR56" s="1192"/>
      <c r="CS56" s="1192"/>
      <c r="CT56" s="1192"/>
      <c r="CU56" s="1192"/>
      <c r="CV56" s="1192"/>
      <c r="CW56" s="1192"/>
      <c r="CX56" s="1192"/>
      <c r="CY56" s="1192"/>
      <c r="CZ56" s="1192"/>
      <c r="DA56" s="1192"/>
      <c r="DB56" s="1193"/>
      <c r="DC56" s="1132"/>
      <c r="DD56" s="1133"/>
      <c r="DE56" s="1133"/>
      <c r="DF56" s="1133"/>
      <c r="DG56" s="1133"/>
      <c r="DH56" s="1133"/>
      <c r="DI56" s="1133"/>
      <c r="DJ56" s="1133"/>
      <c r="DK56" s="1134"/>
      <c r="DL56" s="52"/>
      <c r="DM56" s="44"/>
      <c r="DP56" s="273"/>
      <c r="DQ56" s="273"/>
      <c r="DR56" s="273"/>
      <c r="EB56" s="273"/>
      <c r="EC56" s="273"/>
      <c r="ED56" s="273"/>
      <c r="EE56" s="273"/>
      <c r="EF56" s="273"/>
      <c r="EG56" s="273"/>
      <c r="EH56" s="273"/>
      <c r="EI56" s="273"/>
      <c r="EJ56" s="273"/>
      <c r="EK56" s="273"/>
      <c r="EL56" s="273"/>
      <c r="EM56" s="273"/>
      <c r="EN56" s="273"/>
      <c r="EO56" s="273"/>
    </row>
    <row r="57" spans="1:157" s="45" customFormat="1" ht="7.5" customHeight="1">
      <c r="A57" s="48"/>
      <c r="B57" s="1141"/>
      <c r="C57" s="1142"/>
      <c r="D57" s="1142"/>
      <c r="E57" s="1142"/>
      <c r="F57" s="1143"/>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3147" t="s">
        <v>797</v>
      </c>
      <c r="AC57" s="3148"/>
      <c r="AD57" s="3148"/>
      <c r="AE57" s="3148"/>
      <c r="AF57" s="3149"/>
      <c r="AG57" s="1194" t="s">
        <v>1618</v>
      </c>
      <c r="AH57" s="1057"/>
      <c r="AI57" s="1057"/>
      <c r="AJ57" s="1057"/>
      <c r="AK57" s="1057"/>
      <c r="AL57" s="1057"/>
      <c r="AM57" s="1057"/>
      <c r="AN57" s="1057"/>
      <c r="AO57" s="1057"/>
      <c r="AP57" s="1057"/>
      <c r="AQ57" s="1057"/>
      <c r="AR57" s="1057"/>
      <c r="AS57" s="1195"/>
      <c r="AT57" s="1056"/>
      <c r="AU57" s="1057"/>
      <c r="AV57" s="1057"/>
      <c r="AW57" s="1057"/>
      <c r="AX57" s="1057"/>
      <c r="AY57" s="1057"/>
      <c r="AZ57" s="1057"/>
      <c r="BA57" s="1057"/>
      <c r="BB57" s="1057"/>
      <c r="BC57" s="1057"/>
      <c r="BD57" s="1057"/>
      <c r="BE57" s="1057"/>
      <c r="BF57" s="1058"/>
      <c r="BG57" s="48"/>
      <c r="BH57" s="48"/>
      <c r="BI57" s="2260"/>
      <c r="BJ57" s="2261"/>
      <c r="BK57" s="2261"/>
      <c r="BL57" s="2261"/>
      <c r="BM57" s="2261"/>
      <c r="BN57" s="2261"/>
      <c r="BO57" s="2261"/>
      <c r="BP57" s="2261"/>
      <c r="BQ57" s="2261"/>
      <c r="BR57" s="2261"/>
      <c r="BS57" s="2261"/>
      <c r="BT57" s="2261"/>
      <c r="BU57" s="2261"/>
      <c r="BV57" s="2261"/>
      <c r="BW57" s="2261"/>
      <c r="BX57" s="2261"/>
      <c r="BY57" s="2261"/>
      <c r="BZ57" s="2261"/>
      <c r="CA57" s="2261"/>
      <c r="CB57" s="2261"/>
      <c r="CC57" s="2261"/>
      <c r="CD57" s="2261"/>
      <c r="CE57" s="2261"/>
      <c r="CF57" s="1192"/>
      <c r="CG57" s="1192"/>
      <c r="CH57" s="1192"/>
      <c r="CI57" s="1192"/>
      <c r="CJ57" s="1192"/>
      <c r="CK57" s="1192"/>
      <c r="CL57" s="1192"/>
      <c r="CM57" s="1192"/>
      <c r="CN57" s="1192"/>
      <c r="CO57" s="1192"/>
      <c r="CP57" s="1192"/>
      <c r="CQ57" s="1192"/>
      <c r="CR57" s="1192"/>
      <c r="CS57" s="1192"/>
      <c r="CT57" s="1192"/>
      <c r="CU57" s="1192"/>
      <c r="CV57" s="1192"/>
      <c r="CW57" s="1192"/>
      <c r="CX57" s="1192"/>
      <c r="CY57" s="1192"/>
      <c r="CZ57" s="1192"/>
      <c r="DA57" s="1192"/>
      <c r="DB57" s="1193"/>
      <c r="DC57" s="1132"/>
      <c r="DD57" s="1133"/>
      <c r="DE57" s="1133"/>
      <c r="DF57" s="1133"/>
      <c r="DG57" s="1133"/>
      <c r="DH57" s="1133"/>
      <c r="DI57" s="1133"/>
      <c r="DJ57" s="1133"/>
      <c r="DK57" s="1134"/>
      <c r="DL57" s="48"/>
      <c r="DM57" s="44"/>
    </row>
    <row r="58" spans="1:157" s="45" customFormat="1" ht="7.5" customHeight="1">
      <c r="A58" s="48"/>
      <c r="B58" s="1144"/>
      <c r="C58" s="1145"/>
      <c r="D58" s="1145"/>
      <c r="E58" s="1145"/>
      <c r="F58" s="1146"/>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3150"/>
      <c r="AC58" s="1145"/>
      <c r="AD58" s="1145"/>
      <c r="AE58" s="1145"/>
      <c r="AF58" s="1146"/>
      <c r="AG58" s="1027"/>
      <c r="AH58" s="1028"/>
      <c r="AI58" s="1028"/>
      <c r="AJ58" s="1028"/>
      <c r="AK58" s="1028"/>
      <c r="AL58" s="1028"/>
      <c r="AM58" s="1028"/>
      <c r="AN58" s="1028"/>
      <c r="AO58" s="1028"/>
      <c r="AP58" s="1028"/>
      <c r="AQ58" s="1028"/>
      <c r="AR58" s="1028"/>
      <c r="AS58" s="1196"/>
      <c r="AT58" s="1059"/>
      <c r="AU58" s="1028"/>
      <c r="AV58" s="1028"/>
      <c r="AW58" s="1028"/>
      <c r="AX58" s="1028"/>
      <c r="AY58" s="1028"/>
      <c r="AZ58" s="1028"/>
      <c r="BA58" s="1028"/>
      <c r="BB58" s="1028"/>
      <c r="BC58" s="1028"/>
      <c r="BD58" s="1028"/>
      <c r="BE58" s="1028"/>
      <c r="BF58" s="1060"/>
      <c r="BG58" s="48"/>
      <c r="BH58" s="48"/>
      <c r="BI58" s="2260"/>
      <c r="BJ58" s="2261"/>
      <c r="BK58" s="2261"/>
      <c r="BL58" s="2261"/>
      <c r="BM58" s="2261"/>
      <c r="BN58" s="2261"/>
      <c r="BO58" s="2261"/>
      <c r="BP58" s="2261"/>
      <c r="BQ58" s="2261"/>
      <c r="BR58" s="2261"/>
      <c r="BS58" s="2261"/>
      <c r="BT58" s="2261"/>
      <c r="BU58" s="2261"/>
      <c r="BV58" s="2261"/>
      <c r="BW58" s="2261"/>
      <c r="BX58" s="2261"/>
      <c r="BY58" s="2261"/>
      <c r="BZ58" s="2261"/>
      <c r="CA58" s="2261"/>
      <c r="CB58" s="2261"/>
      <c r="CC58" s="2261"/>
      <c r="CD58" s="2261"/>
      <c r="CE58" s="2261"/>
      <c r="CF58" s="1200"/>
      <c r="CG58" s="1192"/>
      <c r="CH58" s="1192"/>
      <c r="CI58" s="1192"/>
      <c r="CJ58" s="1192"/>
      <c r="CK58" s="1192"/>
      <c r="CL58" s="1192"/>
      <c r="CM58" s="1192"/>
      <c r="CN58" s="1192"/>
      <c r="CO58" s="1192"/>
      <c r="CP58" s="1192"/>
      <c r="CQ58" s="1192"/>
      <c r="CR58" s="1192"/>
      <c r="CS58" s="1192"/>
      <c r="CT58" s="1192"/>
      <c r="CU58" s="1192"/>
      <c r="CV58" s="1192"/>
      <c r="CW58" s="1192"/>
      <c r="CX58" s="1192"/>
      <c r="CY58" s="1192"/>
      <c r="CZ58" s="1192"/>
      <c r="DA58" s="1192"/>
      <c r="DB58" s="1193"/>
      <c r="DC58" s="1132"/>
      <c r="DD58" s="1133"/>
      <c r="DE58" s="1133"/>
      <c r="DF58" s="1133"/>
      <c r="DG58" s="1133"/>
      <c r="DH58" s="1133"/>
      <c r="DI58" s="1133"/>
      <c r="DJ58" s="1133"/>
      <c r="DK58" s="1134"/>
      <c r="DL58" s="44"/>
      <c r="DM58" s="44"/>
    </row>
    <row r="59" spans="1:157" s="45" customFormat="1" ht="7.5" customHeight="1">
      <c r="A59" s="48"/>
      <c r="B59" s="1138" t="s">
        <v>570</v>
      </c>
      <c r="C59" s="1139"/>
      <c r="D59" s="1139"/>
      <c r="E59" s="1139"/>
      <c r="F59" s="1140"/>
      <c r="G59" s="3165"/>
      <c r="H59" s="3166"/>
      <c r="I59" s="3166"/>
      <c r="J59" s="3166"/>
      <c r="K59" s="3166"/>
      <c r="L59" s="3166"/>
      <c r="M59" s="3166"/>
      <c r="N59" s="3166"/>
      <c r="O59" s="3166"/>
      <c r="P59" s="3166"/>
      <c r="Q59" s="3166"/>
      <c r="R59" s="3166"/>
      <c r="S59" s="3166"/>
      <c r="T59" s="3166"/>
      <c r="U59" s="3166"/>
      <c r="V59" s="3166"/>
      <c r="W59" s="3166"/>
      <c r="X59" s="3166"/>
      <c r="Y59" s="3166"/>
      <c r="Z59" s="3166"/>
      <c r="AA59" s="3167"/>
      <c r="AB59" s="3127" t="s">
        <v>569</v>
      </c>
      <c r="AC59" s="1139"/>
      <c r="AD59" s="1139"/>
      <c r="AE59" s="1139"/>
      <c r="AF59" s="1140"/>
      <c r="AG59" s="3172" t="s">
        <v>1620</v>
      </c>
      <c r="AH59" s="3173"/>
      <c r="AI59" s="3173"/>
      <c r="AJ59" s="3173"/>
      <c r="AK59" s="3173"/>
      <c r="AL59" s="3173"/>
      <c r="AM59" s="3173"/>
      <c r="AN59" s="3173"/>
      <c r="AO59" s="3173"/>
      <c r="AP59" s="3173"/>
      <c r="AQ59" s="3173"/>
      <c r="AR59" s="3173"/>
      <c r="AS59" s="3173"/>
      <c r="AT59" s="3173"/>
      <c r="AU59" s="3173"/>
      <c r="AV59" s="3173"/>
      <c r="AW59" s="3173"/>
      <c r="AX59" s="3173"/>
      <c r="AY59" s="3173"/>
      <c r="AZ59" s="3173"/>
      <c r="BA59" s="3173"/>
      <c r="BB59" s="3173"/>
      <c r="BC59" s="3173"/>
      <c r="BD59" s="3173"/>
      <c r="BE59" s="3173"/>
      <c r="BF59" s="3174"/>
      <c r="BG59" s="48"/>
      <c r="BH59" s="48"/>
      <c r="BI59" s="2260"/>
      <c r="BJ59" s="2261"/>
      <c r="BK59" s="2261"/>
      <c r="BL59" s="2261"/>
      <c r="BM59" s="2261"/>
      <c r="BN59" s="2261"/>
      <c r="BO59" s="2261"/>
      <c r="BP59" s="2261"/>
      <c r="BQ59" s="2261"/>
      <c r="BR59" s="2261"/>
      <c r="BS59" s="2261"/>
      <c r="BT59" s="2261"/>
      <c r="BU59" s="2261"/>
      <c r="BV59" s="2261"/>
      <c r="BW59" s="2261"/>
      <c r="BX59" s="2261"/>
      <c r="BY59" s="2261"/>
      <c r="BZ59" s="2261"/>
      <c r="CA59" s="2261"/>
      <c r="CB59" s="2261"/>
      <c r="CC59" s="2261"/>
      <c r="CD59" s="2261"/>
      <c r="CE59" s="2261"/>
      <c r="CF59" s="1192"/>
      <c r="CG59" s="1192"/>
      <c r="CH59" s="1192"/>
      <c r="CI59" s="1192"/>
      <c r="CJ59" s="1192"/>
      <c r="CK59" s="1192"/>
      <c r="CL59" s="1192"/>
      <c r="CM59" s="1192"/>
      <c r="CN59" s="1192"/>
      <c r="CO59" s="1192"/>
      <c r="CP59" s="1192"/>
      <c r="CQ59" s="1192"/>
      <c r="CR59" s="1192"/>
      <c r="CS59" s="1192"/>
      <c r="CT59" s="1192"/>
      <c r="CU59" s="1192"/>
      <c r="CV59" s="1192"/>
      <c r="CW59" s="1192"/>
      <c r="CX59" s="1192"/>
      <c r="CY59" s="1192"/>
      <c r="CZ59" s="1192"/>
      <c r="DA59" s="1192"/>
      <c r="DB59" s="1193"/>
      <c r="DC59" s="1132"/>
      <c r="DD59" s="1133"/>
      <c r="DE59" s="1133"/>
      <c r="DF59" s="1133"/>
      <c r="DG59" s="1133"/>
      <c r="DH59" s="1133"/>
      <c r="DI59" s="1133"/>
      <c r="DJ59" s="1133"/>
      <c r="DK59" s="1134"/>
      <c r="DL59" s="44"/>
      <c r="DM59" s="44"/>
    </row>
    <row r="60" spans="1:157" s="45" customFormat="1" ht="7.5" customHeight="1" thickBot="1">
      <c r="A60" s="48"/>
      <c r="B60" s="1147"/>
      <c r="C60" s="1148"/>
      <c r="D60" s="1148"/>
      <c r="E60" s="1148"/>
      <c r="F60" s="1149"/>
      <c r="G60" s="3168"/>
      <c r="H60" s="3169"/>
      <c r="I60" s="3169"/>
      <c r="J60" s="3169"/>
      <c r="K60" s="3169"/>
      <c r="L60" s="3169"/>
      <c r="M60" s="3169"/>
      <c r="N60" s="3169"/>
      <c r="O60" s="3169"/>
      <c r="P60" s="3169"/>
      <c r="Q60" s="3169"/>
      <c r="R60" s="3169"/>
      <c r="S60" s="3169"/>
      <c r="T60" s="3169"/>
      <c r="U60" s="3169"/>
      <c r="V60" s="3169"/>
      <c r="W60" s="3169"/>
      <c r="X60" s="3169"/>
      <c r="Y60" s="3169"/>
      <c r="Z60" s="3169"/>
      <c r="AA60" s="3170"/>
      <c r="AB60" s="3171"/>
      <c r="AC60" s="1148"/>
      <c r="AD60" s="1148"/>
      <c r="AE60" s="1148"/>
      <c r="AF60" s="1149"/>
      <c r="AG60" s="3175"/>
      <c r="AH60" s="3176"/>
      <c r="AI60" s="3176"/>
      <c r="AJ60" s="3176"/>
      <c r="AK60" s="3176"/>
      <c r="AL60" s="3176"/>
      <c r="AM60" s="3176"/>
      <c r="AN60" s="3176"/>
      <c r="AO60" s="3176"/>
      <c r="AP60" s="3176"/>
      <c r="AQ60" s="3176"/>
      <c r="AR60" s="3176"/>
      <c r="AS60" s="3176"/>
      <c r="AT60" s="3176"/>
      <c r="AU60" s="3176"/>
      <c r="AV60" s="3176"/>
      <c r="AW60" s="3176"/>
      <c r="AX60" s="3176"/>
      <c r="AY60" s="3176"/>
      <c r="AZ60" s="3176"/>
      <c r="BA60" s="3176"/>
      <c r="BB60" s="3176"/>
      <c r="BC60" s="3176"/>
      <c r="BD60" s="3176"/>
      <c r="BE60" s="3176"/>
      <c r="BF60" s="3177"/>
      <c r="BG60" s="48"/>
      <c r="BH60" s="48"/>
      <c r="BI60" s="2260"/>
      <c r="BJ60" s="2261"/>
      <c r="BK60" s="2261"/>
      <c r="BL60" s="2261"/>
      <c r="BM60" s="2261"/>
      <c r="BN60" s="2261"/>
      <c r="BO60" s="2261"/>
      <c r="BP60" s="2261"/>
      <c r="BQ60" s="2261"/>
      <c r="BR60" s="2261"/>
      <c r="BS60" s="2261"/>
      <c r="BT60" s="2261"/>
      <c r="BU60" s="2261"/>
      <c r="BV60" s="2261"/>
      <c r="BW60" s="2261"/>
      <c r="BX60" s="2261"/>
      <c r="BY60" s="2261"/>
      <c r="BZ60" s="2261"/>
      <c r="CA60" s="2261"/>
      <c r="CB60" s="2261"/>
      <c r="CC60" s="2261"/>
      <c r="CD60" s="2261"/>
      <c r="CE60" s="2261"/>
      <c r="CF60" s="1192"/>
      <c r="CG60" s="1192"/>
      <c r="CH60" s="1192"/>
      <c r="CI60" s="1192"/>
      <c r="CJ60" s="1192"/>
      <c r="CK60" s="1192"/>
      <c r="CL60" s="1192"/>
      <c r="CM60" s="1192"/>
      <c r="CN60" s="1192"/>
      <c r="CO60" s="1192"/>
      <c r="CP60" s="1192"/>
      <c r="CQ60" s="1192"/>
      <c r="CR60" s="1192"/>
      <c r="CS60" s="1192"/>
      <c r="CT60" s="1192"/>
      <c r="CU60" s="1192"/>
      <c r="CV60" s="1192"/>
      <c r="CW60" s="1192"/>
      <c r="CX60" s="1192"/>
      <c r="CY60" s="1192"/>
      <c r="CZ60" s="1192"/>
      <c r="DA60" s="1192"/>
      <c r="DB60" s="1193"/>
      <c r="DC60" s="1132"/>
      <c r="DD60" s="1133"/>
      <c r="DE60" s="1133"/>
      <c r="DF60" s="1133"/>
      <c r="DG60" s="1133"/>
      <c r="DH60" s="1133"/>
      <c r="DI60" s="1133"/>
      <c r="DJ60" s="1133"/>
      <c r="DK60" s="1134"/>
      <c r="DL60" s="44"/>
      <c r="DM60" s="44"/>
    </row>
    <row r="61" spans="1:157" s="45" customFormat="1" ht="7.5" customHeight="1" thickTop="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2260"/>
      <c r="BJ61" s="2261"/>
      <c r="BK61" s="2261"/>
      <c r="BL61" s="2261"/>
      <c r="BM61" s="2261"/>
      <c r="BN61" s="2261"/>
      <c r="BO61" s="2261"/>
      <c r="BP61" s="2261"/>
      <c r="BQ61" s="2261"/>
      <c r="BR61" s="2261"/>
      <c r="BS61" s="2261"/>
      <c r="BT61" s="2261"/>
      <c r="BU61" s="2261"/>
      <c r="BV61" s="2261"/>
      <c r="BW61" s="2261"/>
      <c r="BX61" s="2261"/>
      <c r="BY61" s="2261"/>
      <c r="BZ61" s="2261"/>
      <c r="CA61" s="2261"/>
      <c r="CB61" s="2261"/>
      <c r="CC61" s="2261"/>
      <c r="CD61" s="2261"/>
      <c r="CE61" s="2261"/>
      <c r="CF61" s="1192"/>
      <c r="CG61" s="1192"/>
      <c r="CH61" s="1192"/>
      <c r="CI61" s="1192"/>
      <c r="CJ61" s="1192"/>
      <c r="CK61" s="1192"/>
      <c r="CL61" s="1192"/>
      <c r="CM61" s="1192"/>
      <c r="CN61" s="1192"/>
      <c r="CO61" s="1192"/>
      <c r="CP61" s="1192"/>
      <c r="CQ61" s="1192"/>
      <c r="CR61" s="1192"/>
      <c r="CS61" s="1192"/>
      <c r="CT61" s="1192"/>
      <c r="CU61" s="1192"/>
      <c r="CV61" s="1192"/>
      <c r="CW61" s="1192"/>
      <c r="CX61" s="1192"/>
      <c r="CY61" s="1192"/>
      <c r="CZ61" s="1192"/>
      <c r="DA61" s="1192"/>
      <c r="DB61" s="1193"/>
      <c r="DC61" s="1132"/>
      <c r="DD61" s="1133"/>
      <c r="DE61" s="1133"/>
      <c r="DF61" s="1133"/>
      <c r="DG61" s="1133"/>
      <c r="DH61" s="1133"/>
      <c r="DI61" s="1133"/>
      <c r="DJ61" s="1133"/>
      <c r="DK61" s="1134"/>
      <c r="DL61" s="44"/>
      <c r="DM61" s="44"/>
    </row>
    <row r="62" spans="1:157" s="45" customFormat="1"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1177"/>
      <c r="BJ62" s="1178"/>
      <c r="BK62" s="1178"/>
      <c r="BL62" s="1178"/>
      <c r="BM62" s="1178"/>
      <c r="BN62" s="1178"/>
      <c r="BO62" s="1178"/>
      <c r="BP62" s="1178"/>
      <c r="BQ62" s="1178"/>
      <c r="BR62" s="1178"/>
      <c r="BS62" s="1178"/>
      <c r="BT62" s="1178"/>
      <c r="BU62" s="1178"/>
      <c r="BV62" s="1178"/>
      <c r="BW62" s="1178"/>
      <c r="BX62" s="1178"/>
      <c r="BY62" s="1178"/>
      <c r="BZ62" s="1178"/>
      <c r="CA62" s="1178"/>
      <c r="CB62" s="1178"/>
      <c r="CC62" s="1178"/>
      <c r="CD62" s="1178"/>
      <c r="CE62" s="1179"/>
      <c r="CF62" s="1192"/>
      <c r="CG62" s="1192"/>
      <c r="CH62" s="1192"/>
      <c r="CI62" s="1192"/>
      <c r="CJ62" s="1192"/>
      <c r="CK62" s="1192"/>
      <c r="CL62" s="1192"/>
      <c r="CM62" s="1192"/>
      <c r="CN62" s="1192"/>
      <c r="CO62" s="1192"/>
      <c r="CP62" s="1192"/>
      <c r="CQ62" s="1192"/>
      <c r="CR62" s="1192"/>
      <c r="CS62" s="1192"/>
      <c r="CT62" s="1192"/>
      <c r="CU62" s="1192"/>
      <c r="CV62" s="1192"/>
      <c r="CW62" s="1192"/>
      <c r="CX62" s="1192"/>
      <c r="CY62" s="1192"/>
      <c r="CZ62" s="1192"/>
      <c r="DA62" s="1192"/>
      <c r="DB62" s="1193"/>
      <c r="DC62" s="1132"/>
      <c r="DD62" s="1133"/>
      <c r="DE62" s="1133"/>
      <c r="DF62" s="1133"/>
      <c r="DG62" s="1133"/>
      <c r="DH62" s="1133"/>
      <c r="DI62" s="1133"/>
      <c r="DJ62" s="1133"/>
      <c r="DK62" s="1134"/>
      <c r="DL62" s="53"/>
      <c r="DM62" s="44"/>
    </row>
    <row r="63" spans="1:157" s="45" customFormat="1"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1180"/>
      <c r="BJ63" s="1181"/>
      <c r="BK63" s="1181"/>
      <c r="BL63" s="1181"/>
      <c r="BM63" s="1181"/>
      <c r="BN63" s="1181"/>
      <c r="BO63" s="1181"/>
      <c r="BP63" s="1181"/>
      <c r="BQ63" s="1181"/>
      <c r="BR63" s="1181"/>
      <c r="BS63" s="1181"/>
      <c r="BT63" s="1181"/>
      <c r="BU63" s="1181"/>
      <c r="BV63" s="1181"/>
      <c r="BW63" s="1181"/>
      <c r="BX63" s="1181"/>
      <c r="BY63" s="1181"/>
      <c r="BZ63" s="1181"/>
      <c r="CA63" s="1181"/>
      <c r="CB63" s="1181"/>
      <c r="CC63" s="1181"/>
      <c r="CD63" s="1181"/>
      <c r="CE63" s="1182"/>
      <c r="CF63" s="1263"/>
      <c r="CG63" s="1263"/>
      <c r="CH63" s="1263"/>
      <c r="CI63" s="1263"/>
      <c r="CJ63" s="1263"/>
      <c r="CK63" s="1263"/>
      <c r="CL63" s="1263"/>
      <c r="CM63" s="1263"/>
      <c r="CN63" s="1263"/>
      <c r="CO63" s="1263"/>
      <c r="CP63" s="1263"/>
      <c r="CQ63" s="1263"/>
      <c r="CR63" s="1263"/>
      <c r="CS63" s="1263"/>
      <c r="CT63" s="1263"/>
      <c r="CU63" s="1263"/>
      <c r="CV63" s="1263"/>
      <c r="CW63" s="1263"/>
      <c r="CX63" s="1263"/>
      <c r="CY63" s="1263"/>
      <c r="CZ63" s="1263"/>
      <c r="DA63" s="1263"/>
      <c r="DB63" s="1264"/>
      <c r="DC63" s="1135"/>
      <c r="DD63" s="1136"/>
      <c r="DE63" s="1136"/>
      <c r="DF63" s="1136"/>
      <c r="DG63" s="1136"/>
      <c r="DH63" s="1136"/>
      <c r="DI63" s="1136"/>
      <c r="DJ63" s="1136"/>
      <c r="DK63" s="1137"/>
      <c r="DL63" s="44"/>
      <c r="DM63" s="44"/>
    </row>
    <row r="64" spans="1:157" ht="7.5" customHeight="1" thickTop="1"/>
    <row r="65" spans="1:165" s="200" customFormat="1" ht="9" customHeight="1">
      <c r="A65" s="1265" t="s">
        <v>1587</v>
      </c>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c r="CB65" s="1266"/>
      <c r="CC65" s="1266"/>
      <c r="CD65" s="1266"/>
      <c r="CE65" s="1266"/>
      <c r="CF65" s="1266"/>
      <c r="CG65" s="1266"/>
      <c r="CH65" s="1266"/>
      <c r="CI65" s="1266"/>
      <c r="CJ65" s="1266"/>
      <c r="CK65" s="1266"/>
      <c r="CL65" s="1266"/>
      <c r="CM65" s="1266"/>
      <c r="CN65" s="1266"/>
      <c r="CO65" s="1266"/>
      <c r="CP65" s="1266"/>
      <c r="CQ65" s="1266"/>
      <c r="CR65" s="1266"/>
      <c r="CS65" s="1266"/>
      <c r="CT65" s="1266"/>
      <c r="CU65" s="205"/>
      <c r="CV65" s="205"/>
      <c r="CW65" s="205"/>
      <c r="CX65" s="205"/>
      <c r="CY65" s="205"/>
      <c r="CZ65" s="205"/>
      <c r="DA65" s="205"/>
      <c r="DB65" s="205"/>
      <c r="DC65" s="205"/>
      <c r="DD65" s="205"/>
      <c r="DE65" s="205"/>
      <c r="DF65" s="205"/>
      <c r="DG65" s="205"/>
      <c r="DH65" s="205"/>
      <c r="DI65" s="205"/>
      <c r="DJ65" s="205"/>
      <c r="DK65" s="205"/>
      <c r="DL65" s="204"/>
      <c r="DM65" s="202"/>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row>
    <row r="66" spans="1:165" s="200" customFormat="1" ht="9" customHeight="1">
      <c r="A66" s="1265"/>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c r="CB66" s="1266"/>
      <c r="CC66" s="1266"/>
      <c r="CD66" s="1266"/>
      <c r="CE66" s="1266"/>
      <c r="CF66" s="1266"/>
      <c r="CG66" s="1266"/>
      <c r="CH66" s="1266"/>
      <c r="CI66" s="1266"/>
      <c r="CJ66" s="1266"/>
      <c r="CK66" s="1266"/>
      <c r="CL66" s="1266"/>
      <c r="CM66" s="1266"/>
      <c r="CN66" s="1266"/>
      <c r="CO66" s="1266"/>
      <c r="CP66" s="1266"/>
      <c r="CQ66" s="1266"/>
      <c r="CR66" s="1266"/>
      <c r="CS66" s="1266"/>
      <c r="CT66" s="1266"/>
      <c r="CU66" s="206"/>
      <c r="CV66" s="206"/>
      <c r="CW66" s="206"/>
      <c r="CX66" s="206"/>
      <c r="CY66" s="206"/>
      <c r="CZ66" s="206"/>
      <c r="DA66" s="206"/>
      <c r="DB66" s="206"/>
      <c r="DC66" s="206"/>
      <c r="DD66" s="206"/>
      <c r="DE66" s="206"/>
      <c r="DF66" s="206"/>
      <c r="DG66" s="206"/>
      <c r="DH66" s="206"/>
      <c r="DI66" s="206"/>
      <c r="DJ66" s="206"/>
      <c r="DK66" s="205"/>
      <c r="DL66" s="204"/>
      <c r="DM66" s="202"/>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row>
    <row r="67" spans="1:165" s="200" customFormat="1" ht="11.25" customHeight="1">
      <c r="A67" s="207"/>
      <c r="B67" s="208" t="str">
        <f>"まずはじめに、「"&amp;B71&amp;"」欄をご選択の上、セルが赤く表示された「管理者E-mail」または「保有シリアル」をご入力ください。その後、お手続きを希望される製品欄の「製品区分」をご選択ください。"</f>
        <v>まずはじめに、「既存のご契約」欄をご選択の上、セルが赤く表示された「管理者E-mail」または「保有シリアル」をご入力ください。その後、お手続きを希望される製品欄の「製品区分」をご選択ください。</v>
      </c>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6"/>
      <c r="CV67" s="206"/>
      <c r="CW67" s="206"/>
      <c r="CX67" s="206"/>
      <c r="CY67" s="206"/>
      <c r="CZ67" s="206"/>
      <c r="DA67" s="206"/>
      <c r="DB67" s="206"/>
      <c r="DC67" s="206"/>
      <c r="DD67" s="206"/>
      <c r="DE67" s="206"/>
      <c r="DF67" s="206"/>
      <c r="DG67" s="206"/>
      <c r="DH67" s="206"/>
      <c r="DI67" s="206"/>
      <c r="DJ67" s="206"/>
      <c r="DK67" s="205"/>
      <c r="DL67" s="204"/>
      <c r="DM67" s="202"/>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row>
    <row r="68" spans="1:165" s="200" customFormat="1" ht="11.25" customHeight="1" thickBot="1">
      <c r="A68" s="202"/>
      <c r="B68" s="208" t="s">
        <v>561</v>
      </c>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3"/>
      <c r="BJ68" s="203"/>
      <c r="BK68" s="203"/>
      <c r="BL68" s="203"/>
      <c r="BM68" s="203"/>
      <c r="BN68" s="203"/>
      <c r="BO68" s="203"/>
      <c r="BP68" s="203"/>
      <c r="BQ68" s="203"/>
      <c r="BR68" s="203"/>
      <c r="BS68" s="203"/>
      <c r="BT68" s="203"/>
      <c r="BU68" s="203"/>
      <c r="BV68" s="203"/>
      <c r="BW68" s="203"/>
      <c r="BX68" s="203"/>
      <c r="BY68" s="203"/>
      <c r="BZ68" s="203"/>
      <c r="CA68" s="203"/>
      <c r="CB68" s="203"/>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204"/>
      <c r="DM68" s="202"/>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row>
    <row r="69" spans="1:165" s="200" customFormat="1" ht="7.5" customHeight="1">
      <c r="A69" s="199"/>
      <c r="B69" s="1267" t="s">
        <v>1327</v>
      </c>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c r="CB69" s="1268"/>
      <c r="CC69" s="1268"/>
      <c r="CD69" s="1268"/>
      <c r="CE69" s="1268"/>
      <c r="CF69" s="1268"/>
      <c r="CG69" s="1268"/>
      <c r="CH69" s="1268"/>
      <c r="CI69" s="1268"/>
      <c r="CJ69" s="1268"/>
      <c r="CK69" s="1268"/>
      <c r="CL69" s="1268"/>
      <c r="CM69" s="1268"/>
      <c r="CN69" s="1268"/>
      <c r="CO69" s="1268"/>
      <c r="CP69" s="1268"/>
      <c r="CQ69" s="1268"/>
      <c r="CR69" s="1268"/>
      <c r="CS69" s="1268"/>
      <c r="CT69" s="1268"/>
      <c r="CU69" s="1268"/>
      <c r="CV69" s="1268"/>
      <c r="CW69" s="1268"/>
      <c r="CX69" s="1268"/>
      <c r="CY69" s="1268"/>
      <c r="CZ69" s="1268"/>
      <c r="DA69" s="1268"/>
      <c r="DB69" s="1268"/>
      <c r="DC69" s="1268"/>
      <c r="DD69" s="1268"/>
      <c r="DE69" s="1268"/>
      <c r="DF69" s="1268"/>
      <c r="DG69" s="1268"/>
      <c r="DH69" s="1268"/>
      <c r="DI69" s="1268"/>
      <c r="DJ69" s="1268"/>
      <c r="DK69" s="1268"/>
      <c r="DL69" s="1269"/>
      <c r="DM69" s="202"/>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row>
    <row r="70" spans="1:165" s="200" customFormat="1" ht="7.5" customHeight="1" thickBot="1">
      <c r="A70" s="199"/>
      <c r="B70" s="1270"/>
      <c r="C70" s="1271"/>
      <c r="D70" s="1271"/>
      <c r="E70" s="1271"/>
      <c r="F70" s="1271"/>
      <c r="G70" s="1271"/>
      <c r="H70" s="1271"/>
      <c r="I70" s="1271"/>
      <c r="J70" s="1271"/>
      <c r="K70" s="1271"/>
      <c r="L70" s="1271"/>
      <c r="M70" s="1271"/>
      <c r="N70" s="1271"/>
      <c r="O70" s="1271"/>
      <c r="P70" s="1271"/>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3"/>
      <c r="DM70" s="202"/>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row>
    <row r="71" spans="1:165" ht="10.5" customHeight="1" thickTop="1">
      <c r="B71" s="1237" t="s">
        <v>1326</v>
      </c>
      <c r="C71" s="1238"/>
      <c r="D71" s="1238"/>
      <c r="E71" s="1238"/>
      <c r="F71" s="1238"/>
      <c r="G71" s="1238"/>
      <c r="H71" s="1238"/>
      <c r="I71" s="1238"/>
      <c r="J71" s="1238"/>
      <c r="K71" s="1238"/>
      <c r="L71" s="1239"/>
      <c r="M71" s="1277"/>
      <c r="N71" s="1277"/>
      <c r="O71" s="1277"/>
      <c r="P71" s="1278"/>
      <c r="Q71" s="1283" t="s">
        <v>1588</v>
      </c>
      <c r="R71" s="1284"/>
      <c r="S71" s="1284"/>
      <c r="T71" s="1284"/>
      <c r="U71" s="1284"/>
      <c r="V71" s="1284"/>
      <c r="W71" s="1284"/>
      <c r="X71" s="1284"/>
      <c r="Y71" s="1284"/>
      <c r="Z71" s="1284"/>
      <c r="AA71" s="1284"/>
      <c r="AB71" s="1284"/>
      <c r="AC71" s="1284"/>
      <c r="AD71" s="1284"/>
      <c r="AE71" s="1284"/>
      <c r="AF71" s="1284"/>
      <c r="AG71" s="1284"/>
      <c r="AH71" s="1284"/>
      <c r="AI71" s="1284"/>
      <c r="AJ71" s="1284"/>
      <c r="AK71" s="1284"/>
      <c r="AL71" s="1284"/>
      <c r="AM71" s="1284"/>
      <c r="AN71" s="1284"/>
      <c r="AO71" s="1284"/>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c r="BM71" s="1284"/>
      <c r="BN71" s="1284"/>
      <c r="BO71" s="1284"/>
      <c r="BP71" s="1284"/>
      <c r="BQ71" s="1284"/>
      <c r="BR71" s="1284"/>
      <c r="BS71" s="1284"/>
      <c r="BT71" s="1284"/>
      <c r="BU71" s="1284"/>
      <c r="BV71" s="1284"/>
      <c r="BW71" s="1284"/>
      <c r="BX71" s="1284"/>
      <c r="BY71" s="1284"/>
      <c r="BZ71" s="1284"/>
      <c r="CA71" s="1284"/>
      <c r="CB71" s="1284"/>
      <c r="CC71" s="1284"/>
      <c r="CD71" s="1284"/>
      <c r="CE71" s="1284"/>
      <c r="CF71" s="1284"/>
      <c r="CG71" s="1284"/>
      <c r="CH71" s="1284"/>
      <c r="CI71" s="1284"/>
      <c r="CJ71" s="1284"/>
      <c r="CK71" s="1284"/>
      <c r="CL71" s="1284"/>
      <c r="CM71" s="1284"/>
      <c r="CN71" s="1284"/>
      <c r="CO71" s="1284"/>
      <c r="CP71" s="1284"/>
      <c r="CQ71" s="1284"/>
      <c r="CR71" s="1284"/>
      <c r="CS71" s="1284"/>
      <c r="CT71" s="1284"/>
      <c r="CU71" s="1284"/>
      <c r="CV71" s="1284"/>
      <c r="CW71" s="1284"/>
      <c r="CX71" s="1284"/>
      <c r="CY71" s="1284"/>
      <c r="CZ71" s="1284"/>
      <c r="DA71" s="1284"/>
      <c r="DB71" s="1284"/>
      <c r="DC71" s="1284"/>
      <c r="DD71" s="1284"/>
      <c r="DE71" s="1284"/>
      <c r="DF71" s="1284"/>
      <c r="DG71" s="1284"/>
      <c r="DH71" s="1284"/>
      <c r="DI71" s="1284"/>
      <c r="DJ71" s="1284"/>
      <c r="DK71" s="1284"/>
      <c r="DL71" s="1285"/>
    </row>
    <row r="72" spans="1:165" ht="9.75" customHeight="1">
      <c r="B72" s="1240"/>
      <c r="C72" s="1241"/>
      <c r="D72" s="1241"/>
      <c r="E72" s="1241"/>
      <c r="F72" s="1241"/>
      <c r="G72" s="1241"/>
      <c r="H72" s="1241"/>
      <c r="I72" s="1241"/>
      <c r="J72" s="1241"/>
      <c r="K72" s="1241"/>
      <c r="L72" s="1242"/>
      <c r="M72" s="1279"/>
      <c r="N72" s="1279"/>
      <c r="O72" s="1279"/>
      <c r="P72" s="1280"/>
      <c r="Q72" s="1286"/>
      <c r="R72" s="1287"/>
      <c r="S72" s="1287"/>
      <c r="T72" s="1287"/>
      <c r="U72" s="1287"/>
      <c r="V72" s="1287"/>
      <c r="W72" s="1287"/>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7"/>
      <c r="AZ72" s="1287"/>
      <c r="BA72" s="1287"/>
      <c r="BB72" s="1287"/>
      <c r="BC72" s="1287"/>
      <c r="BD72" s="1287"/>
      <c r="BE72" s="1287"/>
      <c r="BF72" s="1287"/>
      <c r="BG72" s="1287"/>
      <c r="BH72" s="1287"/>
      <c r="BI72" s="1287"/>
      <c r="BJ72" s="1287"/>
      <c r="BK72" s="1287"/>
      <c r="BL72" s="1287"/>
      <c r="BM72" s="1287"/>
      <c r="BN72" s="1287"/>
      <c r="BO72" s="1287"/>
      <c r="BP72" s="1287"/>
      <c r="BQ72" s="1287"/>
      <c r="BR72" s="1287"/>
      <c r="BS72" s="1287"/>
      <c r="BT72" s="1287"/>
      <c r="BU72" s="1287"/>
      <c r="BV72" s="1287"/>
      <c r="BW72" s="1287"/>
      <c r="BX72" s="1287"/>
      <c r="BY72" s="1287"/>
      <c r="BZ72" s="1287"/>
      <c r="CA72" s="1287"/>
      <c r="CB72" s="1287"/>
      <c r="CC72" s="1287"/>
      <c r="CD72" s="1287"/>
      <c r="CE72" s="1287"/>
      <c r="CF72" s="1287"/>
      <c r="CG72" s="1287"/>
      <c r="CH72" s="1287"/>
      <c r="CI72" s="1287"/>
      <c r="CJ72" s="1287"/>
      <c r="CK72" s="1287"/>
      <c r="CL72" s="1287"/>
      <c r="CM72" s="1287"/>
      <c r="CN72" s="1287"/>
      <c r="CO72" s="1287"/>
      <c r="CP72" s="1287"/>
      <c r="CQ72" s="1287"/>
      <c r="CR72" s="1287"/>
      <c r="CS72" s="1287"/>
      <c r="CT72" s="1287"/>
      <c r="CU72" s="1287"/>
      <c r="CV72" s="1287"/>
      <c r="CW72" s="1287"/>
      <c r="CX72" s="1287"/>
      <c r="CY72" s="1287"/>
      <c r="CZ72" s="1287"/>
      <c r="DA72" s="1287"/>
      <c r="DB72" s="1287"/>
      <c r="DC72" s="1287"/>
      <c r="DD72" s="1287"/>
      <c r="DE72" s="1287"/>
      <c r="DF72" s="1287"/>
      <c r="DG72" s="1287"/>
      <c r="DH72" s="1287"/>
      <c r="DI72" s="1287"/>
      <c r="DJ72" s="1287"/>
      <c r="DK72" s="1287"/>
      <c r="DL72" s="1288"/>
    </row>
    <row r="73" spans="1:165" ht="7.5" customHeight="1" thickBot="1">
      <c r="B73" s="1274"/>
      <c r="C73" s="1275"/>
      <c r="D73" s="1275"/>
      <c r="E73" s="1275"/>
      <c r="F73" s="1275"/>
      <c r="G73" s="1275"/>
      <c r="H73" s="1275"/>
      <c r="I73" s="1275"/>
      <c r="J73" s="1275"/>
      <c r="K73" s="1275"/>
      <c r="L73" s="1276"/>
      <c r="M73" s="1281"/>
      <c r="N73" s="1281"/>
      <c r="O73" s="1281"/>
      <c r="P73" s="1282"/>
      <c r="Q73" s="1286"/>
      <c r="R73" s="1287"/>
      <c r="S73" s="1287"/>
      <c r="T73" s="1287"/>
      <c r="U73" s="1287"/>
      <c r="V73" s="1287"/>
      <c r="W73" s="1287"/>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7"/>
      <c r="AZ73" s="1287"/>
      <c r="BA73" s="1287"/>
      <c r="BB73" s="1287"/>
      <c r="BC73" s="1287"/>
      <c r="BD73" s="1287"/>
      <c r="BE73" s="1287"/>
      <c r="BF73" s="1287"/>
      <c r="BG73" s="1287"/>
      <c r="BH73" s="1287"/>
      <c r="BI73" s="1287"/>
      <c r="BJ73" s="1287"/>
      <c r="BK73" s="1287"/>
      <c r="BL73" s="1287"/>
      <c r="BM73" s="1287"/>
      <c r="BN73" s="1287"/>
      <c r="BO73" s="1287"/>
      <c r="BP73" s="1287"/>
      <c r="BQ73" s="1287"/>
      <c r="BR73" s="1287"/>
      <c r="BS73" s="1287"/>
      <c r="BT73" s="1287"/>
      <c r="BU73" s="1287"/>
      <c r="BV73" s="1287"/>
      <c r="BW73" s="1287"/>
      <c r="BX73" s="1287"/>
      <c r="BY73" s="1287"/>
      <c r="BZ73" s="1287"/>
      <c r="CA73" s="1287"/>
      <c r="CB73" s="1287"/>
      <c r="CC73" s="1287"/>
      <c r="CD73" s="1287"/>
      <c r="CE73" s="1287"/>
      <c r="CF73" s="1287"/>
      <c r="CG73" s="1287"/>
      <c r="CH73" s="1287"/>
      <c r="CI73" s="1287"/>
      <c r="CJ73" s="1287"/>
      <c r="CK73" s="1287"/>
      <c r="CL73" s="1287"/>
      <c r="CM73" s="1287"/>
      <c r="CN73" s="1287"/>
      <c r="CO73" s="1287"/>
      <c r="CP73" s="1287"/>
      <c r="CQ73" s="1287"/>
      <c r="CR73" s="1287"/>
      <c r="CS73" s="1287"/>
      <c r="CT73" s="1287"/>
      <c r="CU73" s="1287"/>
      <c r="CV73" s="1287"/>
      <c r="CW73" s="1287"/>
      <c r="CX73" s="1287"/>
      <c r="CY73" s="1287"/>
      <c r="CZ73" s="1287"/>
      <c r="DA73" s="1287"/>
      <c r="DB73" s="1287"/>
      <c r="DC73" s="1287"/>
      <c r="DD73" s="1287"/>
      <c r="DE73" s="1287"/>
      <c r="DF73" s="1287"/>
      <c r="DG73" s="1287"/>
      <c r="DH73" s="1287"/>
      <c r="DI73" s="1287"/>
      <c r="DJ73" s="1287"/>
      <c r="DK73" s="1287"/>
      <c r="DL73" s="1288"/>
    </row>
    <row r="74" spans="1:165" ht="7.5" customHeight="1" thickTop="1">
      <c r="B74" s="1210" t="s">
        <v>387</v>
      </c>
      <c r="C74" s="1211"/>
      <c r="D74" s="1211"/>
      <c r="E74" s="1211"/>
      <c r="F74" s="1211"/>
      <c r="G74" s="1211"/>
      <c r="H74" s="1211"/>
      <c r="I74" s="1211"/>
      <c r="J74" s="1211"/>
      <c r="K74" s="1211"/>
      <c r="L74" s="1212"/>
      <c r="M74" s="1219"/>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c r="AL74" s="1220"/>
      <c r="AM74" s="1220"/>
      <c r="AN74" s="1220"/>
      <c r="AO74" s="1220"/>
      <c r="AP74" s="1220"/>
      <c r="AQ74" s="1220"/>
      <c r="AR74" s="1221"/>
      <c r="AS74" s="1228" t="s">
        <v>1589</v>
      </c>
      <c r="AT74" s="1229"/>
      <c r="AU74" s="1229"/>
      <c r="AV74" s="1229"/>
      <c r="AW74" s="1229"/>
      <c r="AX74" s="1229"/>
      <c r="AY74" s="1229"/>
      <c r="AZ74" s="1229"/>
      <c r="BA74" s="1229"/>
      <c r="BB74" s="1229"/>
      <c r="BC74" s="1229"/>
      <c r="BD74" s="1229"/>
      <c r="BE74" s="1229"/>
      <c r="BF74" s="1229"/>
      <c r="BG74" s="1229"/>
      <c r="BH74" s="1229"/>
      <c r="BI74" s="1229"/>
      <c r="BJ74" s="1229"/>
      <c r="BK74" s="1229"/>
      <c r="BL74" s="1229"/>
      <c r="BM74" s="1229"/>
      <c r="BN74" s="1229"/>
      <c r="BO74" s="1229"/>
      <c r="BP74" s="1229"/>
      <c r="BQ74" s="1229"/>
      <c r="BR74" s="1229"/>
      <c r="BS74" s="1229"/>
      <c r="BT74" s="1229"/>
      <c r="BU74" s="1229"/>
      <c r="BV74" s="1229"/>
      <c r="BW74" s="1229"/>
      <c r="BX74" s="1229"/>
      <c r="BY74" s="1229"/>
      <c r="BZ74" s="1229"/>
      <c r="CA74" s="1229"/>
      <c r="CB74" s="1229"/>
      <c r="CC74" s="1229"/>
      <c r="CD74" s="1229"/>
      <c r="CE74" s="1229"/>
      <c r="CF74" s="1229"/>
      <c r="CG74" s="1229"/>
      <c r="CH74" s="1229"/>
      <c r="CI74" s="1229"/>
      <c r="CJ74" s="1229"/>
      <c r="CK74" s="1229"/>
      <c r="CL74" s="1229"/>
      <c r="CM74" s="1229"/>
      <c r="CN74" s="1229"/>
      <c r="CO74" s="1229"/>
      <c r="CP74" s="1229"/>
      <c r="CQ74" s="1229"/>
      <c r="CR74" s="1229"/>
      <c r="CS74" s="1229"/>
      <c r="CT74" s="1229"/>
      <c r="CU74" s="1229"/>
      <c r="CV74" s="1229"/>
      <c r="CW74" s="1229"/>
      <c r="CX74" s="1229"/>
      <c r="CY74" s="1229"/>
      <c r="CZ74" s="1229"/>
      <c r="DA74" s="1229"/>
      <c r="DB74" s="1229"/>
      <c r="DC74" s="1229"/>
      <c r="DD74" s="1229"/>
      <c r="DE74" s="1229"/>
      <c r="DF74" s="1229"/>
      <c r="DG74" s="1229"/>
      <c r="DH74" s="1229"/>
      <c r="DI74" s="1229"/>
      <c r="DJ74" s="1229"/>
      <c r="DK74" s="1229"/>
      <c r="DL74" s="1230"/>
    </row>
    <row r="75" spans="1:165" ht="7.5" customHeight="1">
      <c r="B75" s="1213"/>
      <c r="C75" s="1214"/>
      <c r="D75" s="1214"/>
      <c r="E75" s="1214"/>
      <c r="F75" s="1214"/>
      <c r="G75" s="1214"/>
      <c r="H75" s="1214"/>
      <c r="I75" s="1214"/>
      <c r="J75" s="1214"/>
      <c r="K75" s="1214"/>
      <c r="L75" s="1215"/>
      <c r="M75" s="1222"/>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c r="AL75" s="1223"/>
      <c r="AM75" s="1223"/>
      <c r="AN75" s="1223"/>
      <c r="AO75" s="1223"/>
      <c r="AP75" s="1223"/>
      <c r="AQ75" s="1223"/>
      <c r="AR75" s="1224"/>
      <c r="AS75" s="1231"/>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c r="CB75" s="1232"/>
      <c r="CC75" s="1232"/>
      <c r="CD75" s="1232"/>
      <c r="CE75" s="1232"/>
      <c r="CF75" s="1232"/>
      <c r="CG75" s="1232"/>
      <c r="CH75" s="1232"/>
      <c r="CI75" s="1232"/>
      <c r="CJ75" s="1232"/>
      <c r="CK75" s="1232"/>
      <c r="CL75" s="1232"/>
      <c r="CM75" s="1232"/>
      <c r="CN75" s="1232"/>
      <c r="CO75" s="1232"/>
      <c r="CP75" s="1232"/>
      <c r="CQ75" s="1232"/>
      <c r="CR75" s="1232"/>
      <c r="CS75" s="1232"/>
      <c r="CT75" s="1232"/>
      <c r="CU75" s="1232"/>
      <c r="CV75" s="1232"/>
      <c r="CW75" s="1232"/>
      <c r="CX75" s="1232"/>
      <c r="CY75" s="1232"/>
      <c r="CZ75" s="1232"/>
      <c r="DA75" s="1232"/>
      <c r="DB75" s="1232"/>
      <c r="DC75" s="1232"/>
      <c r="DD75" s="1232"/>
      <c r="DE75" s="1232"/>
      <c r="DF75" s="1232"/>
      <c r="DG75" s="1232"/>
      <c r="DH75" s="1232"/>
      <c r="DI75" s="1232"/>
      <c r="DJ75" s="1232"/>
      <c r="DK75" s="1232"/>
      <c r="DL75" s="1233"/>
      <c r="DS75" s="109"/>
    </row>
    <row r="76" spans="1:165" ht="7.5" customHeight="1" thickBot="1">
      <c r="B76" s="1216"/>
      <c r="C76" s="1217"/>
      <c r="D76" s="1217"/>
      <c r="E76" s="1217"/>
      <c r="F76" s="1217"/>
      <c r="G76" s="1217"/>
      <c r="H76" s="1217"/>
      <c r="I76" s="1217"/>
      <c r="J76" s="1217"/>
      <c r="K76" s="1217"/>
      <c r="L76" s="1218"/>
      <c r="M76" s="1225"/>
      <c r="N76" s="1226"/>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7"/>
      <c r="AS76" s="1234"/>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c r="DD76" s="1235"/>
      <c r="DE76" s="1235"/>
      <c r="DF76" s="1235"/>
      <c r="DG76" s="1235"/>
      <c r="DH76" s="1235"/>
      <c r="DI76" s="1235"/>
      <c r="DJ76" s="1235"/>
      <c r="DK76" s="1235"/>
      <c r="DL76" s="1236"/>
    </row>
    <row r="77" spans="1:165" ht="15.65" customHeight="1" thickTop="1">
      <c r="B77" s="1237" t="s">
        <v>388</v>
      </c>
      <c r="C77" s="1238"/>
      <c r="D77" s="1238"/>
      <c r="E77" s="1238"/>
      <c r="F77" s="1238"/>
      <c r="G77" s="1238"/>
      <c r="H77" s="1238"/>
      <c r="I77" s="1238"/>
      <c r="J77" s="1238"/>
      <c r="K77" s="1238"/>
      <c r="L77" s="1239"/>
      <c r="M77" s="1246"/>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8"/>
      <c r="AL77" s="3424" t="s">
        <v>1351</v>
      </c>
      <c r="AM77" s="3424"/>
      <c r="AN77" s="3424"/>
      <c r="AO77" s="3424"/>
      <c r="AP77" s="3424"/>
      <c r="AQ77" s="3424"/>
      <c r="AR77" s="3424"/>
      <c r="AS77" s="3424"/>
      <c r="AT77" s="3424"/>
      <c r="AU77" s="3424"/>
      <c r="AV77" s="3424"/>
      <c r="AW77" s="3424"/>
      <c r="AX77" s="3424"/>
      <c r="AY77" s="3424"/>
      <c r="AZ77" s="3424"/>
      <c r="BA77" s="3424"/>
      <c r="BB77" s="3424"/>
      <c r="BC77" s="3424"/>
      <c r="BD77" s="3424"/>
      <c r="BE77" s="3424"/>
      <c r="BF77" s="3424"/>
      <c r="BG77" s="3424"/>
      <c r="BH77" s="3424"/>
      <c r="BI77" s="3424"/>
      <c r="BJ77" s="3424"/>
      <c r="BK77" s="3424"/>
      <c r="BL77" s="3424"/>
      <c r="BM77" s="3424"/>
      <c r="BN77" s="3424"/>
      <c r="BO77" s="3424"/>
      <c r="BP77" s="3424"/>
      <c r="BQ77" s="3424"/>
      <c r="BR77" s="3424"/>
      <c r="BS77" s="3424"/>
      <c r="BT77" s="3424"/>
      <c r="BU77" s="3424"/>
      <c r="BV77" s="3424"/>
      <c r="BW77" s="3424"/>
      <c r="BX77" s="3424"/>
      <c r="BY77" s="3424"/>
      <c r="BZ77" s="3424"/>
      <c r="CA77" s="3424"/>
      <c r="CB77" s="3424"/>
      <c r="CC77" s="3424"/>
      <c r="CD77" s="3424"/>
      <c r="CE77" s="3424"/>
      <c r="CF77" s="3424"/>
      <c r="CG77" s="3424"/>
      <c r="CH77" s="3424"/>
      <c r="CI77" s="3424"/>
      <c r="CJ77" s="3424"/>
      <c r="CK77" s="3424"/>
      <c r="CL77" s="3424"/>
      <c r="CM77" s="3424"/>
      <c r="CN77" s="3424"/>
      <c r="CO77" s="3424"/>
      <c r="CP77" s="3424"/>
      <c r="CQ77" s="3424"/>
      <c r="CR77" s="3424"/>
      <c r="CS77" s="3424"/>
      <c r="CT77" s="3424"/>
      <c r="CU77" s="3424"/>
      <c r="CV77" s="3424"/>
      <c r="CW77" s="3424"/>
      <c r="CX77" s="3424"/>
      <c r="CY77" s="3424"/>
      <c r="CZ77" s="3424"/>
      <c r="DA77" s="3424"/>
      <c r="DB77" s="3424"/>
      <c r="DC77" s="3424"/>
      <c r="DD77" s="3424"/>
      <c r="DE77" s="3424"/>
      <c r="DF77" s="3424"/>
      <c r="DG77" s="3424"/>
      <c r="DH77" s="3424"/>
      <c r="DI77" s="3424"/>
      <c r="DJ77" s="3424"/>
      <c r="DK77" s="3424"/>
      <c r="DL77" s="3424"/>
    </row>
    <row r="78" spans="1:165" ht="7.5" customHeight="1">
      <c r="B78" s="1240"/>
      <c r="C78" s="1241"/>
      <c r="D78" s="1241"/>
      <c r="E78" s="1241"/>
      <c r="F78" s="1241"/>
      <c r="G78" s="1241"/>
      <c r="H78" s="1241"/>
      <c r="I78" s="1241"/>
      <c r="J78" s="1241"/>
      <c r="K78" s="1241"/>
      <c r="L78" s="1242"/>
      <c r="M78" s="1249"/>
      <c r="N78" s="1250"/>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1"/>
      <c r="AL78" s="3424"/>
      <c r="AM78" s="3424"/>
      <c r="AN78" s="3424"/>
      <c r="AO78" s="3424"/>
      <c r="AP78" s="3424"/>
      <c r="AQ78" s="3424"/>
      <c r="AR78" s="3424"/>
      <c r="AS78" s="3424"/>
      <c r="AT78" s="3424"/>
      <c r="AU78" s="3424"/>
      <c r="AV78" s="3424"/>
      <c r="AW78" s="3424"/>
      <c r="AX78" s="3424"/>
      <c r="AY78" s="3424"/>
      <c r="AZ78" s="3424"/>
      <c r="BA78" s="3424"/>
      <c r="BB78" s="3424"/>
      <c r="BC78" s="3424"/>
      <c r="BD78" s="3424"/>
      <c r="BE78" s="3424"/>
      <c r="BF78" s="3424"/>
      <c r="BG78" s="3424"/>
      <c r="BH78" s="3424"/>
      <c r="BI78" s="3424"/>
      <c r="BJ78" s="3424"/>
      <c r="BK78" s="3424"/>
      <c r="BL78" s="3424"/>
      <c r="BM78" s="3424"/>
      <c r="BN78" s="3424"/>
      <c r="BO78" s="3424"/>
      <c r="BP78" s="3424"/>
      <c r="BQ78" s="3424"/>
      <c r="BR78" s="3424"/>
      <c r="BS78" s="3424"/>
      <c r="BT78" s="3424"/>
      <c r="BU78" s="3424"/>
      <c r="BV78" s="3424"/>
      <c r="BW78" s="3424"/>
      <c r="BX78" s="3424"/>
      <c r="BY78" s="3424"/>
      <c r="BZ78" s="3424"/>
      <c r="CA78" s="3424"/>
      <c r="CB78" s="3424"/>
      <c r="CC78" s="3424"/>
      <c r="CD78" s="3424"/>
      <c r="CE78" s="3424"/>
      <c r="CF78" s="3424"/>
      <c r="CG78" s="3424"/>
      <c r="CH78" s="3424"/>
      <c r="CI78" s="3424"/>
      <c r="CJ78" s="3424"/>
      <c r="CK78" s="3424"/>
      <c r="CL78" s="3424"/>
      <c r="CM78" s="3424"/>
      <c r="CN78" s="3424"/>
      <c r="CO78" s="3424"/>
      <c r="CP78" s="3424"/>
      <c r="CQ78" s="3424"/>
      <c r="CR78" s="3424"/>
      <c r="CS78" s="3424"/>
      <c r="CT78" s="3424"/>
      <c r="CU78" s="3424"/>
      <c r="CV78" s="3424"/>
      <c r="CW78" s="3424"/>
      <c r="CX78" s="3424"/>
      <c r="CY78" s="3424"/>
      <c r="CZ78" s="3424"/>
      <c r="DA78" s="3424"/>
      <c r="DB78" s="3424"/>
      <c r="DC78" s="3424"/>
      <c r="DD78" s="3424"/>
      <c r="DE78" s="3424"/>
      <c r="DF78" s="3424"/>
      <c r="DG78" s="3424"/>
      <c r="DH78" s="3424"/>
      <c r="DI78" s="3424"/>
      <c r="DJ78" s="3424"/>
      <c r="DK78" s="3424"/>
      <c r="DL78" s="3424"/>
    </row>
    <row r="79" spans="1:165" ht="7.5" customHeight="1">
      <c r="B79" s="1274"/>
      <c r="C79" s="1275"/>
      <c r="D79" s="1275"/>
      <c r="E79" s="1275"/>
      <c r="F79" s="1275"/>
      <c r="G79" s="1275"/>
      <c r="H79" s="1275"/>
      <c r="I79" s="1275"/>
      <c r="J79" s="1275"/>
      <c r="K79" s="1275"/>
      <c r="L79" s="1276"/>
      <c r="M79" s="2287"/>
      <c r="N79" s="2288"/>
      <c r="O79" s="2288"/>
      <c r="P79" s="2288"/>
      <c r="Q79" s="2288"/>
      <c r="R79" s="2288"/>
      <c r="S79" s="2288"/>
      <c r="T79" s="2288"/>
      <c r="U79" s="2288"/>
      <c r="V79" s="2288"/>
      <c r="W79" s="2288"/>
      <c r="X79" s="2288"/>
      <c r="Y79" s="2288"/>
      <c r="Z79" s="2288"/>
      <c r="AA79" s="2288"/>
      <c r="AB79" s="2288"/>
      <c r="AC79" s="2288"/>
      <c r="AD79" s="2288"/>
      <c r="AE79" s="2288"/>
      <c r="AF79" s="2288"/>
      <c r="AG79" s="2288"/>
      <c r="AH79" s="2288"/>
      <c r="AI79" s="2288"/>
      <c r="AJ79" s="2288"/>
      <c r="AK79" s="2289"/>
      <c r="AL79" s="3424"/>
      <c r="AM79" s="3424"/>
      <c r="AN79" s="3424"/>
      <c r="AO79" s="3424"/>
      <c r="AP79" s="3424"/>
      <c r="AQ79" s="3424"/>
      <c r="AR79" s="3424"/>
      <c r="AS79" s="3424"/>
      <c r="AT79" s="3424"/>
      <c r="AU79" s="3424"/>
      <c r="AV79" s="3424"/>
      <c r="AW79" s="3424"/>
      <c r="AX79" s="3424"/>
      <c r="AY79" s="3424"/>
      <c r="AZ79" s="3424"/>
      <c r="BA79" s="3424"/>
      <c r="BB79" s="3424"/>
      <c r="BC79" s="3424"/>
      <c r="BD79" s="3424"/>
      <c r="BE79" s="3424"/>
      <c r="BF79" s="3424"/>
      <c r="BG79" s="3424"/>
      <c r="BH79" s="3424"/>
      <c r="BI79" s="3424"/>
      <c r="BJ79" s="3424"/>
      <c r="BK79" s="3424"/>
      <c r="BL79" s="3424"/>
      <c r="BM79" s="3424"/>
      <c r="BN79" s="3424"/>
      <c r="BO79" s="3424"/>
      <c r="BP79" s="3424"/>
      <c r="BQ79" s="3424"/>
      <c r="BR79" s="3424"/>
      <c r="BS79" s="3424"/>
      <c r="BT79" s="3424"/>
      <c r="BU79" s="3424"/>
      <c r="BV79" s="3424"/>
      <c r="BW79" s="3424"/>
      <c r="BX79" s="3424"/>
      <c r="BY79" s="3424"/>
      <c r="BZ79" s="3424"/>
      <c r="CA79" s="3424"/>
      <c r="CB79" s="3424"/>
      <c r="CC79" s="3424"/>
      <c r="CD79" s="3424"/>
      <c r="CE79" s="3424"/>
      <c r="CF79" s="3424"/>
      <c r="CG79" s="3424"/>
      <c r="CH79" s="3424"/>
      <c r="CI79" s="3424"/>
      <c r="CJ79" s="3424"/>
      <c r="CK79" s="3424"/>
      <c r="CL79" s="3424"/>
      <c r="CM79" s="3424"/>
      <c r="CN79" s="3424"/>
      <c r="CO79" s="3424"/>
      <c r="CP79" s="3424"/>
      <c r="CQ79" s="3424"/>
      <c r="CR79" s="3424"/>
      <c r="CS79" s="3424"/>
      <c r="CT79" s="3424"/>
      <c r="CU79" s="3424"/>
      <c r="CV79" s="3424"/>
      <c r="CW79" s="3424"/>
      <c r="CX79" s="3424"/>
      <c r="CY79" s="3424"/>
      <c r="CZ79" s="3424"/>
      <c r="DA79" s="3424"/>
      <c r="DB79" s="3424"/>
      <c r="DC79" s="3424"/>
      <c r="DD79" s="3424"/>
      <c r="DE79" s="3424"/>
      <c r="DF79" s="3424"/>
      <c r="DG79" s="3424"/>
      <c r="DH79" s="3424"/>
      <c r="DI79" s="3424"/>
      <c r="DJ79" s="3424"/>
      <c r="DK79" s="3424"/>
      <c r="DL79" s="3424"/>
      <c r="DS79" s="109"/>
    </row>
    <row r="80" spans="1:165" ht="4.5" customHeight="1" thickBot="1">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row>
    <row r="81" spans="1:206" s="200" customFormat="1" ht="7.5" customHeight="1">
      <c r="A81" s="199"/>
      <c r="B81" s="3377" t="s">
        <v>1590</v>
      </c>
      <c r="C81" s="3378"/>
      <c r="D81" s="3378"/>
      <c r="E81" s="3378"/>
      <c r="F81" s="3378"/>
      <c r="G81" s="3378"/>
      <c r="H81" s="3378"/>
      <c r="I81" s="3378"/>
      <c r="J81" s="3378"/>
      <c r="K81" s="3378"/>
      <c r="L81" s="3378"/>
      <c r="M81" s="3378"/>
      <c r="N81" s="3378"/>
      <c r="O81" s="3378"/>
      <c r="P81" s="3378"/>
      <c r="Q81" s="3378"/>
      <c r="R81" s="3378"/>
      <c r="S81" s="3378"/>
      <c r="T81" s="3378"/>
      <c r="U81" s="3378"/>
      <c r="V81" s="3378"/>
      <c r="W81" s="3378"/>
      <c r="X81" s="3378"/>
      <c r="Y81" s="3378"/>
      <c r="Z81" s="3378"/>
      <c r="AA81" s="3378"/>
      <c r="AB81" s="3378"/>
      <c r="AC81" s="3378"/>
      <c r="AD81" s="3378"/>
      <c r="AE81" s="3378"/>
      <c r="AF81" s="3378"/>
      <c r="AG81" s="3378"/>
      <c r="AH81" s="3378"/>
      <c r="AI81" s="3378"/>
      <c r="AJ81" s="3378"/>
      <c r="AK81" s="3378"/>
      <c r="AL81" s="3378"/>
      <c r="AM81" s="3378"/>
      <c r="AN81" s="3378"/>
      <c r="AO81" s="3378"/>
      <c r="AP81" s="3378"/>
      <c r="AQ81" s="3378"/>
      <c r="AR81" s="3378"/>
      <c r="AS81" s="3378"/>
      <c r="AT81" s="3378"/>
      <c r="AU81" s="3378"/>
      <c r="AV81" s="3378"/>
      <c r="AW81" s="3378"/>
      <c r="AX81" s="3378"/>
      <c r="AY81" s="3378"/>
      <c r="AZ81" s="3378"/>
      <c r="BA81" s="3378"/>
      <c r="BB81" s="3378"/>
      <c r="BC81" s="3378"/>
      <c r="BD81" s="3378"/>
      <c r="BE81" s="3378"/>
      <c r="BF81" s="3378"/>
      <c r="BG81" s="3378"/>
      <c r="BH81" s="3378"/>
      <c r="BI81" s="3378"/>
      <c r="BJ81" s="3378"/>
      <c r="BK81" s="3378"/>
      <c r="BL81" s="3378"/>
      <c r="BM81" s="3378"/>
      <c r="BN81" s="3378"/>
      <c r="BO81" s="3378"/>
      <c r="BP81" s="3378"/>
      <c r="BQ81" s="3378"/>
      <c r="BR81" s="3378"/>
      <c r="BS81" s="3378"/>
      <c r="BT81" s="3378"/>
      <c r="BU81" s="3378"/>
      <c r="BV81" s="3378"/>
      <c r="BW81" s="3378"/>
      <c r="BX81" s="3378"/>
      <c r="BY81" s="3378"/>
      <c r="BZ81" s="3378"/>
      <c r="CA81" s="3378"/>
      <c r="CB81" s="3378"/>
      <c r="CC81" s="3378"/>
      <c r="CD81" s="3378"/>
      <c r="CE81" s="3378"/>
      <c r="CF81" s="3378"/>
      <c r="CG81" s="3378"/>
      <c r="CH81" s="3378"/>
      <c r="CI81" s="3378"/>
      <c r="CJ81" s="3378"/>
      <c r="CK81" s="3378"/>
      <c r="CL81" s="3378"/>
      <c r="CM81" s="3378"/>
      <c r="CN81" s="3378"/>
      <c r="CO81" s="3378"/>
      <c r="CP81" s="3378"/>
      <c r="CQ81" s="3378"/>
      <c r="CR81" s="3378"/>
      <c r="CS81" s="3378"/>
      <c r="CT81" s="3378"/>
      <c r="CU81" s="3378"/>
      <c r="CV81" s="3378"/>
      <c r="CW81" s="3378"/>
      <c r="CX81" s="3378"/>
      <c r="CY81" s="3378"/>
      <c r="CZ81" s="3378"/>
      <c r="DA81" s="3378"/>
      <c r="DB81" s="3378"/>
      <c r="DC81" s="3378"/>
      <c r="DD81" s="3378"/>
      <c r="DE81" s="3378"/>
      <c r="DF81" s="3378"/>
      <c r="DG81" s="3378"/>
      <c r="DH81" s="3378"/>
      <c r="DI81" s="3378"/>
      <c r="DJ81" s="3378"/>
      <c r="DK81" s="3378"/>
      <c r="DL81" s="3379"/>
      <c r="DM81" s="202"/>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row>
    <row r="82" spans="1:206" s="200" customFormat="1" ht="7.5" customHeight="1" thickBot="1">
      <c r="A82" s="199"/>
      <c r="B82" s="3380"/>
      <c r="C82" s="3381"/>
      <c r="D82" s="3381"/>
      <c r="E82" s="3381"/>
      <c r="F82" s="3381"/>
      <c r="G82" s="3381"/>
      <c r="H82" s="3381"/>
      <c r="I82" s="3381"/>
      <c r="J82" s="3381"/>
      <c r="K82" s="3381"/>
      <c r="L82" s="3381"/>
      <c r="M82" s="3381"/>
      <c r="N82" s="3381"/>
      <c r="O82" s="3381"/>
      <c r="P82" s="3381"/>
      <c r="Q82" s="3381"/>
      <c r="R82" s="3381"/>
      <c r="S82" s="3381"/>
      <c r="T82" s="3381"/>
      <c r="U82" s="3381"/>
      <c r="V82" s="3381"/>
      <c r="W82" s="3381"/>
      <c r="X82" s="3381"/>
      <c r="Y82" s="3381"/>
      <c r="Z82" s="3381"/>
      <c r="AA82" s="3381"/>
      <c r="AB82" s="3381"/>
      <c r="AC82" s="3381"/>
      <c r="AD82" s="3381"/>
      <c r="AE82" s="3381"/>
      <c r="AF82" s="3381"/>
      <c r="AG82" s="3381"/>
      <c r="AH82" s="3381"/>
      <c r="AI82" s="3381"/>
      <c r="AJ82" s="3381"/>
      <c r="AK82" s="3381"/>
      <c r="AL82" s="3381"/>
      <c r="AM82" s="3381"/>
      <c r="AN82" s="3381"/>
      <c r="AO82" s="3381"/>
      <c r="AP82" s="3381"/>
      <c r="AQ82" s="3381"/>
      <c r="AR82" s="3381"/>
      <c r="AS82" s="3381"/>
      <c r="AT82" s="3381"/>
      <c r="AU82" s="3381"/>
      <c r="AV82" s="3381"/>
      <c r="AW82" s="3381"/>
      <c r="AX82" s="3381"/>
      <c r="AY82" s="3381"/>
      <c r="AZ82" s="3381"/>
      <c r="BA82" s="3381"/>
      <c r="BB82" s="3381"/>
      <c r="BC82" s="3381"/>
      <c r="BD82" s="3381"/>
      <c r="BE82" s="3381"/>
      <c r="BF82" s="3381"/>
      <c r="BG82" s="3381"/>
      <c r="BH82" s="3381"/>
      <c r="BI82" s="3381"/>
      <c r="BJ82" s="3381"/>
      <c r="BK82" s="3381"/>
      <c r="BL82" s="3381"/>
      <c r="BM82" s="3381"/>
      <c r="BN82" s="3381"/>
      <c r="BO82" s="3381"/>
      <c r="BP82" s="3381"/>
      <c r="BQ82" s="3381"/>
      <c r="BR82" s="3381"/>
      <c r="BS82" s="3381"/>
      <c r="BT82" s="3381"/>
      <c r="BU82" s="3381"/>
      <c r="BV82" s="3381"/>
      <c r="BW82" s="3381"/>
      <c r="BX82" s="3381"/>
      <c r="BY82" s="3381"/>
      <c r="BZ82" s="3381"/>
      <c r="CA82" s="3381"/>
      <c r="CB82" s="3381"/>
      <c r="CC82" s="3381"/>
      <c r="CD82" s="3381"/>
      <c r="CE82" s="3381"/>
      <c r="CF82" s="3381"/>
      <c r="CG82" s="3381"/>
      <c r="CH82" s="3381"/>
      <c r="CI82" s="3381"/>
      <c r="CJ82" s="3381"/>
      <c r="CK82" s="3381"/>
      <c r="CL82" s="3381"/>
      <c r="CM82" s="3381"/>
      <c r="CN82" s="3381"/>
      <c r="CO82" s="3381"/>
      <c r="CP82" s="3381"/>
      <c r="CQ82" s="3381"/>
      <c r="CR82" s="3381"/>
      <c r="CS82" s="3381"/>
      <c r="CT82" s="3381"/>
      <c r="CU82" s="3381"/>
      <c r="CV82" s="3381"/>
      <c r="CW82" s="3381"/>
      <c r="CX82" s="3381"/>
      <c r="CY82" s="3381"/>
      <c r="CZ82" s="3381"/>
      <c r="DA82" s="3381"/>
      <c r="DB82" s="3381"/>
      <c r="DC82" s="3381"/>
      <c r="DD82" s="3381"/>
      <c r="DE82" s="3381"/>
      <c r="DF82" s="3381"/>
      <c r="DG82" s="3381"/>
      <c r="DH82" s="3381"/>
      <c r="DI82" s="3381"/>
      <c r="DJ82" s="3381"/>
      <c r="DK82" s="3381"/>
      <c r="DL82" s="3382"/>
      <c r="DM82" s="20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row>
    <row r="83" spans="1:206" ht="7.5" customHeight="1" thickTop="1">
      <c r="B83" s="3210" t="s">
        <v>241</v>
      </c>
      <c r="C83" s="1752"/>
      <c r="D83" s="1752"/>
      <c r="E83" s="1752"/>
      <c r="F83" s="1752"/>
      <c r="G83" s="1752"/>
      <c r="H83" s="1752"/>
      <c r="I83" s="1753"/>
      <c r="J83" s="1763"/>
      <c r="K83" s="1641"/>
      <c r="L83" s="1641"/>
      <c r="M83" s="1641"/>
      <c r="N83" s="1641"/>
      <c r="O83" s="1641"/>
      <c r="P83" s="1641"/>
      <c r="Q83" s="1641"/>
      <c r="R83" s="1641"/>
      <c r="S83" s="1641"/>
      <c r="T83" s="1641"/>
      <c r="U83" s="1641"/>
      <c r="V83" s="3384" t="s">
        <v>242</v>
      </c>
      <c r="W83" s="3266"/>
      <c r="X83" s="3266"/>
      <c r="Y83" s="3266"/>
      <c r="Z83" s="3266"/>
      <c r="AA83" s="3266"/>
      <c r="AB83" s="3266"/>
      <c r="AC83" s="3385"/>
      <c r="AD83" s="3397"/>
      <c r="AE83" s="1761"/>
      <c r="AF83" s="1761"/>
      <c r="AG83" s="1761"/>
      <c r="AH83" s="1761"/>
      <c r="AI83" s="1761"/>
      <c r="AJ83" s="1761"/>
      <c r="AK83" s="1761"/>
      <c r="AL83" s="1761"/>
      <c r="AM83" s="1761"/>
      <c r="AN83" s="1761"/>
      <c r="AO83" s="1761"/>
      <c r="AP83" s="1761"/>
      <c r="AQ83" s="1761"/>
      <c r="AR83" s="3398"/>
      <c r="AS83" s="3390" t="s">
        <v>391</v>
      </c>
      <c r="AT83" s="3266"/>
      <c r="AU83" s="3266"/>
      <c r="AV83" s="3266"/>
      <c r="AW83" s="3266"/>
      <c r="AX83" s="3266"/>
      <c r="AY83" s="3266"/>
      <c r="AZ83" s="3391"/>
      <c r="BA83" s="2042"/>
      <c r="BB83" s="1697"/>
      <c r="BC83" s="1697"/>
      <c r="BD83" s="1697"/>
      <c r="BE83" s="1697"/>
      <c r="BF83" s="1697"/>
      <c r="BG83" s="3384" t="s">
        <v>246</v>
      </c>
      <c r="BH83" s="3266"/>
      <c r="BI83" s="3266"/>
      <c r="BJ83" s="3266"/>
      <c r="BK83" s="3266"/>
      <c r="BL83" s="3266"/>
      <c r="BM83" s="3266"/>
      <c r="BN83" s="3420"/>
      <c r="BO83" s="3404"/>
      <c r="BP83" s="1364"/>
      <c r="BQ83" s="3405"/>
      <c r="BR83" s="1238" t="s">
        <v>392</v>
      </c>
      <c r="BS83" s="1238"/>
      <c r="BT83" s="1238"/>
      <c r="BU83" s="1238"/>
      <c r="BV83" s="1238"/>
      <c r="BW83" s="1238"/>
      <c r="BX83" s="1238"/>
      <c r="BY83" s="1239"/>
      <c r="BZ83" s="1705"/>
      <c r="CA83" s="1706"/>
      <c r="CB83" s="1706"/>
      <c r="CC83" s="1706"/>
      <c r="CD83" s="1706"/>
      <c r="CE83" s="1706"/>
      <c r="CF83" s="1706"/>
      <c r="CG83" s="1706"/>
      <c r="CH83" s="1706"/>
      <c r="CI83" s="1706"/>
      <c r="CJ83" s="1706"/>
      <c r="CK83" s="1706"/>
      <c r="CL83" s="1706"/>
      <c r="CM83" s="1706"/>
      <c r="CN83" s="1706"/>
      <c r="CO83" s="1706"/>
      <c r="CP83" s="1706"/>
      <c r="CQ83" s="1706"/>
      <c r="CR83" s="1706"/>
      <c r="CS83" s="1706"/>
      <c r="CT83" s="1706"/>
      <c r="CU83" s="1706"/>
      <c r="CV83" s="1706"/>
      <c r="CW83" s="1706"/>
      <c r="CX83" s="1706"/>
      <c r="CY83" s="3369" t="s">
        <v>1103</v>
      </c>
      <c r="CZ83" s="3370"/>
      <c r="DA83" s="3370"/>
      <c r="DB83" s="3370"/>
      <c r="DC83" s="3370"/>
      <c r="DD83" s="3370"/>
      <c r="DE83" s="3370"/>
      <c r="DF83" s="3371"/>
      <c r="DG83" s="3411"/>
      <c r="DH83" s="3412"/>
      <c r="DI83" s="3412"/>
      <c r="DJ83" s="3412"/>
      <c r="DK83" s="3412"/>
      <c r="DL83" s="341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row>
    <row r="84" spans="1:206" ht="7.5" customHeight="1">
      <c r="B84" s="1240"/>
      <c r="C84" s="1241"/>
      <c r="D84" s="1241"/>
      <c r="E84" s="1241"/>
      <c r="F84" s="1241"/>
      <c r="G84" s="1241"/>
      <c r="H84" s="1241"/>
      <c r="I84" s="1242"/>
      <c r="J84" s="1763"/>
      <c r="K84" s="1641"/>
      <c r="L84" s="1641"/>
      <c r="M84" s="1641"/>
      <c r="N84" s="1641"/>
      <c r="O84" s="1641"/>
      <c r="P84" s="1641"/>
      <c r="Q84" s="1641"/>
      <c r="R84" s="1641"/>
      <c r="S84" s="1641"/>
      <c r="T84" s="1641"/>
      <c r="U84" s="1641"/>
      <c r="V84" s="3386"/>
      <c r="W84" s="774"/>
      <c r="X84" s="774"/>
      <c r="Y84" s="774"/>
      <c r="Z84" s="774"/>
      <c r="AA84" s="774"/>
      <c r="AB84" s="774"/>
      <c r="AC84" s="3387"/>
      <c r="AD84" s="3399"/>
      <c r="AE84" s="1641"/>
      <c r="AF84" s="1641"/>
      <c r="AG84" s="1641"/>
      <c r="AH84" s="1641"/>
      <c r="AI84" s="1641"/>
      <c r="AJ84" s="1641"/>
      <c r="AK84" s="1641"/>
      <c r="AL84" s="1641"/>
      <c r="AM84" s="1641"/>
      <c r="AN84" s="1641"/>
      <c r="AO84" s="1641"/>
      <c r="AP84" s="1641"/>
      <c r="AQ84" s="1641"/>
      <c r="AR84" s="3400"/>
      <c r="AS84" s="3392"/>
      <c r="AT84" s="774"/>
      <c r="AU84" s="774"/>
      <c r="AV84" s="774"/>
      <c r="AW84" s="774"/>
      <c r="AX84" s="774"/>
      <c r="AY84" s="774"/>
      <c r="AZ84" s="1750"/>
      <c r="BA84" s="2043"/>
      <c r="BB84" s="1577"/>
      <c r="BC84" s="1577"/>
      <c r="BD84" s="1577"/>
      <c r="BE84" s="1577"/>
      <c r="BF84" s="1577"/>
      <c r="BG84" s="3386"/>
      <c r="BH84" s="774"/>
      <c r="BI84" s="774"/>
      <c r="BJ84" s="774"/>
      <c r="BK84" s="774"/>
      <c r="BL84" s="774"/>
      <c r="BM84" s="774"/>
      <c r="BN84" s="3421"/>
      <c r="BO84" s="3406"/>
      <c r="BP84" s="1367"/>
      <c r="BQ84" s="3407"/>
      <c r="BR84" s="1241"/>
      <c r="BS84" s="1241"/>
      <c r="BT84" s="1241"/>
      <c r="BU84" s="1241"/>
      <c r="BV84" s="1241"/>
      <c r="BW84" s="1241"/>
      <c r="BX84" s="1241"/>
      <c r="BY84" s="1242"/>
      <c r="BZ84" s="3366"/>
      <c r="CA84" s="2083"/>
      <c r="CB84" s="2083"/>
      <c r="CC84" s="2083"/>
      <c r="CD84" s="2083"/>
      <c r="CE84" s="2083"/>
      <c r="CF84" s="2083"/>
      <c r="CG84" s="2083"/>
      <c r="CH84" s="2083"/>
      <c r="CI84" s="2083"/>
      <c r="CJ84" s="2083"/>
      <c r="CK84" s="2083"/>
      <c r="CL84" s="2083"/>
      <c r="CM84" s="2083"/>
      <c r="CN84" s="2083"/>
      <c r="CO84" s="2083"/>
      <c r="CP84" s="2083"/>
      <c r="CQ84" s="2083"/>
      <c r="CR84" s="2083"/>
      <c r="CS84" s="2083"/>
      <c r="CT84" s="2083"/>
      <c r="CU84" s="2083"/>
      <c r="CV84" s="2083"/>
      <c r="CW84" s="2083"/>
      <c r="CX84" s="2083"/>
      <c r="CY84" s="3372"/>
      <c r="CZ84" s="3185"/>
      <c r="DA84" s="3185"/>
      <c r="DB84" s="3185"/>
      <c r="DC84" s="3185"/>
      <c r="DD84" s="3185"/>
      <c r="DE84" s="3185"/>
      <c r="DF84" s="3373"/>
      <c r="DG84" s="3414"/>
      <c r="DH84" s="3415"/>
      <c r="DI84" s="3415"/>
      <c r="DJ84" s="3415"/>
      <c r="DK84" s="3415"/>
      <c r="DL84" s="3416"/>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row>
    <row r="85" spans="1:206" ht="7.5" customHeight="1">
      <c r="B85" s="3383"/>
      <c r="C85" s="3364"/>
      <c r="D85" s="3364"/>
      <c r="E85" s="3364"/>
      <c r="F85" s="3364"/>
      <c r="G85" s="3364"/>
      <c r="H85" s="3364"/>
      <c r="I85" s="3365"/>
      <c r="J85" s="1763"/>
      <c r="K85" s="1641"/>
      <c r="L85" s="1641"/>
      <c r="M85" s="1641"/>
      <c r="N85" s="1641"/>
      <c r="O85" s="1641"/>
      <c r="P85" s="1641"/>
      <c r="Q85" s="1641"/>
      <c r="R85" s="1641"/>
      <c r="S85" s="1641"/>
      <c r="T85" s="1641"/>
      <c r="U85" s="1641"/>
      <c r="V85" s="3386"/>
      <c r="W85" s="774"/>
      <c r="X85" s="774"/>
      <c r="Y85" s="3388"/>
      <c r="Z85" s="3388"/>
      <c r="AA85" s="3388"/>
      <c r="AB85" s="3388"/>
      <c r="AC85" s="3389"/>
      <c r="AD85" s="3401"/>
      <c r="AE85" s="3402"/>
      <c r="AF85" s="3402"/>
      <c r="AG85" s="3402"/>
      <c r="AH85" s="3402"/>
      <c r="AI85" s="3402"/>
      <c r="AJ85" s="3402"/>
      <c r="AK85" s="3402"/>
      <c r="AL85" s="3402"/>
      <c r="AM85" s="3402"/>
      <c r="AN85" s="3402"/>
      <c r="AO85" s="3402"/>
      <c r="AP85" s="3402"/>
      <c r="AQ85" s="3402"/>
      <c r="AR85" s="3403"/>
      <c r="AS85" s="3393"/>
      <c r="AT85" s="3388"/>
      <c r="AU85" s="3388"/>
      <c r="AV85" s="3388"/>
      <c r="AW85" s="3388"/>
      <c r="AX85" s="3388"/>
      <c r="AY85" s="3388"/>
      <c r="AZ85" s="3394"/>
      <c r="BA85" s="3395"/>
      <c r="BB85" s="3396"/>
      <c r="BC85" s="3396"/>
      <c r="BD85" s="3396"/>
      <c r="BE85" s="3396"/>
      <c r="BF85" s="3396"/>
      <c r="BG85" s="3422"/>
      <c r="BH85" s="3388"/>
      <c r="BI85" s="3388"/>
      <c r="BJ85" s="3388"/>
      <c r="BK85" s="3388"/>
      <c r="BL85" s="3388"/>
      <c r="BM85" s="3388"/>
      <c r="BN85" s="3423"/>
      <c r="BO85" s="3408"/>
      <c r="BP85" s="3409"/>
      <c r="BQ85" s="3410"/>
      <c r="BR85" s="3364"/>
      <c r="BS85" s="3364"/>
      <c r="BT85" s="3364"/>
      <c r="BU85" s="3364"/>
      <c r="BV85" s="3364"/>
      <c r="BW85" s="3364"/>
      <c r="BX85" s="3364"/>
      <c r="BY85" s="3365"/>
      <c r="BZ85" s="3367"/>
      <c r="CA85" s="3368"/>
      <c r="CB85" s="3368"/>
      <c r="CC85" s="3368"/>
      <c r="CD85" s="3368"/>
      <c r="CE85" s="3368"/>
      <c r="CF85" s="3368"/>
      <c r="CG85" s="3368"/>
      <c r="CH85" s="3368"/>
      <c r="CI85" s="3368"/>
      <c r="CJ85" s="3368"/>
      <c r="CK85" s="3368"/>
      <c r="CL85" s="3368"/>
      <c r="CM85" s="3368"/>
      <c r="CN85" s="3368"/>
      <c r="CO85" s="3368"/>
      <c r="CP85" s="3368"/>
      <c r="CQ85" s="3368"/>
      <c r="CR85" s="3368"/>
      <c r="CS85" s="3368"/>
      <c r="CT85" s="3368"/>
      <c r="CU85" s="3368"/>
      <c r="CV85" s="3368"/>
      <c r="CW85" s="3368"/>
      <c r="CX85" s="3368"/>
      <c r="CY85" s="3374"/>
      <c r="CZ85" s="3375"/>
      <c r="DA85" s="3375"/>
      <c r="DB85" s="3375"/>
      <c r="DC85" s="3375"/>
      <c r="DD85" s="3375"/>
      <c r="DE85" s="3375"/>
      <c r="DF85" s="3376"/>
      <c r="DG85" s="3417"/>
      <c r="DH85" s="3418"/>
      <c r="DI85" s="3418"/>
      <c r="DJ85" s="3418"/>
      <c r="DK85" s="3418"/>
      <c r="DL85" s="3419"/>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row>
    <row r="86" spans="1:206" ht="10" customHeight="1">
      <c r="B86" s="3314" t="s">
        <v>393</v>
      </c>
      <c r="C86" s="3315"/>
      <c r="D86" s="3315"/>
      <c r="E86" s="3315"/>
      <c r="F86" s="3315"/>
      <c r="G86" s="3315"/>
      <c r="H86" s="3315"/>
      <c r="I86" s="3316"/>
      <c r="J86" s="3324">
        <v>20</v>
      </c>
      <c r="K86" s="3325"/>
      <c r="L86" s="3325"/>
      <c r="M86" s="3325"/>
      <c r="N86" s="3329"/>
      <c r="O86" s="3329"/>
      <c r="P86" s="3329"/>
      <c r="Q86" s="3329"/>
      <c r="R86" s="3331" t="s">
        <v>0</v>
      </c>
      <c r="S86" s="3331"/>
      <c r="T86" s="3331"/>
      <c r="U86" s="3333"/>
      <c r="V86" s="3333"/>
      <c r="W86" s="3333"/>
      <c r="X86" s="3333"/>
      <c r="Y86" s="3331" t="s">
        <v>1</v>
      </c>
      <c r="Z86" s="3331"/>
      <c r="AA86" s="3331"/>
      <c r="AB86" s="3320">
        <v>1</v>
      </c>
      <c r="AC86" s="3320"/>
      <c r="AD86" s="3320"/>
      <c r="AE86" s="3322" t="s">
        <v>394</v>
      </c>
      <c r="AF86" s="3322"/>
      <c r="AG86" s="3322"/>
      <c r="AH86" s="3322"/>
      <c r="AI86" s="3334" t="s">
        <v>395</v>
      </c>
      <c r="AJ86" s="3335"/>
      <c r="AK86" s="3335"/>
      <c r="AL86" s="3335"/>
      <c r="AM86" s="3335"/>
      <c r="AN86" s="3335"/>
      <c r="AO86" s="3335"/>
      <c r="AP86" s="3335"/>
      <c r="AQ86" s="3335"/>
      <c r="AR86" s="3335"/>
      <c r="AS86" s="3335"/>
      <c r="AT86" s="3335"/>
      <c r="AU86" s="3335"/>
      <c r="AV86" s="3335"/>
      <c r="AW86" s="3335"/>
      <c r="AX86" s="3335"/>
      <c r="AY86" s="3335"/>
      <c r="AZ86" s="3335"/>
      <c r="BA86" s="2104"/>
      <c r="BB86" s="2104"/>
      <c r="BC86" s="3336"/>
      <c r="BD86" s="3341" t="s">
        <v>1350</v>
      </c>
      <c r="BE86" s="3342"/>
      <c r="BF86" s="3342"/>
      <c r="BG86" s="3342"/>
      <c r="BH86" s="3342"/>
      <c r="BI86" s="3342"/>
      <c r="BJ86" s="3342"/>
      <c r="BK86" s="3342"/>
      <c r="BL86" s="3345">
        <f>ROUNDDOWN(BA83*1.3,0)</f>
        <v>0</v>
      </c>
      <c r="BM86" s="3345"/>
      <c r="BN86" s="3345"/>
      <c r="BO86" s="3345"/>
      <c r="BP86" s="3345"/>
      <c r="BQ86" s="3345"/>
      <c r="BR86" s="3348"/>
      <c r="BS86" s="3348"/>
      <c r="BT86" s="3348"/>
      <c r="BU86" s="3348"/>
      <c r="BV86" s="3348"/>
      <c r="BW86" s="3348"/>
      <c r="BX86" s="3348"/>
      <c r="BY86" s="3348"/>
      <c r="BZ86" s="3348"/>
      <c r="CA86" s="3348"/>
      <c r="CB86" s="3348"/>
      <c r="CC86" s="3348"/>
      <c r="CD86" s="3348"/>
      <c r="CE86" s="3348"/>
      <c r="CF86" s="3348"/>
      <c r="CG86" s="3348"/>
      <c r="CH86" s="3348"/>
      <c r="CI86" s="3348"/>
      <c r="CJ86" s="3348"/>
      <c r="CK86" s="3348"/>
      <c r="CL86" s="3348"/>
      <c r="CM86" s="3348"/>
      <c r="CN86" s="3348"/>
      <c r="CO86" s="3348"/>
      <c r="CP86" s="3348"/>
      <c r="CQ86" s="3348"/>
      <c r="CR86" s="3348"/>
      <c r="CS86" s="3348"/>
      <c r="CT86" s="3348"/>
      <c r="CU86" s="3348"/>
      <c r="CV86" s="3348"/>
      <c r="CW86" s="3348"/>
      <c r="CX86" s="3348"/>
      <c r="CY86" s="3348"/>
      <c r="CZ86" s="3348"/>
      <c r="DA86" s="3348"/>
      <c r="DB86" s="3348"/>
      <c r="DC86" s="3348"/>
      <c r="DD86" s="3348"/>
      <c r="DE86" s="3348"/>
      <c r="DF86" s="3348"/>
      <c r="DG86" s="3348"/>
      <c r="DH86" s="3348"/>
      <c r="DI86" s="3348"/>
      <c r="DJ86" s="3348"/>
      <c r="DK86" s="3348"/>
      <c r="DL86" s="3349"/>
      <c r="DM86" s="694"/>
      <c r="DN86" s="110"/>
      <c r="DO86" s="110"/>
      <c r="DP86" s="110"/>
      <c r="DQ86" s="110"/>
      <c r="DR86" s="110"/>
      <c r="DS86" s="110"/>
      <c r="DT86" s="110"/>
      <c r="DU86" s="110"/>
      <c r="DV86" s="110"/>
      <c r="DW86" s="110"/>
      <c r="GA86" s="210"/>
      <c r="GB86" s="210"/>
      <c r="GC86" s="210"/>
      <c r="GD86" s="210"/>
      <c r="GE86" s="210"/>
      <c r="GF86" s="210"/>
      <c r="GG86" s="210"/>
      <c r="GH86" s="210"/>
      <c r="GI86" s="211"/>
      <c r="GJ86" s="211"/>
      <c r="GK86" s="211"/>
      <c r="GL86" s="211"/>
      <c r="GM86" s="211"/>
      <c r="GN86" s="211"/>
      <c r="GO86" s="211"/>
      <c r="GP86" s="211"/>
      <c r="GQ86" s="210"/>
      <c r="GR86" s="210"/>
      <c r="GS86" s="210"/>
      <c r="GT86" s="210"/>
      <c r="GU86" s="210"/>
      <c r="GV86" s="210"/>
      <c r="GW86" s="210"/>
      <c r="GX86" s="210"/>
    </row>
    <row r="87" spans="1:206" ht="10" customHeight="1">
      <c r="B87" s="1476"/>
      <c r="C87" s="774"/>
      <c r="D87" s="774"/>
      <c r="E87" s="774"/>
      <c r="F87" s="774"/>
      <c r="G87" s="774"/>
      <c r="H87" s="774"/>
      <c r="I87" s="1750"/>
      <c r="J87" s="3326"/>
      <c r="K87" s="1338"/>
      <c r="L87" s="1338"/>
      <c r="M87" s="1338"/>
      <c r="N87" s="1344"/>
      <c r="O87" s="1344"/>
      <c r="P87" s="1344"/>
      <c r="Q87" s="1344"/>
      <c r="R87" s="1342"/>
      <c r="S87" s="1342"/>
      <c r="T87" s="1342"/>
      <c r="U87" s="1344"/>
      <c r="V87" s="1344"/>
      <c r="W87" s="1344"/>
      <c r="X87" s="1344"/>
      <c r="Y87" s="1342"/>
      <c r="Z87" s="1342"/>
      <c r="AA87" s="1342"/>
      <c r="AB87" s="1346"/>
      <c r="AC87" s="1346"/>
      <c r="AD87" s="1346"/>
      <c r="AE87" s="1348"/>
      <c r="AF87" s="1348"/>
      <c r="AG87" s="1348"/>
      <c r="AH87" s="1348"/>
      <c r="AI87" s="3337"/>
      <c r="AJ87" s="2104"/>
      <c r="AK87" s="2104"/>
      <c r="AL87" s="2104"/>
      <c r="AM87" s="2104"/>
      <c r="AN87" s="2104"/>
      <c r="AO87" s="2104"/>
      <c r="AP87" s="2104"/>
      <c r="AQ87" s="2104"/>
      <c r="AR87" s="2104"/>
      <c r="AS87" s="2104"/>
      <c r="AT87" s="2104"/>
      <c r="AU87" s="2104"/>
      <c r="AV87" s="2104"/>
      <c r="AW87" s="2104"/>
      <c r="AX87" s="2104"/>
      <c r="AY87" s="2104"/>
      <c r="AZ87" s="2104"/>
      <c r="BA87" s="2104"/>
      <c r="BB87" s="2104"/>
      <c r="BC87" s="3336"/>
      <c r="BD87" s="3341"/>
      <c r="BE87" s="3342"/>
      <c r="BF87" s="3342"/>
      <c r="BG87" s="3342"/>
      <c r="BH87" s="3342"/>
      <c r="BI87" s="3342"/>
      <c r="BJ87" s="3342"/>
      <c r="BK87" s="3342"/>
      <c r="BL87" s="3346"/>
      <c r="BM87" s="3346"/>
      <c r="BN87" s="3346"/>
      <c r="BO87" s="3346"/>
      <c r="BP87" s="3346"/>
      <c r="BQ87" s="3346"/>
      <c r="BR87" s="3348"/>
      <c r="BS87" s="3348"/>
      <c r="BT87" s="3348"/>
      <c r="BU87" s="3348"/>
      <c r="BV87" s="3348"/>
      <c r="BW87" s="3348"/>
      <c r="BX87" s="3348"/>
      <c r="BY87" s="3348"/>
      <c r="BZ87" s="3348"/>
      <c r="CA87" s="3348"/>
      <c r="CB87" s="3348"/>
      <c r="CC87" s="3348"/>
      <c r="CD87" s="3348"/>
      <c r="CE87" s="3348"/>
      <c r="CF87" s="3348"/>
      <c r="CG87" s="3348"/>
      <c r="CH87" s="3348"/>
      <c r="CI87" s="3348"/>
      <c r="CJ87" s="3348"/>
      <c r="CK87" s="3348"/>
      <c r="CL87" s="3348"/>
      <c r="CM87" s="3348"/>
      <c r="CN87" s="3348"/>
      <c r="CO87" s="3348"/>
      <c r="CP87" s="3348"/>
      <c r="CQ87" s="3348"/>
      <c r="CR87" s="3348"/>
      <c r="CS87" s="3348"/>
      <c r="CT87" s="3348"/>
      <c r="CU87" s="3348"/>
      <c r="CV87" s="3348"/>
      <c r="CW87" s="3348"/>
      <c r="CX87" s="3348"/>
      <c r="CY87" s="3348"/>
      <c r="CZ87" s="3348"/>
      <c r="DA87" s="3348"/>
      <c r="DB87" s="3348"/>
      <c r="DC87" s="3348"/>
      <c r="DD87" s="3348"/>
      <c r="DE87" s="3348"/>
      <c r="DF87" s="3348"/>
      <c r="DG87" s="3348"/>
      <c r="DH87" s="3348"/>
      <c r="DI87" s="3348"/>
      <c r="DJ87" s="3348"/>
      <c r="DK87" s="3348"/>
      <c r="DL87" s="3349"/>
      <c r="DM87" s="694"/>
      <c r="GA87" s="210"/>
      <c r="GB87" s="210"/>
      <c r="GC87" s="210"/>
      <c r="GD87" s="210"/>
      <c r="GE87" s="210"/>
      <c r="GF87" s="210"/>
      <c r="GG87" s="210"/>
      <c r="GH87" s="210"/>
      <c r="GI87" s="211"/>
      <c r="GJ87" s="211"/>
      <c r="GK87" s="211"/>
      <c r="GL87" s="211"/>
      <c r="GM87" s="211"/>
      <c r="GN87" s="211"/>
      <c r="GO87" s="211"/>
      <c r="GP87" s="211"/>
      <c r="GQ87" s="210"/>
      <c r="GR87" s="210"/>
      <c r="GS87" s="210"/>
      <c r="GT87" s="210"/>
      <c r="GU87" s="210"/>
      <c r="GV87" s="210"/>
      <c r="GW87" s="210"/>
      <c r="GX87" s="210"/>
    </row>
    <row r="88" spans="1:206" ht="10" customHeight="1">
      <c r="B88" s="3317"/>
      <c r="C88" s="3318"/>
      <c r="D88" s="3318"/>
      <c r="E88" s="3318"/>
      <c r="F88" s="3318"/>
      <c r="G88" s="3318"/>
      <c r="H88" s="3318"/>
      <c r="I88" s="3319"/>
      <c r="J88" s="3327"/>
      <c r="K88" s="3328"/>
      <c r="L88" s="3328"/>
      <c r="M88" s="3328"/>
      <c r="N88" s="3330"/>
      <c r="O88" s="3330"/>
      <c r="P88" s="3330"/>
      <c r="Q88" s="3330"/>
      <c r="R88" s="3332"/>
      <c r="S88" s="3332"/>
      <c r="T88" s="3332"/>
      <c r="U88" s="3330"/>
      <c r="V88" s="3330"/>
      <c r="W88" s="3330"/>
      <c r="X88" s="3330"/>
      <c r="Y88" s="3332"/>
      <c r="Z88" s="3332"/>
      <c r="AA88" s="3332"/>
      <c r="AB88" s="3321"/>
      <c r="AC88" s="3321"/>
      <c r="AD88" s="3321"/>
      <c r="AE88" s="3323"/>
      <c r="AF88" s="3323"/>
      <c r="AG88" s="3323"/>
      <c r="AH88" s="3323"/>
      <c r="AI88" s="3338"/>
      <c r="AJ88" s="3339"/>
      <c r="AK88" s="3339"/>
      <c r="AL88" s="3339"/>
      <c r="AM88" s="3339"/>
      <c r="AN88" s="3339"/>
      <c r="AO88" s="3339"/>
      <c r="AP88" s="3339"/>
      <c r="AQ88" s="3339"/>
      <c r="AR88" s="3339"/>
      <c r="AS88" s="3339"/>
      <c r="AT88" s="3339"/>
      <c r="AU88" s="3339"/>
      <c r="AV88" s="3339"/>
      <c r="AW88" s="3339"/>
      <c r="AX88" s="3339"/>
      <c r="AY88" s="3339"/>
      <c r="AZ88" s="3339"/>
      <c r="BA88" s="3339"/>
      <c r="BB88" s="3339"/>
      <c r="BC88" s="3340"/>
      <c r="BD88" s="3343"/>
      <c r="BE88" s="3344"/>
      <c r="BF88" s="3344"/>
      <c r="BG88" s="3344"/>
      <c r="BH88" s="3344"/>
      <c r="BI88" s="3344"/>
      <c r="BJ88" s="3344"/>
      <c r="BK88" s="3344"/>
      <c r="BL88" s="3347"/>
      <c r="BM88" s="3347"/>
      <c r="BN88" s="3347"/>
      <c r="BO88" s="3347"/>
      <c r="BP88" s="3347"/>
      <c r="BQ88" s="3347"/>
      <c r="BR88" s="3350"/>
      <c r="BS88" s="3350"/>
      <c r="BT88" s="3350"/>
      <c r="BU88" s="3350"/>
      <c r="BV88" s="3350"/>
      <c r="BW88" s="3350"/>
      <c r="BX88" s="3350"/>
      <c r="BY88" s="3350"/>
      <c r="BZ88" s="3350"/>
      <c r="CA88" s="3350"/>
      <c r="CB88" s="3350"/>
      <c r="CC88" s="3350"/>
      <c r="CD88" s="3350"/>
      <c r="CE88" s="3350"/>
      <c r="CF88" s="3350"/>
      <c r="CG88" s="3350"/>
      <c r="CH88" s="3350"/>
      <c r="CI88" s="3350"/>
      <c r="CJ88" s="3350"/>
      <c r="CK88" s="3350"/>
      <c r="CL88" s="3350"/>
      <c r="CM88" s="3350"/>
      <c r="CN88" s="3350"/>
      <c r="CO88" s="3350"/>
      <c r="CP88" s="3350"/>
      <c r="CQ88" s="3350"/>
      <c r="CR88" s="3350"/>
      <c r="CS88" s="3350"/>
      <c r="CT88" s="3350"/>
      <c r="CU88" s="3350"/>
      <c r="CV88" s="3350"/>
      <c r="CW88" s="3350"/>
      <c r="CX88" s="3350"/>
      <c r="CY88" s="3350"/>
      <c r="CZ88" s="3350"/>
      <c r="DA88" s="3350"/>
      <c r="DB88" s="3350"/>
      <c r="DC88" s="3350"/>
      <c r="DD88" s="3350"/>
      <c r="DE88" s="3350"/>
      <c r="DF88" s="3350"/>
      <c r="DG88" s="3350"/>
      <c r="DH88" s="3350"/>
      <c r="DI88" s="3350"/>
      <c r="DJ88" s="3350"/>
      <c r="DK88" s="3350"/>
      <c r="DL88" s="3351"/>
      <c r="DM88" s="694"/>
    </row>
    <row r="89" spans="1:206" ht="15" customHeight="1">
      <c r="B89" s="3352" t="s">
        <v>1483</v>
      </c>
      <c r="C89" s="3353"/>
      <c r="D89" s="3353"/>
      <c r="E89" s="3353"/>
      <c r="F89" s="3353"/>
      <c r="G89" s="3353"/>
      <c r="H89" s="3353"/>
      <c r="I89" s="3353"/>
      <c r="J89" s="3354"/>
      <c r="K89" s="3354"/>
      <c r="L89" s="3354"/>
      <c r="M89" s="3353" t="s">
        <v>1479</v>
      </c>
      <c r="N89" s="3353"/>
      <c r="O89" s="3353"/>
      <c r="P89" s="3353"/>
      <c r="Q89" s="3353"/>
      <c r="R89" s="3353"/>
      <c r="S89" s="3353"/>
      <c r="T89" s="3353"/>
      <c r="U89" s="3354"/>
      <c r="V89" s="3354"/>
      <c r="W89" s="3354"/>
      <c r="X89" s="3354"/>
      <c r="Y89" s="3354"/>
      <c r="Z89" s="3354"/>
      <c r="AA89" s="3355" t="s">
        <v>1484</v>
      </c>
      <c r="AB89" s="3356"/>
      <c r="AC89" s="3356"/>
      <c r="AD89" s="3356"/>
      <c r="AE89" s="3356"/>
      <c r="AF89" s="3356"/>
      <c r="AG89" s="3356"/>
      <c r="AH89" s="3356"/>
      <c r="AI89" s="3356"/>
      <c r="AJ89" s="3356"/>
      <c r="AK89" s="3356"/>
      <c r="AL89" s="3356"/>
      <c r="AM89" s="3356"/>
      <c r="AN89" s="3356"/>
      <c r="AO89" s="3356"/>
      <c r="AP89" s="3356"/>
      <c r="AQ89" s="3356"/>
      <c r="AR89" s="3356"/>
      <c r="AS89" s="3356"/>
      <c r="AT89" s="3356"/>
      <c r="AU89" s="3356"/>
      <c r="AV89" s="3356"/>
      <c r="AW89" s="3356"/>
      <c r="AX89" s="3356"/>
      <c r="AY89" s="3356"/>
      <c r="AZ89" s="3356"/>
      <c r="BA89" s="3356"/>
      <c r="BB89" s="3356"/>
      <c r="BC89" s="3356"/>
      <c r="BD89" s="3356"/>
      <c r="BE89" s="3356"/>
      <c r="BF89" s="3356"/>
      <c r="BG89" s="3356"/>
      <c r="BH89" s="3356"/>
      <c r="BI89" s="3356"/>
      <c r="BJ89" s="3356"/>
      <c r="BK89" s="3356"/>
      <c r="BL89" s="3356"/>
      <c r="BM89" s="3356"/>
      <c r="BN89" s="3356"/>
      <c r="BO89" s="3356"/>
      <c r="BP89" s="3356"/>
      <c r="BQ89" s="3356"/>
      <c r="BR89" s="3356"/>
      <c r="BS89" s="3356"/>
      <c r="BT89" s="3356"/>
      <c r="BU89" s="3356"/>
      <c r="BV89" s="3356"/>
      <c r="BW89" s="3356"/>
      <c r="BX89" s="3356"/>
      <c r="BY89" s="3356"/>
      <c r="BZ89" s="3356"/>
      <c r="CA89" s="3356"/>
      <c r="CB89" s="3356"/>
      <c r="CC89" s="3356"/>
      <c r="CD89" s="3356"/>
      <c r="CE89" s="3356"/>
      <c r="CF89" s="3356"/>
      <c r="CG89" s="3356"/>
      <c r="CH89" s="3356"/>
      <c r="CI89" s="3356"/>
      <c r="CJ89" s="3356"/>
      <c r="CK89" s="3356"/>
      <c r="CL89" s="3356"/>
      <c r="CM89" s="3356"/>
      <c r="CN89" s="3356"/>
      <c r="CO89" s="3356"/>
      <c r="CP89" s="3356"/>
      <c r="CQ89" s="3356"/>
      <c r="CR89" s="3356"/>
      <c r="CS89" s="3356"/>
      <c r="CT89" s="3356"/>
      <c r="CU89" s="3356"/>
      <c r="CV89" s="3356"/>
      <c r="CW89" s="3356"/>
      <c r="CX89" s="3356"/>
      <c r="CY89" s="3356"/>
      <c r="CZ89" s="3356"/>
      <c r="DA89" s="3356"/>
      <c r="DB89" s="3356"/>
      <c r="DC89" s="3356"/>
      <c r="DD89" s="3356"/>
      <c r="DE89" s="3356"/>
      <c r="DF89" s="3356"/>
      <c r="DG89" s="3356"/>
      <c r="DH89" s="3356"/>
      <c r="DI89" s="3356"/>
      <c r="DJ89" s="3356"/>
      <c r="DK89" s="3356"/>
      <c r="DL89" s="3357"/>
      <c r="DM89" s="692"/>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row>
    <row r="90" spans="1:206" ht="15" customHeight="1">
      <c r="B90" s="1476"/>
      <c r="C90" s="774"/>
      <c r="D90" s="774"/>
      <c r="E90" s="774"/>
      <c r="F90" s="774"/>
      <c r="G90" s="774"/>
      <c r="H90" s="774"/>
      <c r="I90" s="774"/>
      <c r="J90" s="1641"/>
      <c r="K90" s="1641"/>
      <c r="L90" s="1641"/>
      <c r="M90" s="774"/>
      <c r="N90" s="774"/>
      <c r="O90" s="774"/>
      <c r="P90" s="774"/>
      <c r="Q90" s="774"/>
      <c r="R90" s="774"/>
      <c r="S90" s="774"/>
      <c r="T90" s="774"/>
      <c r="U90" s="1641"/>
      <c r="V90" s="1641"/>
      <c r="W90" s="1641"/>
      <c r="X90" s="1641"/>
      <c r="Y90" s="1641"/>
      <c r="Z90" s="1641"/>
      <c r="AA90" s="3358"/>
      <c r="AB90" s="3359"/>
      <c r="AC90" s="3359"/>
      <c r="AD90" s="3359"/>
      <c r="AE90" s="3359"/>
      <c r="AF90" s="3359"/>
      <c r="AG90" s="3359"/>
      <c r="AH90" s="3359"/>
      <c r="AI90" s="3359"/>
      <c r="AJ90" s="3359"/>
      <c r="AK90" s="3359"/>
      <c r="AL90" s="3359"/>
      <c r="AM90" s="3359"/>
      <c r="AN90" s="3359"/>
      <c r="AO90" s="3359"/>
      <c r="AP90" s="3359"/>
      <c r="AQ90" s="3359"/>
      <c r="AR90" s="3359"/>
      <c r="AS90" s="3359"/>
      <c r="AT90" s="3359"/>
      <c r="AU90" s="3359"/>
      <c r="AV90" s="3359"/>
      <c r="AW90" s="3359"/>
      <c r="AX90" s="3359"/>
      <c r="AY90" s="3359"/>
      <c r="AZ90" s="3359"/>
      <c r="BA90" s="3359"/>
      <c r="BB90" s="3359"/>
      <c r="BC90" s="3359"/>
      <c r="BD90" s="3359"/>
      <c r="BE90" s="3359"/>
      <c r="BF90" s="3359"/>
      <c r="BG90" s="3359"/>
      <c r="BH90" s="3359"/>
      <c r="BI90" s="3359"/>
      <c r="BJ90" s="3359"/>
      <c r="BK90" s="3359"/>
      <c r="BL90" s="3359"/>
      <c r="BM90" s="3359"/>
      <c r="BN90" s="3359"/>
      <c r="BO90" s="3359"/>
      <c r="BP90" s="3359"/>
      <c r="BQ90" s="3359"/>
      <c r="BR90" s="3359"/>
      <c r="BS90" s="3359"/>
      <c r="BT90" s="3359"/>
      <c r="BU90" s="3359"/>
      <c r="BV90" s="3359"/>
      <c r="BW90" s="3359"/>
      <c r="BX90" s="3359"/>
      <c r="BY90" s="3359"/>
      <c r="BZ90" s="3359"/>
      <c r="CA90" s="3359"/>
      <c r="CB90" s="3359"/>
      <c r="CC90" s="3359"/>
      <c r="CD90" s="3359"/>
      <c r="CE90" s="3359"/>
      <c r="CF90" s="3359"/>
      <c r="CG90" s="3359"/>
      <c r="CH90" s="3359"/>
      <c r="CI90" s="3359"/>
      <c r="CJ90" s="3359"/>
      <c r="CK90" s="3359"/>
      <c r="CL90" s="3359"/>
      <c r="CM90" s="3359"/>
      <c r="CN90" s="3359"/>
      <c r="CO90" s="3359"/>
      <c r="CP90" s="3359"/>
      <c r="CQ90" s="3359"/>
      <c r="CR90" s="3359"/>
      <c r="CS90" s="3359"/>
      <c r="CT90" s="3359"/>
      <c r="CU90" s="3359"/>
      <c r="CV90" s="3359"/>
      <c r="CW90" s="3359"/>
      <c r="CX90" s="3359"/>
      <c r="CY90" s="3359"/>
      <c r="CZ90" s="3359"/>
      <c r="DA90" s="3359"/>
      <c r="DB90" s="3359"/>
      <c r="DC90" s="3359"/>
      <c r="DD90" s="3359"/>
      <c r="DE90" s="3359"/>
      <c r="DF90" s="3359"/>
      <c r="DG90" s="3359"/>
      <c r="DH90" s="3359"/>
      <c r="DI90" s="3359"/>
      <c r="DJ90" s="3359"/>
      <c r="DK90" s="3359"/>
      <c r="DL90" s="336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row>
    <row r="91" spans="1:206" ht="15" customHeight="1" thickBot="1">
      <c r="B91" s="1654"/>
      <c r="C91" s="1647"/>
      <c r="D91" s="1647"/>
      <c r="E91" s="1647"/>
      <c r="F91" s="1647"/>
      <c r="G91" s="1647"/>
      <c r="H91" s="1647"/>
      <c r="I91" s="1647"/>
      <c r="J91" s="1653"/>
      <c r="K91" s="1653"/>
      <c r="L91" s="1653"/>
      <c r="M91" s="1647"/>
      <c r="N91" s="1647"/>
      <c r="O91" s="1647"/>
      <c r="P91" s="1647"/>
      <c r="Q91" s="1647"/>
      <c r="R91" s="1647"/>
      <c r="S91" s="1647"/>
      <c r="T91" s="1647"/>
      <c r="U91" s="1653"/>
      <c r="V91" s="1653"/>
      <c r="W91" s="1653"/>
      <c r="X91" s="1653"/>
      <c r="Y91" s="1653"/>
      <c r="Z91" s="1653"/>
      <c r="AA91" s="3361"/>
      <c r="AB91" s="3362"/>
      <c r="AC91" s="3362"/>
      <c r="AD91" s="3362"/>
      <c r="AE91" s="3362"/>
      <c r="AF91" s="3362"/>
      <c r="AG91" s="3362"/>
      <c r="AH91" s="3362"/>
      <c r="AI91" s="3362"/>
      <c r="AJ91" s="3362"/>
      <c r="AK91" s="3362"/>
      <c r="AL91" s="3362"/>
      <c r="AM91" s="3362"/>
      <c r="AN91" s="3362"/>
      <c r="AO91" s="3362"/>
      <c r="AP91" s="3362"/>
      <c r="AQ91" s="3362"/>
      <c r="AR91" s="3362"/>
      <c r="AS91" s="3362"/>
      <c r="AT91" s="3362"/>
      <c r="AU91" s="3362"/>
      <c r="AV91" s="3362"/>
      <c r="AW91" s="3362"/>
      <c r="AX91" s="3362"/>
      <c r="AY91" s="3362"/>
      <c r="AZ91" s="3362"/>
      <c r="BA91" s="3362"/>
      <c r="BB91" s="3362"/>
      <c r="BC91" s="3362"/>
      <c r="BD91" s="3362"/>
      <c r="BE91" s="3362"/>
      <c r="BF91" s="3362"/>
      <c r="BG91" s="3362"/>
      <c r="BH91" s="3362"/>
      <c r="BI91" s="3362"/>
      <c r="BJ91" s="3362"/>
      <c r="BK91" s="3362"/>
      <c r="BL91" s="3362"/>
      <c r="BM91" s="3362"/>
      <c r="BN91" s="3362"/>
      <c r="BO91" s="3362"/>
      <c r="BP91" s="3362"/>
      <c r="BQ91" s="3362"/>
      <c r="BR91" s="3362"/>
      <c r="BS91" s="3362"/>
      <c r="BT91" s="3362"/>
      <c r="BU91" s="3362"/>
      <c r="BV91" s="3362"/>
      <c r="BW91" s="3362"/>
      <c r="BX91" s="3362"/>
      <c r="BY91" s="3362"/>
      <c r="BZ91" s="3362"/>
      <c r="CA91" s="3362"/>
      <c r="CB91" s="3362"/>
      <c r="CC91" s="3362"/>
      <c r="CD91" s="3362"/>
      <c r="CE91" s="3362"/>
      <c r="CF91" s="3362"/>
      <c r="CG91" s="3362"/>
      <c r="CH91" s="3362"/>
      <c r="CI91" s="3362"/>
      <c r="CJ91" s="3362"/>
      <c r="CK91" s="3362"/>
      <c r="CL91" s="3362"/>
      <c r="CM91" s="3362"/>
      <c r="CN91" s="3362"/>
      <c r="CO91" s="3362"/>
      <c r="CP91" s="3362"/>
      <c r="CQ91" s="3362"/>
      <c r="CR91" s="3362"/>
      <c r="CS91" s="3362"/>
      <c r="CT91" s="3362"/>
      <c r="CU91" s="3362"/>
      <c r="CV91" s="3362"/>
      <c r="CW91" s="3362"/>
      <c r="CX91" s="3362"/>
      <c r="CY91" s="3362"/>
      <c r="CZ91" s="3362"/>
      <c r="DA91" s="3362"/>
      <c r="DB91" s="3362"/>
      <c r="DC91" s="3362"/>
      <c r="DD91" s="3362"/>
      <c r="DE91" s="3362"/>
      <c r="DF91" s="3362"/>
      <c r="DG91" s="3362"/>
      <c r="DH91" s="3362"/>
      <c r="DI91" s="3362"/>
      <c r="DJ91" s="3362"/>
      <c r="DK91" s="3362"/>
      <c r="DL91" s="3363"/>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row>
    <row r="92" spans="1:206" ht="4.5" customHeight="1" thickTop="1" thickBot="1">
      <c r="H92" s="618"/>
      <c r="BE92" s="618"/>
    </row>
    <row r="93" spans="1:206" s="200" customFormat="1" ht="11.25" customHeight="1" thickBot="1">
      <c r="A93" s="1592" t="s">
        <v>414</v>
      </c>
      <c r="B93" s="1593"/>
      <c r="C93" s="1593"/>
      <c r="D93" s="1593"/>
      <c r="E93" s="1593"/>
      <c r="F93" s="1593"/>
      <c r="G93" s="1593"/>
      <c r="H93" s="1593"/>
      <c r="I93" s="1593"/>
      <c r="J93" s="1593"/>
      <c r="K93" s="1593"/>
      <c r="L93" s="1593"/>
      <c r="M93" s="1593"/>
      <c r="N93" s="1593"/>
      <c r="O93" s="1593"/>
      <c r="P93" s="1593"/>
      <c r="Q93" s="1593"/>
      <c r="R93" s="1593"/>
      <c r="S93" s="1593"/>
      <c r="T93" s="1593"/>
      <c r="U93" s="1594"/>
      <c r="V93" s="1562" t="s">
        <v>415</v>
      </c>
      <c r="W93" s="1562"/>
      <c r="X93" s="1562"/>
      <c r="Y93" s="1562"/>
      <c r="Z93" s="1562"/>
      <c r="AA93" s="1562"/>
      <c r="AB93" s="1562"/>
      <c r="AC93" s="1562"/>
      <c r="AD93" s="1562"/>
      <c r="AE93" s="1562"/>
      <c r="AF93" s="1562"/>
      <c r="AG93" s="1562"/>
      <c r="AH93" s="1562"/>
      <c r="AI93" s="1562"/>
      <c r="AJ93" s="1562"/>
      <c r="AK93" s="1562"/>
      <c r="AL93" s="1562"/>
      <c r="AM93" s="1562"/>
      <c r="AN93" s="1562"/>
      <c r="AO93" s="1562"/>
      <c r="AP93" s="1562"/>
      <c r="AQ93" s="1562"/>
      <c r="AR93" s="1562"/>
      <c r="AS93" s="1562"/>
      <c r="AT93" s="1562"/>
      <c r="AU93" s="1562"/>
      <c r="AV93" s="1562"/>
      <c r="AW93" s="1562"/>
      <c r="AX93" s="1562"/>
      <c r="AY93" s="1562"/>
      <c r="AZ93" s="1562"/>
      <c r="BA93" s="1562"/>
      <c r="BB93" s="1562"/>
      <c r="BC93" s="1562"/>
      <c r="BD93" s="1562"/>
      <c r="BE93" s="1562"/>
      <c r="BF93" s="1562"/>
      <c r="BG93" s="1562"/>
      <c r="BH93" s="1562"/>
      <c r="BI93" s="1562"/>
      <c r="BJ93" s="1562"/>
      <c r="BK93" s="1562"/>
      <c r="BL93" s="1562"/>
      <c r="BM93" s="1562"/>
      <c r="BN93" s="1562"/>
      <c r="BO93" s="1562"/>
      <c r="BP93" s="1562"/>
      <c r="BQ93" s="1562"/>
      <c r="BR93" s="1562"/>
      <c r="BS93" s="1562"/>
      <c r="BT93" s="1562"/>
      <c r="BU93" s="1562"/>
      <c r="BV93" s="1562"/>
      <c r="BW93" s="1562"/>
      <c r="BX93" s="1562"/>
      <c r="BY93" s="1562"/>
      <c r="BZ93" s="1562"/>
      <c r="CA93" s="1562"/>
      <c r="CB93" s="1562"/>
      <c r="CC93" s="1562"/>
      <c r="CD93" s="1562"/>
      <c r="CE93" s="1562"/>
      <c r="CF93" s="1562"/>
      <c r="CG93" s="1562"/>
      <c r="CH93" s="1562"/>
      <c r="CI93" s="1562"/>
      <c r="CJ93" s="1562"/>
      <c r="CK93" s="1562"/>
      <c r="CL93" s="1562"/>
      <c r="CM93" s="1562"/>
      <c r="CN93" s="1562"/>
      <c r="CO93" s="1562"/>
      <c r="CP93" s="1562"/>
      <c r="CQ93" s="1562"/>
      <c r="CR93" s="1562"/>
      <c r="CS93" s="1562"/>
      <c r="CT93" s="1562"/>
      <c r="CU93" s="1562"/>
      <c r="CV93" s="1562"/>
      <c r="CW93" s="1562"/>
      <c r="CX93" s="1562"/>
      <c r="CY93" s="1562"/>
      <c r="CZ93" s="1562"/>
      <c r="DA93" s="1562"/>
      <c r="DB93" s="1562"/>
      <c r="DC93" s="1562"/>
      <c r="DD93" s="1562"/>
      <c r="DE93" s="1562"/>
      <c r="DF93" s="1562"/>
      <c r="DG93" s="1562"/>
      <c r="DH93" s="1562"/>
      <c r="DI93" s="1562"/>
      <c r="DJ93" s="1562"/>
      <c r="DK93" s="1562"/>
      <c r="DL93" s="1563"/>
      <c r="DM93" s="202"/>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row>
    <row r="94" spans="1:206" s="200" customFormat="1" ht="8.25" customHeight="1">
      <c r="A94" s="1504" t="s">
        <v>1514</v>
      </c>
      <c r="B94" s="1504"/>
      <c r="C94" s="1504"/>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1504"/>
      <c r="AM94" s="1504"/>
      <c r="AN94" s="1504"/>
      <c r="AO94" s="1504"/>
      <c r="AP94" s="1504"/>
      <c r="AQ94" s="1504"/>
      <c r="AR94" s="1504"/>
      <c r="AS94" s="1504"/>
      <c r="AT94" s="1504"/>
      <c r="AU94" s="1504"/>
      <c r="AV94" s="1504"/>
      <c r="AW94" s="1504"/>
      <c r="AX94" s="1504"/>
      <c r="AY94" s="1504"/>
      <c r="AZ94" s="1504"/>
      <c r="BA94" s="1504"/>
      <c r="BB94" s="1504"/>
      <c r="BC94" s="1504"/>
      <c r="BD94" s="1504"/>
      <c r="BE94" s="1504"/>
      <c r="BF94" s="1504"/>
      <c r="BG94" s="1504"/>
      <c r="BH94" s="1504"/>
      <c r="BI94" s="1504"/>
      <c r="BJ94" s="1504"/>
      <c r="BK94" s="1504"/>
      <c r="BL94" s="1504"/>
      <c r="BM94" s="1504"/>
      <c r="BN94" s="1504"/>
      <c r="BO94" s="1504"/>
      <c r="BP94" s="1504"/>
      <c r="BQ94" s="1504"/>
      <c r="BR94" s="1504"/>
      <c r="BS94" s="1504"/>
      <c r="BT94" s="1504"/>
      <c r="BU94" s="1504"/>
      <c r="BV94" s="1504"/>
      <c r="BW94" s="1504"/>
      <c r="BX94" s="1504"/>
      <c r="BY94" s="1504"/>
      <c r="BZ94" s="1504"/>
      <c r="CA94" s="1504"/>
      <c r="CB94" s="1504"/>
      <c r="CC94" s="1504"/>
      <c r="CD94" s="1504"/>
      <c r="CE94" s="1504"/>
      <c r="CF94" s="1504"/>
      <c r="CG94" s="1504"/>
      <c r="CH94" s="1504"/>
      <c r="CI94" s="1504"/>
      <c r="CJ94" s="1504"/>
      <c r="CK94" s="1504"/>
      <c r="CL94" s="1504"/>
      <c r="CM94" s="1504"/>
      <c r="CN94" s="1504"/>
      <c r="CO94" s="1504"/>
      <c r="CP94" s="1504"/>
      <c r="CQ94" s="1504"/>
      <c r="CR94" s="1504"/>
      <c r="CS94" s="1504"/>
      <c r="CT94" s="1504"/>
      <c r="CU94" s="1504"/>
      <c r="CV94" s="1504"/>
      <c r="CW94" s="1504"/>
      <c r="CX94" s="1504"/>
      <c r="CY94" s="1504"/>
      <c r="CZ94" s="1504"/>
      <c r="DA94" s="1504"/>
      <c r="DB94" s="1504"/>
      <c r="DC94" s="1504"/>
      <c r="DD94" s="1504"/>
      <c r="DE94" s="1504"/>
      <c r="DF94" s="1504"/>
      <c r="DG94" s="1504"/>
      <c r="DH94" s="1504"/>
      <c r="DI94" s="1504"/>
      <c r="DJ94" s="1504"/>
      <c r="DK94" s="1504"/>
      <c r="DL94" s="1504"/>
      <c r="DM94" s="199"/>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row>
    <row r="95" spans="1:206" ht="7.5" customHeight="1">
      <c r="A95" s="3425" t="s">
        <v>1515</v>
      </c>
      <c r="B95" s="2073"/>
      <c r="C95" s="2073"/>
      <c r="D95" s="2073"/>
      <c r="E95" s="2073"/>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c r="AH95" s="2073"/>
      <c r="AI95" s="2073"/>
      <c r="AJ95" s="2073"/>
      <c r="AK95" s="2073"/>
      <c r="AL95" s="2073"/>
      <c r="AM95" s="2073"/>
      <c r="AN95" s="2073"/>
      <c r="AO95" s="2073"/>
      <c r="AP95" s="2073"/>
      <c r="AQ95" s="2073"/>
      <c r="AR95" s="2073"/>
      <c r="AS95" s="2073"/>
      <c r="AT95" s="2073"/>
      <c r="AU95" s="2073"/>
      <c r="AV95" s="2073"/>
      <c r="AW95" s="2073"/>
      <c r="AX95" s="2073"/>
      <c r="AY95" s="2073"/>
      <c r="AZ95" s="2073"/>
      <c r="BA95" s="2073"/>
      <c r="BB95" s="2073"/>
      <c r="BC95" s="2073"/>
      <c r="BD95" s="2073"/>
      <c r="BE95" s="2073"/>
      <c r="BF95" s="2073"/>
      <c r="BG95" s="2073"/>
      <c r="BH95" s="2073"/>
      <c r="BI95" s="2073"/>
      <c r="BJ95" s="2073"/>
      <c r="BK95" s="2073"/>
      <c r="BL95" s="2073"/>
      <c r="BM95" s="2073"/>
      <c r="BN95" s="2073"/>
      <c r="BO95" s="2073"/>
      <c r="BP95" s="2073"/>
      <c r="BQ95" s="2073"/>
      <c r="BR95" s="2073"/>
      <c r="BS95" s="2073"/>
      <c r="BT95" s="2073"/>
      <c r="BU95" s="2073"/>
      <c r="BV95" s="2073"/>
      <c r="BW95" s="2073"/>
      <c r="BX95" s="2073"/>
      <c r="BY95" s="2073"/>
      <c r="BZ95" s="2073"/>
      <c r="CA95" s="2073"/>
      <c r="CB95" s="2073"/>
      <c r="CC95" s="2073"/>
      <c r="CD95" s="2073"/>
      <c r="CE95" s="2073"/>
      <c r="CF95" s="2073"/>
      <c r="CG95" s="2073"/>
      <c r="CH95" s="2073"/>
      <c r="CI95" s="2073"/>
      <c r="CJ95" s="2073"/>
      <c r="CK95" s="2073"/>
      <c r="CL95" s="2073"/>
      <c r="CM95" s="2073"/>
      <c r="CN95" s="2073"/>
      <c r="CO95" s="2073"/>
      <c r="CP95" s="2073"/>
      <c r="CQ95" s="2073"/>
      <c r="CR95" s="2073"/>
      <c r="CS95" s="2073"/>
      <c r="CT95" s="2073"/>
      <c r="CU95" s="2073"/>
      <c r="CV95" s="2073"/>
      <c r="CW95" s="2073"/>
      <c r="CX95" s="2073"/>
      <c r="CY95" s="2073"/>
      <c r="CZ95" s="2073"/>
      <c r="DA95" s="2073"/>
      <c r="DB95" s="2073"/>
      <c r="DC95" s="2073"/>
      <c r="DD95" s="2073"/>
      <c r="DE95" s="2073"/>
      <c r="DF95" s="2073"/>
      <c r="DG95" s="2073"/>
      <c r="DH95" s="2073"/>
      <c r="DI95" s="2073"/>
      <c r="DJ95" s="2073"/>
      <c r="DK95" s="2073"/>
      <c r="DL95" s="2073"/>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row>
    <row r="96" spans="1:206" ht="7.5" customHeight="1">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row>
    <row r="97" spans="118:165" ht="7.5" customHeight="1">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row>
    <row r="98" spans="118:165" ht="7.5" customHeight="1">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row>
    <row r="99" spans="118:165" ht="7.5" customHeight="1">
      <c r="DN99" s="125"/>
      <c r="DS99" s="109"/>
    </row>
    <row r="101" spans="118:165" ht="7.5" customHeight="1">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row>
    <row r="102" spans="118:165" ht="7.5" customHeight="1">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row>
    <row r="103" spans="118:165" ht="7.5" customHeight="1">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row>
  </sheetData>
  <sheetProtection algorithmName="SHA-512" hashValue="+PZ6dEJ4Annzpls5moRQ7u6t/3NJXuhksIuHZv+9upEogoQD0w51lbZqpqitonUWSNkTvBFQrDQlWyMoZ58UsQ==" saltValue="bMQMahWC3ohhWSNNGaZAGQ==" spinCount="100000" sheet="1" selectLockedCells="1"/>
  <mergeCells count="207">
    <mergeCell ref="A95:DL95"/>
    <mergeCell ref="X20:AB21"/>
    <mergeCell ref="AC20:AE21"/>
    <mergeCell ref="AF20:BF21"/>
    <mergeCell ref="BI20:CB21"/>
    <mergeCell ref="CC20:DD21"/>
    <mergeCell ref="DE20:DK21"/>
    <mergeCell ref="A1:DM3"/>
    <mergeCell ref="A4:BC6"/>
    <mergeCell ref="BD4:BX6"/>
    <mergeCell ref="BY4:CS6"/>
    <mergeCell ref="B20:F21"/>
    <mergeCell ref="G20:I21"/>
    <mergeCell ref="J20:L21"/>
    <mergeCell ref="M20:O21"/>
    <mergeCell ref="P20:T21"/>
    <mergeCell ref="U20:W21"/>
    <mergeCell ref="CK24:CU25"/>
    <mergeCell ref="CV24:DA25"/>
    <mergeCell ref="DB24:DK25"/>
    <mergeCell ref="B25:F26"/>
    <mergeCell ref="G25:AD26"/>
    <mergeCell ref="AE25:AI26"/>
    <mergeCell ref="AJ25:BF26"/>
    <mergeCell ref="B22:X24"/>
    <mergeCell ref="Z22:BF24"/>
    <mergeCell ref="BI22:BM23"/>
    <mergeCell ref="BN22:CU23"/>
    <mergeCell ref="CV22:DE23"/>
    <mergeCell ref="DF22:DK23"/>
    <mergeCell ref="BI24:BJ24"/>
    <mergeCell ref="BN24:BS25"/>
    <mergeCell ref="BT24:CD25"/>
    <mergeCell ref="CE24:CJ25"/>
    <mergeCell ref="CK30:CO31"/>
    <mergeCell ref="CP30:DK31"/>
    <mergeCell ref="B31:F32"/>
    <mergeCell ref="G31:P32"/>
    <mergeCell ref="Q31:AY32"/>
    <mergeCell ref="AZ31:BF32"/>
    <mergeCell ref="CN26:CS27"/>
    <mergeCell ref="CT26:DK27"/>
    <mergeCell ref="B28:AM29"/>
    <mergeCell ref="AN28:AQ29"/>
    <mergeCell ref="AR28:BF29"/>
    <mergeCell ref="BI28:BM29"/>
    <mergeCell ref="BN28:CJ29"/>
    <mergeCell ref="CK28:CO29"/>
    <mergeCell ref="CP28:CZ29"/>
    <mergeCell ref="DA28:DK29"/>
    <mergeCell ref="BI25:BM26"/>
    <mergeCell ref="BN26:BS27"/>
    <mergeCell ref="BT26:CM27"/>
    <mergeCell ref="B33:F36"/>
    <mergeCell ref="G33:L34"/>
    <mergeCell ref="M33:W34"/>
    <mergeCell ref="X33:AC34"/>
    <mergeCell ref="AD33:AN34"/>
    <mergeCell ref="AO33:AT34"/>
    <mergeCell ref="B30:F30"/>
    <mergeCell ref="G30:BF30"/>
    <mergeCell ref="BI30:BM31"/>
    <mergeCell ref="AU33:BF34"/>
    <mergeCell ref="BI33:CB34"/>
    <mergeCell ref="BN30:CJ31"/>
    <mergeCell ref="AT37:BF37"/>
    <mergeCell ref="BI37:BJ37"/>
    <mergeCell ref="AB38:AF39"/>
    <mergeCell ref="AG38:AS39"/>
    <mergeCell ref="AT38:BF39"/>
    <mergeCell ref="BI38:BM39"/>
    <mergeCell ref="CC33:DD34"/>
    <mergeCell ref="DE33:DK34"/>
    <mergeCell ref="G35:L36"/>
    <mergeCell ref="M35:AF36"/>
    <mergeCell ref="AG35:AL36"/>
    <mergeCell ref="AM35:BF36"/>
    <mergeCell ref="BI35:BM36"/>
    <mergeCell ref="BN35:DK36"/>
    <mergeCell ref="BN37:BS38"/>
    <mergeCell ref="BT37:CD38"/>
    <mergeCell ref="CE37:CJ38"/>
    <mergeCell ref="CK37:CU38"/>
    <mergeCell ref="CV37:DA38"/>
    <mergeCell ref="DB37:DK38"/>
    <mergeCell ref="BN39:BS40"/>
    <mergeCell ref="BT39:CM40"/>
    <mergeCell ref="CN39:CS40"/>
    <mergeCell ref="CT39:DK40"/>
    <mergeCell ref="CP41:CZ42"/>
    <mergeCell ref="DA41:DK42"/>
    <mergeCell ref="B42:F44"/>
    <mergeCell ref="G42:AY44"/>
    <mergeCell ref="AZ42:BF44"/>
    <mergeCell ref="BI43:BM44"/>
    <mergeCell ref="BN43:CJ44"/>
    <mergeCell ref="CK43:CO44"/>
    <mergeCell ref="CP43:DK44"/>
    <mergeCell ref="B37:F39"/>
    <mergeCell ref="G37:AA39"/>
    <mergeCell ref="AB37:AF37"/>
    <mergeCell ref="AG37:AS37"/>
    <mergeCell ref="B45:BD46"/>
    <mergeCell ref="B47:AK48"/>
    <mergeCell ref="AL47:BF48"/>
    <mergeCell ref="BI48:DB49"/>
    <mergeCell ref="DC48:DK51"/>
    <mergeCell ref="B49:F49"/>
    <mergeCell ref="G49:BF49"/>
    <mergeCell ref="B50:F51"/>
    <mergeCell ref="G50:AN51"/>
    <mergeCell ref="AO50:AZ51"/>
    <mergeCell ref="BA50:BF51"/>
    <mergeCell ref="BI50:CE51"/>
    <mergeCell ref="CF50:DB51"/>
    <mergeCell ref="B40:F41"/>
    <mergeCell ref="G40:AA41"/>
    <mergeCell ref="AB40:AF41"/>
    <mergeCell ref="AG40:BF41"/>
    <mergeCell ref="BI41:BM42"/>
    <mergeCell ref="BN41:CJ42"/>
    <mergeCell ref="CK41:CO42"/>
    <mergeCell ref="B52:F55"/>
    <mergeCell ref="G52:L53"/>
    <mergeCell ref="M52:W53"/>
    <mergeCell ref="X52:AC53"/>
    <mergeCell ref="AD52:AN53"/>
    <mergeCell ref="AO52:AT53"/>
    <mergeCell ref="AU52:BF53"/>
    <mergeCell ref="BI52:DB53"/>
    <mergeCell ref="DC52:DK63"/>
    <mergeCell ref="B56:F58"/>
    <mergeCell ref="B59:F60"/>
    <mergeCell ref="B61:F63"/>
    <mergeCell ref="G61:AY63"/>
    <mergeCell ref="AZ61:BF63"/>
    <mergeCell ref="BI62:CE63"/>
    <mergeCell ref="DS53:DY54"/>
    <mergeCell ref="EU53:FA54"/>
    <mergeCell ref="G54:L55"/>
    <mergeCell ref="M54:AF55"/>
    <mergeCell ref="AG54:AL55"/>
    <mergeCell ref="AM54:BF55"/>
    <mergeCell ref="BI54:CE55"/>
    <mergeCell ref="CF54:DB55"/>
    <mergeCell ref="CF56:DB57"/>
    <mergeCell ref="AB57:AF58"/>
    <mergeCell ref="AG57:AS58"/>
    <mergeCell ref="AT57:BF58"/>
    <mergeCell ref="BI58:CE59"/>
    <mergeCell ref="CF58:DB59"/>
    <mergeCell ref="G56:AA58"/>
    <mergeCell ref="AB56:AF56"/>
    <mergeCell ref="AG56:AS56"/>
    <mergeCell ref="AT56:BF56"/>
    <mergeCell ref="BI56:CE57"/>
    <mergeCell ref="G59:AA60"/>
    <mergeCell ref="AB59:AF60"/>
    <mergeCell ref="AG59:BF60"/>
    <mergeCell ref="BI60:CE61"/>
    <mergeCell ref="CF60:DB61"/>
    <mergeCell ref="B74:L76"/>
    <mergeCell ref="M74:AR76"/>
    <mergeCell ref="AS74:DL76"/>
    <mergeCell ref="B77:L79"/>
    <mergeCell ref="M77:AK79"/>
    <mergeCell ref="AL77:DL79"/>
    <mergeCell ref="CF62:DB63"/>
    <mergeCell ref="A65:BB66"/>
    <mergeCell ref="BC65:CT66"/>
    <mergeCell ref="B69:DL70"/>
    <mergeCell ref="B71:L73"/>
    <mergeCell ref="M71:P73"/>
    <mergeCell ref="Q71:DL73"/>
    <mergeCell ref="BR83:BY85"/>
    <mergeCell ref="BZ83:CX85"/>
    <mergeCell ref="CY83:DF85"/>
    <mergeCell ref="B81:DL82"/>
    <mergeCell ref="B83:I85"/>
    <mergeCell ref="V83:AC85"/>
    <mergeCell ref="AS83:AZ85"/>
    <mergeCell ref="BA83:BF85"/>
    <mergeCell ref="J83:U85"/>
    <mergeCell ref="AD83:AR85"/>
    <mergeCell ref="BO83:BQ85"/>
    <mergeCell ref="DG83:DL85"/>
    <mergeCell ref="BG83:BN85"/>
    <mergeCell ref="B86:I88"/>
    <mergeCell ref="A94:DL94"/>
    <mergeCell ref="A93:U93"/>
    <mergeCell ref="V93:DL93"/>
    <mergeCell ref="AB86:AD88"/>
    <mergeCell ref="AE86:AH88"/>
    <mergeCell ref="J86:M88"/>
    <mergeCell ref="N86:Q88"/>
    <mergeCell ref="R86:T88"/>
    <mergeCell ref="U86:X88"/>
    <mergeCell ref="Y86:AA88"/>
    <mergeCell ref="AI86:BC88"/>
    <mergeCell ref="BD86:BK88"/>
    <mergeCell ref="BL86:BQ88"/>
    <mergeCell ref="BR86:DL88"/>
    <mergeCell ref="B89:I91"/>
    <mergeCell ref="J89:L91"/>
    <mergeCell ref="M89:T91"/>
    <mergeCell ref="U89:Z91"/>
    <mergeCell ref="AA89:DL91"/>
  </mergeCells>
  <phoneticPr fontId="68"/>
  <conditionalFormatting sqref="B83:J83 V83:AD83 AS83:BO83 BR83:DG83 B84:I85 V84:AC85 AS84:BN85 BR84:DF85 B86 J86:AI86 BD86:BQ88 J87:AH88 B89 J89 M89 U89 AA89">
    <cfRule type="expression" dxfId="855" priority="1">
      <formula>$M$71=""</formula>
    </cfRule>
  </conditionalFormatting>
  <conditionalFormatting sqref="B74:DL76">
    <cfRule type="expression" dxfId="854" priority="113">
      <formula>$BO$83="有"</formula>
    </cfRule>
  </conditionalFormatting>
  <conditionalFormatting sqref="B77:DL79">
    <cfRule type="expression" dxfId="853" priority="96">
      <formula>OR($M$71="",$M$71="無")</formula>
    </cfRule>
  </conditionalFormatting>
  <conditionalFormatting sqref="G25">
    <cfRule type="notContainsBlanks" dxfId="852" priority="70" stopIfTrue="1">
      <formula>LEN(TRIM(G25))&gt;0</formula>
    </cfRule>
  </conditionalFormatting>
  <conditionalFormatting sqref="G49:G50 M52 AD52 AU52 M54 AM54 G56 AG56:BF58 G59 AG59">
    <cfRule type="notContainsBlanks" dxfId="851" priority="71" stopIfTrue="1">
      <formula>LEN(TRIM(G49))&gt;0</formula>
    </cfRule>
  </conditionalFormatting>
  <conditionalFormatting sqref="J20 P20 X20">
    <cfRule type="notContainsBlanks" dxfId="850" priority="69" stopIfTrue="1">
      <formula>LEN(TRIM(J20))&gt;0</formula>
    </cfRule>
  </conditionalFormatting>
  <conditionalFormatting sqref="J83">
    <cfRule type="expression" dxfId="849" priority="114">
      <formula>COUNTIF($BI$54:$CE$63,"StartIn")&gt;0</formula>
    </cfRule>
    <cfRule type="notContainsBlanks" dxfId="848" priority="83" stopIfTrue="1">
      <formula>LEN(TRIM(J83))&gt;0</formula>
    </cfRule>
  </conditionalFormatting>
  <conditionalFormatting sqref="J89:L91">
    <cfRule type="expression" dxfId="847" priority="20002">
      <formula>AND($J$83="標準",$AD$83 &lt;&gt; "")</formula>
    </cfRule>
  </conditionalFormatting>
  <conditionalFormatting sqref="M71">
    <cfRule type="containsBlanks" dxfId="846" priority="121">
      <formula>LEN(TRIM(M71))=0</formula>
    </cfRule>
  </conditionalFormatting>
  <conditionalFormatting sqref="M74 AS74 B74:L76">
    <cfRule type="expression" dxfId="845" priority="23">
      <formula>OR($M$71="",$M$71="有")</formula>
    </cfRule>
  </conditionalFormatting>
  <conditionalFormatting sqref="M74">
    <cfRule type="expression" dxfId="844" priority="20037">
      <formula>AND($M$71="無",OR(AND(#REF!="新規",#REF!="無"),AND(#REF!="新規",#REF!="無"),AND(#REF!="新規",#REF!="無")))</formula>
    </cfRule>
    <cfRule type="notContainsBlanks" dxfId="843" priority="120" stopIfTrue="1">
      <formula>LEN(TRIM(M74))&gt;0</formula>
    </cfRule>
  </conditionalFormatting>
  <conditionalFormatting sqref="M77">
    <cfRule type="notContainsBlanks" dxfId="842" priority="98">
      <formula>LEN(TRIM(M77))&gt;0</formula>
    </cfRule>
  </conditionalFormatting>
  <conditionalFormatting sqref="M71:P73">
    <cfRule type="notContainsBlanks" dxfId="841" priority="116" stopIfTrue="1">
      <formula>LEN(TRIM(M71))&gt;0</formula>
    </cfRule>
  </conditionalFormatting>
  <conditionalFormatting sqref="M77:AK79">
    <cfRule type="expression" dxfId="840" priority="99">
      <formula>$M$71="有"</formula>
    </cfRule>
  </conditionalFormatting>
  <conditionalFormatting sqref="M74:AR76">
    <cfRule type="expression" dxfId="839" priority="20039">
      <formula>AND(OR(J$83="標準(DigitalArts@Cloud同時購入)",$J$83="標準(弊社他製品利用)",$J$83="標準(Desk@Cloud単独購入/保有)"),$BO$83="無")</formula>
    </cfRule>
    <cfRule type="expression" dxfId="838" priority="20038">
      <formula>$M$71="無"</formula>
    </cfRule>
  </conditionalFormatting>
  <conditionalFormatting sqref="N86 U86 U89 J89 AD83 BA83 BO83 BZ83">
    <cfRule type="notContainsBlanks" dxfId="837" priority="6">
      <formula>LEN(TRIM(J83))&gt;0</formula>
    </cfRule>
  </conditionalFormatting>
  <conditionalFormatting sqref="U89:Z91">
    <cfRule type="expression" dxfId="836" priority="13">
      <formula>$J$89="有"</formula>
    </cfRule>
  </conditionalFormatting>
  <conditionalFormatting sqref="AA89 B89:Z91">
    <cfRule type="expression" dxfId="835" priority="3">
      <formula>OR($AD$83="更新",$AD$83="更新(減数)")</formula>
    </cfRule>
  </conditionalFormatting>
  <conditionalFormatting sqref="AA89 M89:Z91">
    <cfRule type="expression" dxfId="834" priority="4">
      <formula>$J$89="無"</formula>
    </cfRule>
  </conditionalFormatting>
  <conditionalFormatting sqref="AD83">
    <cfRule type="expression" dxfId="833" priority="106">
      <formula>$J$83&lt;&gt;""</formula>
    </cfRule>
  </conditionalFormatting>
  <conditionalFormatting sqref="AJ25">
    <cfRule type="notContainsBlanks" dxfId="832" priority="73" stopIfTrue="1">
      <formula>LEN(TRIM(AJ25))&gt;0</formula>
    </cfRule>
  </conditionalFormatting>
  <conditionalFormatting sqref="AR28 G30:G31 Q31 AZ31 M33 AD33 AU33 M35 AM35 G37 AG37:BF39 G40 AG40">
    <cfRule type="notContainsBlanks" dxfId="831" priority="72" stopIfTrue="1">
      <formula>LEN(TRIM(G28))&gt;0</formula>
    </cfRule>
  </conditionalFormatting>
  <conditionalFormatting sqref="AR28:BF29">
    <cfRule type="expression" dxfId="830" priority="68" stopIfTrue="1">
      <formula>OR($AR$28="文教",$AR$28="官公庁／自治体",$AR$28="その他公共",$AR$28="企業")</formula>
    </cfRule>
  </conditionalFormatting>
  <conditionalFormatting sqref="AZ42:BF44">
    <cfRule type="expression" dxfId="829" priority="77">
      <formula>$AZ$42="いいえ"</formula>
    </cfRule>
    <cfRule type="expression" dxfId="828" priority="76">
      <formula>$AZ$42="はい"</formula>
    </cfRule>
  </conditionalFormatting>
  <conditionalFormatting sqref="AZ61:BF63">
    <cfRule type="expression" dxfId="827" priority="75">
      <formula>$AZ$61="はい"</formula>
    </cfRule>
    <cfRule type="expression" dxfId="826" priority="74">
      <formula>$AZ$61="いいえ"</formula>
    </cfRule>
  </conditionalFormatting>
  <conditionalFormatting sqref="BA83">
    <cfRule type="expression" dxfId="825" priority="20009">
      <formula>$AD$83&lt;&gt;""</formula>
    </cfRule>
  </conditionalFormatting>
  <conditionalFormatting sqref="BA83:BF85 AA89 AS83">
    <cfRule type="expression" dxfId="824" priority="11" stopIfTrue="1">
      <formula>$AD$83="更新"</formula>
    </cfRule>
  </conditionalFormatting>
  <conditionalFormatting sqref="BD86:BQ88">
    <cfRule type="expression" dxfId="823" priority="2">
      <formula>$BA$83=""</formula>
    </cfRule>
  </conditionalFormatting>
  <conditionalFormatting sqref="BD4:BX6">
    <cfRule type="expression" dxfId="822" priority="78">
      <formula>OR($DE$20="",AND($DE$20="異なる",$DE$33=""))</formula>
    </cfRule>
  </conditionalFormatting>
  <conditionalFormatting sqref="BG84:BN85 B86 Y86:AI86 J86:X88 Y87:AH88">
    <cfRule type="expression" dxfId="821" priority="5">
      <formula>AND($AD$83&lt;&gt;"新規",$AD$83&lt;&gt;"")</formula>
    </cfRule>
  </conditionalFormatting>
  <conditionalFormatting sqref="BG83:BO83">
    <cfRule type="expression" dxfId="820" priority="19996">
      <formula>AND($AD$83&lt;&gt;"新規",$AD$83&lt;&gt;"")</formula>
    </cfRule>
  </conditionalFormatting>
  <conditionalFormatting sqref="BI50">
    <cfRule type="containsBlanks" dxfId="819" priority="95">
      <formula>LEN(TRIM(BI50))=0</formula>
    </cfRule>
  </conditionalFormatting>
  <conditionalFormatting sqref="BI22:BN22 BI23:BM23 BI33:DK34 BI35:BN35 BI36:BM36">
    <cfRule type="expression" dxfId="818" priority="89">
      <formula>$DE$20="同じ"</formula>
    </cfRule>
  </conditionalFormatting>
  <conditionalFormatting sqref="BI35:BN35 BI36:BM36">
    <cfRule type="expression" dxfId="817" priority="90">
      <formula>$DE$33="同じ"</formula>
    </cfRule>
  </conditionalFormatting>
  <conditionalFormatting sqref="BI54:CE63">
    <cfRule type="notContainsBlanks" dxfId="816" priority="94">
      <formula>LEN(TRIM(BI54))&gt;0</formula>
    </cfRule>
  </conditionalFormatting>
  <conditionalFormatting sqref="BI24:DK31">
    <cfRule type="expression" dxfId="815" priority="79">
      <formula>$DE$20="同じ"</formula>
    </cfRule>
  </conditionalFormatting>
  <conditionalFormatting sqref="BI37:DK44">
    <cfRule type="expression" dxfId="814" priority="81">
      <formula>$DE$33="同じ"</formula>
    </cfRule>
    <cfRule type="expression" dxfId="813" priority="67">
      <formula>$DE$20="同じ"</formula>
    </cfRule>
  </conditionalFormatting>
  <conditionalFormatting sqref="BN35 BN22 DE33 BT37 CK37 BT39 CT39 BN41:CJ44 CP41:DK44 BT24 CK24 BT26 CT26 BN28:CJ31 CP28:DK31 DE20">
    <cfRule type="notContainsBlanks" dxfId="812" priority="91" stopIfTrue="1">
      <formula>LEN(TRIM(BN20))&gt;0</formula>
    </cfRule>
  </conditionalFormatting>
  <conditionalFormatting sqref="BO83 N86:Q88 U86:X88">
    <cfRule type="expression" dxfId="811" priority="20005">
      <formula>$AD$83="新規"</formula>
    </cfRule>
  </conditionalFormatting>
  <conditionalFormatting sqref="BR83:CX85">
    <cfRule type="expression" dxfId="810" priority="19999">
      <formula>AND($AD$83="新規",OR($BO$83="無",$BO$83=""))</formula>
    </cfRule>
  </conditionalFormatting>
  <conditionalFormatting sqref="BY4">
    <cfRule type="expression" dxfId="809" priority="117">
      <formula>OR($M$71="",AND(#REF!="",#REF!="",#REF!="",$J$83=""))</formula>
    </cfRule>
  </conditionalFormatting>
  <conditionalFormatting sqref="BZ83">
    <cfRule type="expression" dxfId="808" priority="20041">
      <formula>OR($BO$83="有",AND($AD$83&lt;&gt;"新規",$AD$83&lt;&gt;""))</formula>
    </cfRule>
  </conditionalFormatting>
  <conditionalFormatting sqref="CF58">
    <cfRule type="expression" dxfId="807" priority="92">
      <formula>AND(BI58&lt;&gt;"",CF58="")</formula>
    </cfRule>
  </conditionalFormatting>
  <conditionalFormatting sqref="CF60">
    <cfRule type="expression" dxfId="806" priority="87">
      <formula>AND(BI60&lt;&gt;"",CF60="")</formula>
    </cfRule>
  </conditionalFormatting>
  <conditionalFormatting sqref="CF62">
    <cfRule type="expression" dxfId="805" priority="86">
      <formula>AND(BI62&lt;&gt;"",CF62="")</formula>
    </cfRule>
  </conditionalFormatting>
  <conditionalFormatting sqref="CF54:DB55">
    <cfRule type="notContainsBlanks" dxfId="804" priority="88">
      <formula>LEN(TRIM(CF54))&gt;0</formula>
    </cfRule>
  </conditionalFormatting>
  <conditionalFormatting sqref="CF56:DB57">
    <cfRule type="expression" dxfId="803" priority="93">
      <formula>AND(BI56&lt;&gt;"",CF56="")</formula>
    </cfRule>
  </conditionalFormatting>
  <conditionalFormatting sqref="CY83:DG83 CY84:DF85">
    <cfRule type="expression" dxfId="802" priority="20000">
      <formula>AND($AD$83&lt;&gt;"",$AD$83&lt;&gt;"新規",COUNTIF($AD$83,"&lt;&gt;*更新*"))</formula>
    </cfRule>
  </conditionalFormatting>
  <conditionalFormatting sqref="DB24">
    <cfRule type="notContainsBlanks" dxfId="801" priority="80" stopIfTrue="1">
      <formula>LEN(TRIM(DB24))&gt;0</formula>
    </cfRule>
  </conditionalFormatting>
  <conditionalFormatting sqref="DB37">
    <cfRule type="notContainsBlanks" dxfId="800" priority="82" stopIfTrue="1">
      <formula>LEN(TRIM(DB37))&gt;0</formula>
    </cfRule>
  </conditionalFormatting>
  <conditionalFormatting sqref="DG83">
    <cfRule type="notContainsBlanks" dxfId="799" priority="100" stopIfTrue="1">
      <formula>LEN(TRIM(DG83))&gt;0</formula>
    </cfRule>
    <cfRule type="expression" dxfId="798" priority="20001">
      <formula>OR($AD$83="新規",COUNTIF($AD$83,"*更新*"))</formula>
    </cfRule>
  </conditionalFormatting>
  <dataValidations xWindow="277" yWindow="881" count="35">
    <dataValidation type="list" allowBlank="1" showInputMessage="1" showErrorMessage="1" sqref="J83" xr:uid="{00000000-0002-0000-0500-000000000000}">
      <formula1>"標準"</formula1>
    </dataValidation>
    <dataValidation type="list" allowBlank="1" showInputMessage="1" showErrorMessage="1" sqref="DG83" xr:uid="{00000000-0002-0000-0500-000001000000}">
      <formula1>契約期間</formula1>
    </dataValidation>
    <dataValidation type="list" allowBlank="1" showInputMessage="1" showErrorMessage="1" sqref="M71:P73 BO83" xr:uid="{00000000-0002-0000-0500-000002000000}">
      <formula1>有無</formula1>
    </dataValidation>
    <dataValidation imeMode="off" allowBlank="1" showInputMessage="1" showErrorMessage="1" sqref="BZ83" xr:uid="{00000000-0002-0000-0500-000003000000}"/>
    <dataValidation type="whole" imeMode="disabled" allowBlank="1" showInputMessage="1" showErrorMessage="1" sqref="P20:T21 U86:X88" xr:uid="{00000000-0002-0000-0500-000004000000}">
      <formula1>1</formula1>
      <formula2>12</formula2>
    </dataValidation>
    <dataValidation type="list" allowBlank="1" showInputMessage="1" showErrorMessage="1" sqref="DE20:DK21 DE33:DK34" xr:uid="{00000000-0002-0000-0500-000006000000}">
      <formula1>"同じ,異なる"</formula1>
    </dataValidation>
    <dataValidation type="list" imeMode="on" allowBlank="1" showInputMessage="1" showErrorMessage="1" sqref="CK37:CU38 CK24:CU25 AD33:AN34 AD52:AN53" xr:uid="{00000000-0002-0000-0500-000007000000}">
      <formula1>都道府県</formula1>
    </dataValidation>
    <dataValidation type="custom" imeMode="fullKatakana" allowBlank="1" showInputMessage="1" showErrorMessage="1" error="全角カタカナで入力してください" prompt="全角カタカナで入力してください。" sqref="AG37:BF37 AG56:BF56 G49" xr:uid="{00000000-0002-0000-0500-000008000000}">
      <formula1>AND(G37=DBCS(G37))</formula1>
    </dataValidation>
    <dataValidation type="custom" imeMode="disabled" operator="equal" allowBlank="1" showInputMessage="1" showErrorMessage="1" promptTitle="入力方法" prompt="半角数字でハイフンを入れて入力をしてください。" sqref="BT24:CD25 BT37:CD38 M52:W53 M33:W34" xr:uid="{00000000-0002-0000-0500-000009000000}">
      <formula1>AND(COUNTIF(M24,"*-*"),LEN(M24)=LENB(M24),LEN(M24)=8)</formula1>
    </dataValidation>
    <dataValidation type="list" imeMode="on" allowBlank="1" showInputMessage="1" showErrorMessage="1" sqref="AZ42:BF44 AZ61:BF63" xr:uid="{00000000-0002-0000-0500-00000A000000}">
      <formula1>"はい,いいえ"</formula1>
    </dataValidation>
    <dataValidation imeMode="disabled" allowBlank="1" showInputMessage="1" showErrorMessage="1" prompt="ご発注対象に対応するお見積番号をご入力ください。" sqref="CF54:DB55" xr:uid="{00000000-0002-0000-0500-00000B000000}"/>
    <dataValidation type="list" allowBlank="1" showInputMessage="1" showErrorMessage="1" prompt="ご発注対象製品をプルダウンよりご選択ください。" sqref="BI54:CE63" xr:uid="{00000000-0002-0000-0500-00000C000000}">
      <formula1>"a-FILTER"</formula1>
    </dataValidation>
    <dataValidation type="custom" imeMode="on" allowBlank="1" showInputMessage="1" showErrorMessage="1" error="半角文字が入っている可能性があります。" prompt="全角文字で入力してください。" sqref="CP28:DK29 CP41:DK42 BN22 BN28:CJ29 DB24:DK25 BN41:CJ42 BN35 DB37:DK38 AG57:BF58 AU33:BF34 AU52:BF53 G37:AA39 AG38:BF39 G56:AA58 G50" xr:uid="{00000000-0002-0000-0500-00000D000000}">
      <formula1>AND(G22=DBCS(G22))</formula1>
    </dataValidation>
    <dataValidation type="custom" imeMode="on" allowBlank="1" showInputMessage="1" showErrorMessage="1" error="半角文字が入っている可能性があります。" prompt="番地も含めてすべて全角で入力してください。" sqref="M35:AF36 M54:AF55" xr:uid="{00000000-0002-0000-0500-00000E000000}">
      <formula1>AND(M35=DBCS(M35))</formula1>
    </dataValidation>
    <dataValidation type="custom" imeMode="on" allowBlank="1" showInputMessage="1" showErrorMessage="1" error="半角文字が入っている可能性があります。" promptTitle="入力方法" prompt="階数なども含めてすべて全角で入力してください。" sqref="CT26:DK27 CT39:DK40 AM35:BF36 AM54:BF55" xr:uid="{00000000-0002-0000-0500-00000F000000}">
      <formula1>AND(AM26=DBCS(AM26))</formula1>
    </dataValidation>
    <dataValidation type="custom" imeMode="on" allowBlank="1" showInputMessage="1" showErrorMessage="1" error="半角文字が入っている可能性があります。" promptTitle="入力方法" prompt="番地も含めてすべて全角で入力してください。" sqref="BT26:CM27 BT39:CM40" xr:uid="{00000000-0002-0000-0500-000010000000}">
      <formula1>AND(BT26=DBCS(BT26))</formula1>
    </dataValidation>
    <dataValidation type="custom" imeMode="disabled" allowBlank="1" showInputMessage="1" showErrorMessage="1" error="半角英数字で入力してください" sqref="BI50:DB51" xr:uid="{00000000-0002-0000-0500-000011000000}">
      <formula1>LENB(BI50)=LEN(BI50)</formula1>
    </dataValidation>
    <dataValidation type="custom" imeMode="disabled" allowBlank="1" showInputMessage="1" showErrorMessage="1" promptTitle="入力方法" prompt="(例)03-1111-2222_x000a_のように半角数字で_x000a_ハイフンを入れて_x000a_入力してください" sqref="BN30:CJ31 BN43:CJ44 G59:AA60 G40:AA41" xr:uid="{00000000-0002-0000-0500-000012000000}">
      <formula1>AND(COUNTIF(G30,"*-*"),LEN(G30)=LENB(G30),LEN(G30)&lt;14)</formula1>
    </dataValidation>
    <dataValidation imeMode="disabled" allowBlank="1" showInputMessage="1" showErrorMessage="1" sqref="CF56:DB61" xr:uid="{00000000-0002-0000-0500-000013000000}"/>
    <dataValidation type="whole" imeMode="disabled" allowBlank="1" showInputMessage="1" showErrorMessage="1" sqref="X20:AB21" xr:uid="{00000000-0002-0000-0500-000014000000}">
      <formula1>1</formula1>
      <formula2>31</formula2>
    </dataValidation>
    <dataValidation type="whole" imeMode="disabled" operator="greaterThanOrEqual" allowBlank="1" showInputMessage="1" showErrorMessage="1" sqref="J20:L21" xr:uid="{00000000-0002-0000-0500-000015000000}">
      <formula1>20</formula1>
    </dataValidation>
    <dataValidation type="list" imeMode="hiragana" allowBlank="1" showInputMessage="1" showErrorMessage="1" error="半角文字が入っている可能性があります。" sqref="AZ31" xr:uid="{00000000-0002-0000-0500-000016000000}">
      <formula1>法人格_後</formula1>
    </dataValidation>
    <dataValidation type="list" imeMode="hiragana" allowBlank="1" showInputMessage="1" showErrorMessage="1" error="半角文字が入っている可能性があります。" sqref="G31" xr:uid="{00000000-0002-0000-0500-000017000000}">
      <formula1>法人格_前</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00000000-0002-0000-0500-000018000000}">
      <formula1>AND(Q31=DBCS(Q31))</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00000000-0002-0000-0500-000019000000}">
      <formula1>業種</formula1>
    </dataValidation>
    <dataValidation type="custom" imeMode="disabled" allowBlank="1" showInputMessage="1" showErrorMessage="1" errorTitle="E-Mail形式ではありません。" error="「,」「..」「/」「;」「:」「&lt;」「&gt;」のいずれかが含まれるか、「＠」がありません。" sqref="CP30:DO31 G25:AD26 CP43:DO44 AG40:BF41 AG59:BF60 AJ25:BF26" xr:uid="{00000000-0002-0000-0500-00001A000000}">
      <formula1>COUNTIF(G25,"*,*")+COUNTIF(G25,"*..*")+COUNTIF(G25,"*&lt;*")+COUNTIF(G25,"*&gt;*")+COUNTIF(G25,"*;*")+COUNTIF(G25,"*:*")+COUNTIF(G25,"*/*")+COUNTIF(G25,"&lt;&gt;*@*")=0</formula1>
    </dataValidation>
    <dataValidation type="list" allowBlank="1" showInputMessage="1" showErrorMessage="1" sqref="AD83" xr:uid="{00000000-0002-0000-0500-00001B000000}">
      <formula1>DeskCloud_申請区分</formula1>
    </dataValidation>
    <dataValidation type="custom" imeMode="fullKatakana" allowBlank="1" showInputMessage="1" showErrorMessage="1" error="全角カナで入力してください" prompt="全角カタカナで入力してください。" sqref="G30" xr:uid="{00000000-0002-0000-0500-00001D000000}">
      <formula1>AND(G30=DBCS(G30))</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M74:AR76" xr:uid="{00000000-0002-0000-0500-00001E000000}">
      <formula1>AND(COUNTIF(M74,"*,*")+COUNTIF(M74,"*..*")+COUNTIF(M74,"*&lt;*")+COUNTIF(M74,"*&gt;*")+COUNTIF(M74,"*;*")+COUNTIF(M74,"*:*")+COUNTIF(M74,"*/*")+COUNTIF(M74,"&lt;&gt;*@*")=0,LEN(M74)&lt;65)</formula1>
    </dataValidation>
    <dataValidation type="custom" imeMode="on" allowBlank="1" showInputMessage="1" showErrorMessage="1" error="半角文字が入っている可能性があります。" sqref="AO50:AZ51" xr:uid="{00000000-0002-0000-0500-00001F000000}">
      <formula1>AND(AO50=DBCS(AO50))</formula1>
    </dataValidation>
    <dataValidation imeMode="on" allowBlank="1" showInputMessage="1" showErrorMessage="1" error="半角文字が入っている可能性があります。" sqref="BA50:BF51" xr:uid="{00000000-0002-0000-0500-000020000000}"/>
    <dataValidation type="custom" imeMode="disabled" operator="greaterThanOrEqual" allowBlank="1" showInputMessage="1" showErrorMessage="1" error="・新規最低購入ライセンス数は10ライセンスです。_x000a_・「追加」のときは追加後の合計ライセンス数を入力してください。" prompt="・新規最低購入ライセンス数は10ライセンスです。_x000a_・「追加」のときは追加後の合計ライセンス数を入力してください。" sqref="BA83:BF85" xr:uid="{00000000-0002-0000-0500-00001C000000}">
      <formula1>OR(COUNTIF(G50,"*リコー*")&gt;0,COUNTIF(BN35,"*リコー*")&gt;0,COUNTIF(BN22,"*リコー*")&gt;0,AND(ISNUMBER(BA83),BA83&gt;=10))</formula1>
    </dataValidation>
    <dataValidation type="list" allowBlank="1" showInputMessage="1" showErrorMessage="1" sqref="J89:L91" xr:uid="{BC16881A-5A4F-40A4-A56C-E93E64CEDDC2}">
      <formula1>"有,無"</formula1>
    </dataValidation>
    <dataValidation type="whole" imeMode="disabled" operator="greaterThanOrEqual" allowBlank="1" showInputMessage="1" showErrorMessage="1" sqref="N86:Q88" xr:uid="{00000000-0002-0000-0500-000005000000}">
      <formula1>19</formula1>
    </dataValidation>
    <dataValidation type="whole" operator="greaterThanOrEqual" allowBlank="1" showInputMessage="1" showErrorMessage="1" error="・標準機能でライセンス数分の証明書発行が可能です。_x000a_・ライセンス数を超過して証明書を利用したい場合に超過分の証明書の枚数を入力してください。 _x000a_(例)100ライセンスで、130枚証明書を利用したい場合は「証明書追加」の欄に「30」と記入_x000a_・購入単位は1枚単位となります。" prompt="・標準機能でライセンス数分の証明書発行が可能です。_x000a_・購入単位は1枚単位となります。" sqref="U89:Z91" xr:uid="{41FA88AA-CA32-48EC-BE8B-D1EE14B3E289}">
      <formula1>1</formula1>
    </dataValidation>
  </dataValidations>
  <hyperlinks>
    <hyperlink ref="A95" r:id="rId1" xr:uid="{959AA0BD-3F12-4C87-9641-196AB34310BC}"/>
  </hyperlinks>
  <printOptions horizontalCentered="1"/>
  <pageMargins left="0.11811023622047245" right="0.11811023622047245" top="0.39370078740157483" bottom="0.19685039370078741" header="0.11811023622047245" footer="0.11811023622047245"/>
  <pageSetup paperSize="9" scale="69" orientation="portrait" horizontalDpi="300" verticalDpi="300" r:id="rId2"/>
  <headerFooter>
    <oddFooter>&amp;LDigital Arts Inc.&amp;C&amp;P ページ&amp;R&amp;D</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X103"/>
  <sheetViews>
    <sheetView workbookViewId="0">
      <selection activeCell="J20" sqref="J20:L21"/>
    </sheetView>
  </sheetViews>
  <sheetFormatPr defaultColWidth="1.26953125" defaultRowHeight="7.5" customHeight="1"/>
  <cols>
    <col min="1" max="1" width="2.6328125" style="198" customWidth="1"/>
    <col min="2" max="2" width="1.26953125" style="198" customWidth="1"/>
    <col min="3" max="116" width="1.26953125" style="198"/>
    <col min="117" max="117" width="1.26953125" style="690" customWidth="1"/>
    <col min="118" max="118" width="8.08984375" style="45" bestFit="1" customWidth="1"/>
    <col min="119" max="122" width="1.26953125" style="45"/>
    <col min="123" max="123" width="1.26953125" style="45" customWidth="1"/>
    <col min="124" max="165" width="1.26953125" style="45"/>
    <col min="166" max="16384" width="1.26953125" style="198"/>
  </cols>
  <sheetData>
    <row r="1" spans="1:118" ht="7.5" customHeight="1">
      <c r="A1" s="879" t="s">
        <v>1521</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c r="AE1" s="879"/>
      <c r="AF1" s="879"/>
      <c r="AG1" s="879"/>
      <c r="AH1" s="879"/>
      <c r="AI1" s="879"/>
      <c r="AJ1" s="879"/>
      <c r="AK1" s="879"/>
      <c r="AL1" s="879"/>
      <c r="AM1" s="879"/>
      <c r="AN1" s="879"/>
      <c r="AO1" s="879"/>
      <c r="AP1" s="879"/>
      <c r="AQ1" s="879"/>
      <c r="AR1" s="879"/>
      <c r="AS1" s="879"/>
      <c r="AT1" s="879"/>
      <c r="AU1" s="879"/>
      <c r="AV1" s="879"/>
      <c r="AW1" s="879"/>
      <c r="AX1" s="879"/>
      <c r="AY1" s="879"/>
      <c r="AZ1" s="879"/>
      <c r="BA1" s="879"/>
      <c r="BB1" s="879"/>
      <c r="BC1" s="879"/>
      <c r="BD1" s="879"/>
      <c r="BE1" s="879"/>
      <c r="BF1" s="879"/>
      <c r="BG1" s="879"/>
      <c r="BH1" s="879"/>
      <c r="BI1" s="879"/>
      <c r="BJ1" s="879"/>
      <c r="BK1" s="879"/>
      <c r="BL1" s="879"/>
      <c r="BM1" s="879"/>
      <c r="BN1" s="879"/>
      <c r="BO1" s="879"/>
      <c r="BP1" s="879"/>
      <c r="BQ1" s="879"/>
      <c r="BR1" s="879"/>
      <c r="BS1" s="879"/>
      <c r="BT1" s="879"/>
      <c r="BU1" s="879"/>
      <c r="BV1" s="879"/>
      <c r="BW1" s="879"/>
      <c r="BX1" s="879"/>
      <c r="BY1" s="879"/>
      <c r="BZ1" s="879"/>
      <c r="CA1" s="879"/>
      <c r="CB1" s="879"/>
      <c r="CC1" s="879"/>
      <c r="CD1" s="879"/>
      <c r="CE1" s="879"/>
      <c r="CF1" s="879"/>
      <c r="CG1" s="879"/>
      <c r="CH1" s="879"/>
      <c r="CI1" s="879"/>
      <c r="CJ1" s="879"/>
      <c r="CK1" s="879"/>
      <c r="CL1" s="879"/>
      <c r="CM1" s="879"/>
      <c r="CN1" s="879"/>
      <c r="CO1" s="879"/>
      <c r="CP1" s="879"/>
      <c r="CQ1" s="879"/>
      <c r="CR1" s="879"/>
      <c r="CS1" s="879"/>
      <c r="CT1" s="879"/>
      <c r="CU1" s="879"/>
      <c r="CV1" s="879"/>
      <c r="CW1" s="879"/>
      <c r="CX1" s="879"/>
      <c r="CY1" s="879"/>
      <c r="CZ1" s="879"/>
      <c r="DA1" s="879"/>
      <c r="DB1" s="879"/>
      <c r="DC1" s="879"/>
      <c r="DD1" s="879"/>
      <c r="DE1" s="879"/>
      <c r="DF1" s="879"/>
      <c r="DG1" s="879"/>
      <c r="DH1" s="879"/>
      <c r="DI1" s="879"/>
      <c r="DJ1" s="879"/>
      <c r="DK1" s="879"/>
      <c r="DL1" s="879"/>
      <c r="DM1" s="879"/>
      <c r="DN1" s="49"/>
    </row>
    <row r="2" spans="1:118" ht="7.5" customHeight="1">
      <c r="A2" s="879"/>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49"/>
    </row>
    <row r="3" spans="1:118" ht="7.5" customHeight="1">
      <c r="A3" s="879"/>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49"/>
    </row>
    <row r="4" spans="1:118" ht="7.5" customHeight="1">
      <c r="A4" s="880" t="s">
        <v>1361</v>
      </c>
      <c r="B4" s="880"/>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80"/>
      <c r="BC4" s="880"/>
      <c r="BD4" s="881" t="s">
        <v>671</v>
      </c>
      <c r="BE4" s="881"/>
      <c r="BF4" s="881"/>
      <c r="BG4" s="881"/>
      <c r="BH4" s="881"/>
      <c r="BI4" s="881"/>
      <c r="BJ4" s="881"/>
      <c r="BK4" s="881"/>
      <c r="BL4" s="881"/>
      <c r="BM4" s="881"/>
      <c r="BN4" s="881"/>
      <c r="BO4" s="881"/>
      <c r="BP4" s="881"/>
      <c r="BQ4" s="881"/>
      <c r="BR4" s="881"/>
      <c r="BS4" s="881"/>
      <c r="BT4" s="881"/>
      <c r="BU4" s="881"/>
      <c r="BV4" s="881"/>
      <c r="BW4" s="881"/>
      <c r="BX4" s="881"/>
      <c r="BY4" s="881" t="s">
        <v>672</v>
      </c>
      <c r="BZ4" s="881"/>
      <c r="CA4" s="881"/>
      <c r="CB4" s="881"/>
      <c r="CC4" s="881"/>
      <c r="CD4" s="881"/>
      <c r="CE4" s="881"/>
      <c r="CF4" s="881"/>
      <c r="CG4" s="881"/>
      <c r="CH4" s="881"/>
      <c r="CI4" s="881"/>
      <c r="CJ4" s="881"/>
      <c r="CK4" s="881"/>
      <c r="CL4" s="881"/>
      <c r="CM4" s="881"/>
      <c r="CN4" s="881"/>
      <c r="CO4" s="881"/>
      <c r="CP4" s="881"/>
      <c r="CQ4" s="881"/>
      <c r="CR4" s="881"/>
      <c r="CS4" s="881"/>
      <c r="CT4" s="313"/>
      <c r="CU4" s="313"/>
      <c r="CV4" s="313"/>
      <c r="CW4" s="313"/>
      <c r="CX4" s="313"/>
      <c r="CY4" s="313"/>
      <c r="CZ4" s="313"/>
      <c r="DA4" s="313"/>
      <c r="DB4" s="313"/>
      <c r="DC4" s="313"/>
      <c r="DD4" s="313"/>
      <c r="DE4" s="313"/>
      <c r="DF4" s="313"/>
      <c r="DG4" s="313"/>
      <c r="DH4" s="313"/>
      <c r="DI4" s="313"/>
      <c r="DJ4" s="313"/>
      <c r="DK4" s="313"/>
      <c r="DL4" s="313"/>
      <c r="DM4" s="313"/>
      <c r="DN4" s="313"/>
    </row>
    <row r="5" spans="1:118" ht="7.5" customHeight="1">
      <c r="A5" s="880"/>
      <c r="B5" s="880"/>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313"/>
      <c r="CU5" s="313"/>
      <c r="CV5" s="313"/>
      <c r="CW5" s="313"/>
      <c r="CX5" s="313"/>
      <c r="CY5" s="313"/>
      <c r="CZ5" s="313"/>
      <c r="DA5" s="313"/>
      <c r="DB5" s="313"/>
      <c r="DC5" s="313"/>
      <c r="DD5" s="313"/>
      <c r="DE5" s="313"/>
      <c r="DF5" s="313"/>
      <c r="DG5" s="313"/>
      <c r="DH5" s="313"/>
      <c r="DI5" s="313"/>
      <c r="DJ5" s="313"/>
      <c r="DK5" s="313"/>
      <c r="DL5" s="313"/>
      <c r="DM5" s="313"/>
      <c r="DN5" s="313"/>
    </row>
    <row r="6" spans="1:118" ht="7.5" customHeight="1">
      <c r="A6" s="880"/>
      <c r="B6" s="880"/>
      <c r="C6" s="880"/>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L6" s="880"/>
      <c r="AM6" s="880"/>
      <c r="AN6" s="880"/>
      <c r="AO6" s="880"/>
      <c r="AP6" s="880"/>
      <c r="AQ6" s="880"/>
      <c r="AR6" s="880"/>
      <c r="AS6" s="880"/>
      <c r="AT6" s="880"/>
      <c r="AU6" s="880"/>
      <c r="AV6" s="880"/>
      <c r="AW6" s="880"/>
      <c r="AX6" s="880"/>
      <c r="AY6" s="880"/>
      <c r="AZ6" s="880"/>
      <c r="BA6" s="880"/>
      <c r="BB6" s="880"/>
      <c r="BC6" s="880"/>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313"/>
      <c r="CU6" s="313"/>
      <c r="CV6" s="313"/>
      <c r="CW6" s="313"/>
      <c r="CX6" s="313"/>
      <c r="CY6" s="313"/>
      <c r="CZ6" s="313"/>
      <c r="DA6" s="313"/>
      <c r="DB6" s="313"/>
      <c r="DC6" s="313"/>
      <c r="DD6" s="313"/>
      <c r="DE6" s="313"/>
      <c r="DF6" s="313"/>
      <c r="DG6" s="313"/>
      <c r="DH6" s="313"/>
      <c r="DI6" s="313"/>
      <c r="DJ6" s="313"/>
      <c r="DK6" s="313"/>
      <c r="DL6" s="313"/>
      <c r="DM6" s="313"/>
      <c r="DN6" s="313"/>
    </row>
    <row r="7" spans="1:118" ht="7.5" customHeight="1">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c r="AT7" s="690"/>
      <c r="AU7" s="690"/>
      <c r="AV7" s="690"/>
      <c r="AW7" s="690"/>
      <c r="AX7" s="690"/>
      <c r="AY7" s="690"/>
      <c r="AZ7" s="690"/>
      <c r="BA7" s="690"/>
      <c r="BB7" s="690"/>
      <c r="BC7" s="690"/>
      <c r="BD7" s="690"/>
      <c r="BE7" s="690"/>
      <c r="BF7" s="690"/>
      <c r="BG7" s="690"/>
      <c r="BH7" s="690"/>
      <c r="BI7" s="690"/>
      <c r="BJ7" s="690"/>
      <c r="BK7" s="690"/>
      <c r="BL7" s="690"/>
      <c r="BM7" s="690"/>
      <c r="BN7" s="690"/>
      <c r="BO7" s="690"/>
      <c r="BP7" s="690"/>
      <c r="BQ7" s="690"/>
      <c r="BR7" s="690"/>
      <c r="BS7" s="690"/>
      <c r="BT7" s="690"/>
      <c r="BU7" s="690"/>
      <c r="BV7" s="690"/>
      <c r="BW7" s="690"/>
      <c r="BX7" s="690"/>
      <c r="BY7" s="690"/>
      <c r="BZ7" s="690"/>
      <c r="CA7" s="690"/>
      <c r="CB7" s="690"/>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0"/>
      <c r="DK7" s="690"/>
      <c r="DL7" s="690"/>
    </row>
    <row r="8" spans="1:118" ht="7.5" customHeight="1">
      <c r="A8" s="690"/>
      <c r="B8" s="690"/>
      <c r="C8" s="690"/>
      <c r="D8" s="690"/>
      <c r="E8" s="690"/>
      <c r="F8" s="690"/>
      <c r="G8" s="690"/>
      <c r="H8" s="690"/>
      <c r="I8" s="690"/>
      <c r="J8" s="690"/>
      <c r="K8" s="690"/>
      <c r="L8" s="690"/>
      <c r="M8" s="690"/>
      <c r="N8" s="690"/>
      <c r="O8" s="690"/>
      <c r="P8" s="690"/>
      <c r="Q8" s="690"/>
      <c r="R8" s="690"/>
      <c r="S8" s="690"/>
      <c r="T8" s="690"/>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c r="AT8" s="690"/>
      <c r="AU8" s="690"/>
      <c r="AV8" s="690"/>
      <c r="AW8" s="690"/>
      <c r="AX8" s="690"/>
      <c r="AY8" s="690"/>
      <c r="AZ8" s="690"/>
      <c r="BA8" s="690"/>
      <c r="BB8" s="690"/>
      <c r="BC8" s="690"/>
      <c r="BD8" s="690"/>
      <c r="BE8" s="690"/>
      <c r="BF8" s="690"/>
      <c r="BG8" s="690"/>
      <c r="BH8" s="690"/>
      <c r="BI8" s="690"/>
      <c r="BJ8" s="690"/>
      <c r="BK8" s="690"/>
      <c r="BL8" s="690"/>
      <c r="BM8" s="690"/>
      <c r="BN8" s="690"/>
      <c r="BO8" s="690"/>
      <c r="BP8" s="690"/>
      <c r="BQ8" s="690"/>
      <c r="BR8" s="690"/>
      <c r="BS8" s="690"/>
      <c r="BT8" s="690"/>
      <c r="BU8" s="690"/>
      <c r="BV8" s="690"/>
      <c r="BW8" s="690"/>
      <c r="BX8" s="690"/>
      <c r="BY8" s="690"/>
      <c r="BZ8" s="690"/>
      <c r="CA8" s="690"/>
      <c r="CB8" s="690"/>
      <c r="CC8" s="690"/>
      <c r="CD8" s="690"/>
      <c r="CE8" s="690"/>
      <c r="CF8" s="690"/>
      <c r="CG8" s="690"/>
      <c r="CH8" s="690"/>
      <c r="CI8" s="690"/>
      <c r="CJ8" s="690"/>
      <c r="CK8" s="690"/>
      <c r="CL8" s="690"/>
      <c r="CM8" s="690"/>
      <c r="CN8" s="690"/>
      <c r="CO8" s="690"/>
      <c r="CP8" s="690"/>
      <c r="CQ8" s="690"/>
      <c r="CR8" s="690"/>
      <c r="CS8" s="690"/>
      <c r="CT8" s="690"/>
      <c r="CU8" s="690"/>
      <c r="CV8" s="690"/>
      <c r="CW8" s="690"/>
      <c r="CX8" s="690"/>
      <c r="CY8" s="690"/>
      <c r="CZ8" s="690"/>
      <c r="DA8" s="690"/>
      <c r="DB8" s="690"/>
      <c r="DC8" s="690"/>
      <c r="DD8" s="690"/>
      <c r="DE8" s="690"/>
      <c r="DF8" s="690"/>
      <c r="DG8" s="690"/>
      <c r="DH8" s="690"/>
      <c r="DI8" s="690"/>
      <c r="DJ8" s="690"/>
      <c r="DK8" s="690"/>
      <c r="DL8" s="690"/>
    </row>
    <row r="9" spans="1:118" ht="7.5" customHeight="1">
      <c r="A9" s="690"/>
      <c r="B9" s="690"/>
      <c r="C9" s="690"/>
      <c r="D9" s="690"/>
      <c r="E9" s="690"/>
      <c r="F9" s="690"/>
      <c r="G9" s="690"/>
      <c r="H9" s="690"/>
      <c r="I9" s="690"/>
      <c r="J9" s="690"/>
      <c r="K9" s="690"/>
      <c r="L9" s="690"/>
      <c r="M9" s="690"/>
      <c r="N9" s="690"/>
      <c r="O9" s="690"/>
      <c r="P9" s="690"/>
      <c r="Q9" s="690"/>
      <c r="R9" s="690"/>
      <c r="S9" s="690"/>
      <c r="T9" s="69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c r="AT9" s="690"/>
      <c r="AU9" s="690"/>
      <c r="AV9" s="690"/>
      <c r="AW9" s="690"/>
      <c r="AX9" s="690"/>
      <c r="AY9" s="690"/>
      <c r="AZ9" s="690"/>
      <c r="BA9" s="690"/>
      <c r="BB9" s="690"/>
      <c r="BC9" s="690"/>
      <c r="BD9" s="690"/>
      <c r="BE9" s="690"/>
      <c r="BF9" s="690"/>
      <c r="BG9" s="690"/>
      <c r="BH9" s="690"/>
      <c r="BI9" s="690"/>
      <c r="BJ9" s="690"/>
      <c r="BK9" s="690"/>
      <c r="BL9" s="690"/>
      <c r="BM9" s="690"/>
      <c r="BN9" s="690"/>
      <c r="BO9" s="690"/>
      <c r="BP9" s="690"/>
      <c r="BQ9" s="690"/>
      <c r="BR9" s="690"/>
      <c r="BS9" s="690"/>
      <c r="BT9" s="690"/>
      <c r="BU9" s="690"/>
      <c r="BV9" s="690"/>
      <c r="BW9" s="690"/>
      <c r="BX9" s="690"/>
      <c r="BY9" s="690"/>
      <c r="BZ9" s="690"/>
      <c r="CA9" s="690"/>
      <c r="CB9" s="690"/>
      <c r="CC9" s="690"/>
      <c r="CD9" s="690"/>
      <c r="CE9" s="690"/>
      <c r="CF9" s="690"/>
      <c r="CG9" s="690"/>
      <c r="CH9" s="690"/>
      <c r="CI9" s="690"/>
      <c r="CJ9" s="690"/>
      <c r="CK9" s="690"/>
      <c r="CL9" s="690"/>
      <c r="CM9" s="690"/>
      <c r="CN9" s="690"/>
      <c r="CO9" s="690"/>
      <c r="CP9" s="690"/>
      <c r="CQ9" s="690"/>
      <c r="CR9" s="690"/>
      <c r="CS9" s="690"/>
      <c r="CT9" s="690"/>
      <c r="CU9" s="690"/>
      <c r="CV9" s="690"/>
      <c r="CW9" s="690"/>
      <c r="CX9" s="690"/>
      <c r="CY9" s="690"/>
      <c r="CZ9" s="690"/>
      <c r="DA9" s="690"/>
      <c r="DB9" s="690"/>
      <c r="DC9" s="690"/>
      <c r="DD9" s="690"/>
      <c r="DE9" s="690"/>
      <c r="DF9" s="690"/>
      <c r="DG9" s="690"/>
      <c r="DH9" s="690"/>
      <c r="DI9" s="690"/>
      <c r="DJ9" s="690"/>
      <c r="DK9" s="690"/>
      <c r="DL9" s="690"/>
    </row>
    <row r="10" spans="1:118" ht="7.5" customHeight="1">
      <c r="A10" s="690"/>
      <c r="B10" s="690"/>
      <c r="C10" s="690"/>
      <c r="D10" s="690"/>
      <c r="E10" s="690"/>
      <c r="F10" s="690"/>
      <c r="G10" s="690"/>
      <c r="H10" s="690"/>
      <c r="I10" s="690"/>
      <c r="J10" s="690"/>
      <c r="K10" s="690"/>
      <c r="L10" s="690"/>
      <c r="M10" s="690"/>
      <c r="N10" s="690"/>
      <c r="O10" s="690"/>
      <c r="P10" s="690"/>
      <c r="Q10" s="690"/>
      <c r="R10" s="690"/>
      <c r="S10" s="690"/>
      <c r="T10" s="690"/>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690"/>
      <c r="BW10" s="690"/>
      <c r="BX10" s="690"/>
      <c r="BY10" s="690"/>
      <c r="BZ10" s="690"/>
      <c r="CA10" s="690"/>
      <c r="CB10" s="690"/>
      <c r="CC10" s="690"/>
      <c r="CD10" s="690"/>
      <c r="CE10" s="690"/>
      <c r="CF10" s="690"/>
      <c r="CG10" s="690"/>
      <c r="CH10" s="690"/>
      <c r="CI10" s="690"/>
      <c r="CJ10" s="690"/>
      <c r="CK10" s="690"/>
      <c r="CL10" s="690"/>
      <c r="CM10" s="690"/>
      <c r="CN10" s="690"/>
      <c r="CO10" s="690"/>
      <c r="CP10" s="690"/>
      <c r="CQ10" s="690"/>
      <c r="CR10" s="690"/>
      <c r="CS10" s="690"/>
      <c r="CT10" s="690"/>
      <c r="CU10" s="690"/>
      <c r="CV10" s="690"/>
      <c r="CW10" s="690"/>
      <c r="CX10" s="690"/>
      <c r="CY10" s="690"/>
      <c r="CZ10" s="690"/>
      <c r="DA10" s="690"/>
      <c r="DB10" s="690"/>
      <c r="DC10" s="690"/>
      <c r="DD10" s="690"/>
      <c r="DE10" s="690"/>
      <c r="DF10" s="690"/>
      <c r="DG10" s="690"/>
      <c r="DH10" s="690"/>
      <c r="DI10" s="690"/>
      <c r="DJ10" s="690"/>
      <c r="DK10" s="690"/>
      <c r="DL10" s="690"/>
    </row>
    <row r="11" spans="1:118" ht="7.5" customHeight="1">
      <c r="A11" s="690"/>
      <c r="B11" s="690"/>
      <c r="C11" s="690"/>
      <c r="D11" s="690"/>
      <c r="E11" s="690"/>
      <c r="F11" s="690"/>
      <c r="G11" s="690"/>
      <c r="H11" s="690"/>
      <c r="I11" s="690"/>
      <c r="J11" s="690"/>
      <c r="K11" s="690"/>
      <c r="L11" s="690"/>
      <c r="M11" s="690"/>
      <c r="N11" s="690"/>
      <c r="O11" s="690"/>
      <c r="P11" s="690"/>
      <c r="Q11" s="690"/>
      <c r="R11" s="690"/>
      <c r="S11" s="690"/>
      <c r="T11" s="690"/>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690"/>
      <c r="BW11" s="690"/>
      <c r="BX11" s="690"/>
      <c r="BY11" s="690"/>
      <c r="BZ11" s="690"/>
      <c r="CA11" s="690"/>
      <c r="CB11" s="690"/>
      <c r="CC11" s="690"/>
      <c r="CD11" s="690"/>
      <c r="CE11" s="690"/>
      <c r="CF11" s="690"/>
      <c r="CG11" s="690"/>
      <c r="CH11" s="690"/>
      <c r="CI11" s="690"/>
      <c r="CJ11" s="690"/>
      <c r="CK11" s="690"/>
      <c r="CL11" s="690"/>
      <c r="CM11" s="690"/>
      <c r="CN11" s="690"/>
      <c r="CO11" s="690"/>
      <c r="CP11" s="690"/>
      <c r="CQ11" s="690"/>
      <c r="CR11" s="690"/>
      <c r="CS11" s="690"/>
      <c r="CT11" s="690"/>
      <c r="CU11" s="690"/>
      <c r="CV11" s="690"/>
      <c r="CW11" s="690"/>
      <c r="CX11" s="690"/>
      <c r="CY11" s="690"/>
      <c r="CZ11" s="690"/>
      <c r="DA11" s="690"/>
      <c r="DB11" s="690"/>
      <c r="DC11" s="690"/>
      <c r="DD11" s="690"/>
      <c r="DE11" s="690"/>
      <c r="DF11" s="690"/>
      <c r="DG11" s="690"/>
      <c r="DH11" s="690"/>
      <c r="DI11" s="690"/>
      <c r="DJ11" s="690"/>
      <c r="DK11" s="690"/>
      <c r="DL11" s="690"/>
    </row>
    <row r="12" spans="1:118" ht="7.5" customHeight="1">
      <c r="A12" s="690"/>
      <c r="B12" s="690"/>
      <c r="C12" s="690"/>
      <c r="D12" s="690"/>
      <c r="E12" s="690"/>
      <c r="F12" s="690"/>
      <c r="G12" s="690"/>
      <c r="H12" s="690"/>
      <c r="I12" s="690"/>
      <c r="J12" s="690"/>
      <c r="K12" s="690"/>
      <c r="L12" s="690"/>
      <c r="M12" s="690"/>
      <c r="N12" s="690"/>
      <c r="O12" s="690"/>
      <c r="P12" s="690"/>
      <c r="Q12" s="690"/>
      <c r="R12" s="690"/>
      <c r="S12" s="690"/>
      <c r="T12" s="690"/>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c r="AT12" s="690"/>
      <c r="AU12" s="690"/>
      <c r="AV12" s="690"/>
      <c r="AW12" s="690"/>
      <c r="AX12" s="690"/>
      <c r="AY12" s="690"/>
      <c r="AZ12" s="690"/>
      <c r="BA12" s="690"/>
      <c r="BB12" s="690"/>
      <c r="BC12" s="690"/>
      <c r="BD12" s="690"/>
      <c r="BE12" s="690"/>
      <c r="BF12" s="690"/>
      <c r="BG12" s="690"/>
      <c r="BH12" s="690"/>
      <c r="BI12" s="690"/>
      <c r="BJ12" s="690"/>
      <c r="BK12" s="690"/>
      <c r="BL12" s="690"/>
      <c r="BM12" s="690"/>
      <c r="BN12" s="690"/>
      <c r="BO12" s="690"/>
      <c r="BP12" s="690"/>
      <c r="BQ12" s="690"/>
      <c r="BR12" s="690"/>
      <c r="BS12" s="690"/>
      <c r="BT12" s="690"/>
      <c r="BU12" s="690"/>
      <c r="BV12" s="690"/>
      <c r="BW12" s="690"/>
      <c r="BX12" s="690"/>
      <c r="BY12" s="690"/>
      <c r="BZ12" s="690"/>
      <c r="CA12" s="690"/>
      <c r="CB12" s="690"/>
      <c r="CC12" s="690"/>
      <c r="CD12" s="690"/>
      <c r="CE12" s="690"/>
      <c r="CF12" s="690"/>
      <c r="CG12" s="690"/>
      <c r="CH12" s="690"/>
      <c r="CI12" s="690"/>
      <c r="CJ12" s="690"/>
      <c r="CK12" s="690"/>
      <c r="CL12" s="690"/>
      <c r="CM12" s="690"/>
      <c r="CN12" s="690"/>
      <c r="CO12" s="690"/>
      <c r="CP12" s="690"/>
      <c r="CQ12" s="690"/>
      <c r="CR12" s="690"/>
      <c r="CS12" s="690"/>
      <c r="CT12" s="690"/>
      <c r="CU12" s="690"/>
      <c r="CV12" s="690"/>
      <c r="CW12" s="690"/>
      <c r="CX12" s="690"/>
      <c r="CY12" s="690"/>
      <c r="CZ12" s="690"/>
      <c r="DA12" s="690"/>
      <c r="DB12" s="690"/>
      <c r="DC12" s="690"/>
      <c r="DD12" s="690"/>
      <c r="DE12" s="690"/>
      <c r="DF12" s="690"/>
      <c r="DG12" s="690"/>
      <c r="DH12" s="690"/>
      <c r="DI12" s="690"/>
      <c r="DJ12" s="690"/>
      <c r="DK12" s="690"/>
      <c r="DL12" s="690"/>
    </row>
    <row r="13" spans="1:118" ht="7.5" customHeight="1">
      <c r="A13" s="690"/>
      <c r="B13" s="690"/>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c r="AT13" s="690"/>
      <c r="AU13" s="690"/>
      <c r="AV13" s="690"/>
      <c r="AW13" s="690"/>
      <c r="AX13" s="690"/>
      <c r="AY13" s="690"/>
      <c r="AZ13" s="690"/>
      <c r="BA13" s="690"/>
      <c r="BB13" s="690"/>
      <c r="BC13" s="690"/>
      <c r="BD13" s="690"/>
      <c r="BE13" s="690"/>
      <c r="BF13" s="690"/>
      <c r="BG13" s="690"/>
      <c r="BH13" s="690"/>
      <c r="BI13" s="690"/>
      <c r="BJ13" s="690"/>
      <c r="BK13" s="690"/>
      <c r="BL13" s="690"/>
      <c r="BM13" s="690"/>
      <c r="BN13" s="690"/>
      <c r="BO13" s="690"/>
      <c r="BP13" s="690"/>
      <c r="BQ13" s="690"/>
      <c r="BR13" s="690"/>
      <c r="BS13" s="690"/>
      <c r="BT13" s="690"/>
      <c r="BU13" s="690"/>
      <c r="BV13" s="690"/>
      <c r="BW13" s="690"/>
      <c r="BX13" s="690"/>
      <c r="BY13" s="690"/>
      <c r="BZ13" s="690"/>
      <c r="CA13" s="690"/>
      <c r="CB13" s="690"/>
      <c r="CC13" s="690"/>
      <c r="CD13" s="690"/>
      <c r="CE13" s="690"/>
      <c r="CF13" s="690"/>
      <c r="CG13" s="690"/>
      <c r="CH13" s="690"/>
      <c r="CI13" s="690"/>
      <c r="CJ13" s="690"/>
      <c r="CK13" s="690"/>
      <c r="CL13" s="690"/>
      <c r="CM13" s="690"/>
      <c r="CN13" s="690"/>
      <c r="CO13" s="690"/>
      <c r="CP13" s="690"/>
      <c r="CQ13" s="690"/>
      <c r="CR13" s="690"/>
      <c r="CS13" s="690"/>
      <c r="CT13" s="690"/>
      <c r="CU13" s="690"/>
      <c r="CV13" s="690"/>
      <c r="CW13" s="690"/>
      <c r="CX13" s="690"/>
      <c r="CY13" s="690"/>
      <c r="CZ13" s="690"/>
      <c r="DA13" s="690"/>
      <c r="DB13" s="690"/>
      <c r="DC13" s="690"/>
      <c r="DD13" s="690"/>
      <c r="DE13" s="690"/>
      <c r="DF13" s="690"/>
      <c r="DG13" s="690"/>
      <c r="DH13" s="690"/>
      <c r="DI13" s="690"/>
      <c r="DJ13" s="690"/>
      <c r="DK13" s="690"/>
      <c r="DL13" s="690"/>
    </row>
    <row r="14" spans="1:118" ht="7.5" customHeight="1">
      <c r="A14" s="690"/>
      <c r="B14" s="690"/>
      <c r="C14" s="690"/>
      <c r="D14" s="690"/>
      <c r="E14" s="690"/>
      <c r="F14" s="690"/>
      <c r="G14" s="690"/>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0"/>
      <c r="AY14" s="690"/>
      <c r="AZ14" s="690"/>
      <c r="BA14" s="690"/>
      <c r="BB14" s="690"/>
      <c r="BC14" s="690"/>
      <c r="BD14" s="690"/>
      <c r="BE14" s="690"/>
      <c r="BF14" s="690"/>
      <c r="BG14" s="690"/>
      <c r="BH14" s="690"/>
      <c r="BI14" s="690"/>
      <c r="BJ14" s="690"/>
      <c r="BK14" s="690"/>
      <c r="BL14" s="690"/>
      <c r="BM14" s="690"/>
      <c r="BN14" s="690"/>
      <c r="BO14" s="690"/>
      <c r="BP14" s="690"/>
      <c r="BQ14" s="690"/>
      <c r="BR14" s="690"/>
      <c r="BS14" s="690"/>
      <c r="BT14" s="690"/>
      <c r="BU14" s="690"/>
      <c r="BV14" s="690"/>
      <c r="BW14" s="690"/>
      <c r="BX14" s="690"/>
      <c r="BY14" s="690"/>
      <c r="BZ14" s="690"/>
      <c r="CA14" s="690"/>
      <c r="CB14" s="690"/>
      <c r="CC14" s="690"/>
      <c r="CD14" s="690"/>
      <c r="CE14" s="690"/>
      <c r="CF14" s="690"/>
      <c r="CG14" s="690"/>
      <c r="CH14" s="690"/>
      <c r="CI14" s="690"/>
      <c r="CJ14" s="690"/>
      <c r="CK14" s="690"/>
      <c r="CL14" s="690"/>
      <c r="CM14" s="690"/>
      <c r="CN14" s="690"/>
      <c r="CO14" s="690"/>
      <c r="CP14" s="690"/>
      <c r="CQ14" s="690"/>
      <c r="CR14" s="690"/>
      <c r="CS14" s="690"/>
      <c r="CT14" s="690"/>
      <c r="CU14" s="690"/>
      <c r="CV14" s="690"/>
      <c r="CW14" s="690"/>
      <c r="CX14" s="690"/>
      <c r="CY14" s="690"/>
      <c r="CZ14" s="690"/>
      <c r="DA14" s="690"/>
      <c r="DB14" s="690"/>
      <c r="DC14" s="690"/>
      <c r="DD14" s="690"/>
      <c r="DE14" s="690"/>
      <c r="DF14" s="690"/>
      <c r="DG14" s="690"/>
      <c r="DH14" s="690"/>
      <c r="DI14" s="690"/>
      <c r="DJ14" s="690"/>
      <c r="DK14" s="690"/>
      <c r="DL14" s="690"/>
    </row>
    <row r="15" spans="1:118" ht="7.5" customHeight="1">
      <c r="A15" s="690"/>
      <c r="B15" s="690"/>
      <c r="C15" s="690"/>
      <c r="D15" s="690"/>
      <c r="E15" s="690"/>
      <c r="F15" s="690"/>
      <c r="G15" s="690"/>
      <c r="H15" s="690"/>
      <c r="I15" s="690"/>
      <c r="J15" s="690"/>
      <c r="K15" s="690"/>
      <c r="L15" s="690"/>
      <c r="M15" s="690"/>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c r="AT15" s="690"/>
      <c r="AU15" s="690"/>
      <c r="AV15" s="690"/>
      <c r="AW15" s="690"/>
      <c r="AX15" s="690"/>
      <c r="AY15" s="690"/>
      <c r="AZ15" s="690"/>
      <c r="BA15" s="690"/>
      <c r="BB15" s="690"/>
      <c r="BC15" s="690"/>
      <c r="BD15" s="690"/>
      <c r="BE15" s="690"/>
      <c r="BF15" s="690"/>
      <c r="BG15" s="690"/>
      <c r="BH15" s="690"/>
      <c r="BI15" s="690"/>
      <c r="BJ15" s="690"/>
      <c r="BK15" s="690"/>
      <c r="BL15" s="690"/>
      <c r="BM15" s="690"/>
      <c r="BN15" s="690"/>
      <c r="BO15" s="690"/>
      <c r="BP15" s="690"/>
      <c r="BQ15" s="690"/>
      <c r="BR15" s="690"/>
      <c r="BS15" s="690"/>
      <c r="BT15" s="690"/>
      <c r="BU15" s="690"/>
      <c r="BV15" s="690"/>
      <c r="BW15" s="690"/>
      <c r="BX15" s="690"/>
      <c r="BY15" s="690"/>
      <c r="BZ15" s="690"/>
      <c r="CA15" s="690"/>
      <c r="CB15" s="690"/>
      <c r="CC15" s="690"/>
      <c r="CD15" s="690"/>
      <c r="CE15" s="690"/>
      <c r="CF15" s="690"/>
      <c r="CG15" s="690"/>
      <c r="CH15" s="690"/>
      <c r="CI15" s="690"/>
      <c r="CJ15" s="690"/>
      <c r="CK15" s="690"/>
      <c r="CL15" s="690"/>
      <c r="CM15" s="690"/>
      <c r="CN15" s="690"/>
      <c r="CO15" s="690"/>
      <c r="CP15" s="690"/>
      <c r="CQ15" s="690"/>
      <c r="CR15" s="690"/>
      <c r="CS15" s="690"/>
      <c r="CT15" s="690"/>
      <c r="CU15" s="690"/>
      <c r="CV15" s="690"/>
      <c r="CW15" s="690"/>
      <c r="CX15" s="690"/>
      <c r="CY15" s="690"/>
      <c r="CZ15" s="690"/>
      <c r="DA15" s="690"/>
      <c r="DB15" s="690"/>
      <c r="DC15" s="690"/>
      <c r="DD15" s="690"/>
      <c r="DE15" s="690"/>
      <c r="DF15" s="690"/>
      <c r="DG15" s="690"/>
      <c r="DH15" s="690"/>
      <c r="DI15" s="690"/>
      <c r="DJ15" s="690"/>
      <c r="DK15" s="690"/>
      <c r="DL15" s="690"/>
    </row>
    <row r="16" spans="1:118" ht="7.5" customHeight="1">
      <c r="A16" s="690"/>
      <c r="B16" s="690"/>
      <c r="C16" s="690"/>
      <c r="D16" s="690"/>
      <c r="E16" s="690"/>
      <c r="F16" s="690"/>
      <c r="G16" s="690"/>
      <c r="H16" s="690"/>
      <c r="I16" s="690"/>
      <c r="J16" s="690"/>
      <c r="K16" s="690"/>
      <c r="L16" s="690"/>
      <c r="M16" s="690"/>
      <c r="N16" s="690"/>
      <c r="O16" s="690"/>
      <c r="P16" s="690"/>
      <c r="Q16" s="690"/>
      <c r="R16" s="690"/>
      <c r="S16" s="690"/>
      <c r="T16" s="690"/>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c r="AT16" s="690"/>
      <c r="AU16" s="690"/>
      <c r="AV16" s="690"/>
      <c r="AW16" s="690"/>
      <c r="AX16" s="690"/>
      <c r="AY16" s="690"/>
      <c r="AZ16" s="690"/>
      <c r="BA16" s="690"/>
      <c r="BB16" s="690"/>
      <c r="BC16" s="690"/>
      <c r="BD16" s="690"/>
      <c r="BE16" s="690"/>
      <c r="BF16" s="690"/>
      <c r="BG16" s="690"/>
      <c r="BH16" s="690"/>
      <c r="BI16" s="690"/>
      <c r="BJ16" s="690"/>
      <c r="BK16" s="690"/>
      <c r="BL16" s="690"/>
      <c r="BM16" s="690"/>
      <c r="BN16" s="690"/>
      <c r="BO16" s="690"/>
      <c r="BP16" s="690"/>
      <c r="BQ16" s="690"/>
      <c r="BR16" s="690"/>
      <c r="BS16" s="690"/>
      <c r="BT16" s="690"/>
      <c r="BU16" s="690"/>
      <c r="BV16" s="690"/>
      <c r="BW16" s="690"/>
      <c r="BX16" s="690"/>
      <c r="BY16" s="690"/>
      <c r="BZ16" s="690"/>
      <c r="CA16" s="690"/>
      <c r="CB16" s="690"/>
      <c r="CC16" s="690"/>
      <c r="CD16" s="690"/>
      <c r="CE16" s="690"/>
      <c r="CF16" s="690"/>
      <c r="CG16" s="690"/>
      <c r="CH16" s="690"/>
      <c r="CI16" s="690"/>
      <c r="CJ16" s="690"/>
      <c r="CK16" s="690"/>
      <c r="CL16" s="690"/>
      <c r="CM16" s="690"/>
      <c r="CN16" s="690"/>
      <c r="CO16" s="690"/>
      <c r="CP16" s="690"/>
      <c r="CQ16" s="690"/>
      <c r="CR16" s="690"/>
      <c r="CS16" s="690"/>
      <c r="CT16" s="690"/>
      <c r="CU16" s="690"/>
      <c r="CV16" s="690"/>
      <c r="CW16" s="690"/>
      <c r="CX16" s="690"/>
      <c r="CY16" s="690"/>
      <c r="CZ16" s="690"/>
      <c r="DA16" s="690"/>
      <c r="DB16" s="690"/>
      <c r="DC16" s="690"/>
      <c r="DD16" s="690"/>
      <c r="DE16" s="690"/>
      <c r="DF16" s="690"/>
      <c r="DG16" s="690"/>
      <c r="DH16" s="690"/>
      <c r="DI16" s="690"/>
      <c r="DJ16" s="690"/>
      <c r="DK16" s="690"/>
      <c r="DL16" s="690"/>
    </row>
    <row r="17" spans="1:120" ht="7.5" customHeight="1">
      <c r="A17" s="690"/>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690"/>
      <c r="BW17" s="690"/>
      <c r="BX17" s="690"/>
      <c r="BY17" s="690"/>
      <c r="BZ17" s="690"/>
      <c r="CA17" s="690"/>
      <c r="CB17" s="690"/>
      <c r="CC17" s="690"/>
      <c r="CD17" s="690"/>
      <c r="CE17" s="690"/>
      <c r="CF17" s="690"/>
      <c r="CG17" s="690"/>
      <c r="CH17" s="690"/>
      <c r="CI17" s="690"/>
      <c r="CJ17" s="690"/>
      <c r="CK17" s="690"/>
      <c r="CL17" s="690"/>
      <c r="CM17" s="690"/>
      <c r="CN17" s="690"/>
      <c r="CO17" s="690"/>
      <c r="CP17" s="690"/>
      <c r="CQ17" s="690"/>
      <c r="CR17" s="690"/>
      <c r="CS17" s="690"/>
      <c r="CT17" s="690"/>
      <c r="CU17" s="690"/>
      <c r="CV17" s="690"/>
      <c r="CW17" s="690"/>
      <c r="CX17" s="690"/>
      <c r="CY17" s="690"/>
      <c r="CZ17" s="690"/>
      <c r="DA17" s="690"/>
      <c r="DB17" s="690"/>
      <c r="DC17" s="690"/>
      <c r="DD17" s="690"/>
      <c r="DE17" s="690"/>
      <c r="DF17" s="690"/>
      <c r="DG17" s="690"/>
      <c r="DH17" s="690"/>
      <c r="DI17" s="690"/>
      <c r="DJ17" s="690"/>
      <c r="DK17" s="690"/>
      <c r="DL17" s="690"/>
    </row>
    <row r="18" spans="1:120" ht="7.5" customHeight="1">
      <c r="A18" s="690"/>
      <c r="B18" s="690"/>
      <c r="C18" s="690"/>
      <c r="D18" s="690"/>
      <c r="E18" s="690"/>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690"/>
      <c r="CG18" s="690"/>
      <c r="CH18" s="690"/>
      <c r="CI18" s="690"/>
      <c r="CJ18" s="690"/>
      <c r="CK18" s="690"/>
      <c r="CL18" s="690"/>
      <c r="CM18" s="690"/>
      <c r="CN18" s="690"/>
      <c r="CO18" s="690"/>
      <c r="CP18" s="690"/>
      <c r="CQ18" s="690"/>
      <c r="CR18" s="690"/>
      <c r="CS18" s="690"/>
      <c r="CT18" s="690"/>
      <c r="CU18" s="690"/>
      <c r="CV18" s="690"/>
      <c r="CW18" s="690"/>
      <c r="CX18" s="690"/>
      <c r="CY18" s="690"/>
      <c r="CZ18" s="690"/>
      <c r="DA18" s="690"/>
      <c r="DB18" s="690"/>
      <c r="DC18" s="690"/>
      <c r="DD18" s="690"/>
      <c r="DE18" s="690"/>
      <c r="DF18" s="690"/>
      <c r="DG18" s="690"/>
      <c r="DH18" s="690"/>
      <c r="DI18" s="690"/>
      <c r="DJ18" s="690"/>
      <c r="DK18" s="690"/>
      <c r="DL18" s="690"/>
    </row>
    <row r="19" spans="1:120" ht="7.5" customHeight="1" thickBot="1">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690"/>
      <c r="BW19" s="690"/>
      <c r="BX19" s="690"/>
      <c r="BY19" s="690"/>
      <c r="BZ19" s="690"/>
      <c r="CA19" s="690"/>
      <c r="CB19" s="690"/>
      <c r="CC19" s="690"/>
      <c r="CD19" s="690"/>
      <c r="CE19" s="690"/>
      <c r="CF19" s="690"/>
      <c r="CG19" s="690"/>
      <c r="CH19" s="690"/>
      <c r="CI19" s="690"/>
      <c r="CJ19" s="690"/>
      <c r="CK19" s="690"/>
      <c r="CL19" s="690"/>
      <c r="CM19" s="690"/>
      <c r="CN19" s="690"/>
      <c r="CO19" s="690"/>
      <c r="CP19" s="690"/>
      <c r="CQ19" s="690"/>
      <c r="CR19" s="690"/>
      <c r="CS19" s="690"/>
      <c r="CT19" s="690"/>
      <c r="CU19" s="690"/>
      <c r="CV19" s="690"/>
      <c r="CW19" s="690"/>
      <c r="CX19" s="690"/>
      <c r="CY19" s="690"/>
      <c r="CZ19" s="690"/>
      <c r="DA19" s="690"/>
      <c r="DB19" s="690"/>
      <c r="DC19" s="690"/>
      <c r="DD19" s="690"/>
      <c r="DE19" s="690"/>
      <c r="DF19" s="690"/>
      <c r="DG19" s="690"/>
      <c r="DH19" s="690"/>
      <c r="DI19" s="690"/>
      <c r="DJ19" s="690"/>
      <c r="DK19" s="690"/>
      <c r="DL19" s="690"/>
    </row>
    <row r="20" spans="1:120" s="45" customFormat="1"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511</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c r="DM20" s="44"/>
    </row>
    <row r="21" spans="1:120"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c r="DM21" s="44"/>
    </row>
    <row r="22" spans="1:120" s="45" customFormat="1"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5" t="s">
        <v>1260</v>
      </c>
      <c r="CW22" s="846"/>
      <c r="CX22" s="846"/>
      <c r="CY22" s="846"/>
      <c r="CZ22" s="846"/>
      <c r="DA22" s="846"/>
      <c r="DB22" s="846"/>
      <c r="DC22" s="846"/>
      <c r="DD22" s="846"/>
      <c r="DE22" s="846"/>
      <c r="DF22" s="849"/>
      <c r="DG22" s="850"/>
      <c r="DH22" s="850"/>
      <c r="DI22" s="850"/>
      <c r="DJ22" s="850"/>
      <c r="DK22" s="851"/>
      <c r="DL22" s="47"/>
      <c r="DM22" s="44"/>
    </row>
    <row r="23" spans="1:120"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7"/>
      <c r="CW23" s="848"/>
      <c r="CX23" s="848"/>
      <c r="CY23" s="848"/>
      <c r="CZ23" s="848"/>
      <c r="DA23" s="848"/>
      <c r="DB23" s="848"/>
      <c r="DC23" s="848"/>
      <c r="DD23" s="848"/>
      <c r="DE23" s="848"/>
      <c r="DF23" s="852"/>
      <c r="DG23" s="853"/>
      <c r="DH23" s="853"/>
      <c r="DI23" s="853"/>
      <c r="DJ23" s="853"/>
      <c r="DK23" s="854"/>
      <c r="DL23" s="47"/>
      <c r="DM23" s="44"/>
    </row>
    <row r="24" spans="1:120" s="45" customFormat="1"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855"/>
      <c r="BJ24" s="856"/>
      <c r="BK24" s="547"/>
      <c r="BL24" s="547"/>
      <c r="BM24" s="548"/>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c r="DM24" s="44"/>
    </row>
    <row r="25" spans="1:120" s="45" customFormat="1" ht="7.5" customHeight="1" thickTop="1">
      <c r="A25" s="48"/>
      <c r="B25" s="807" t="s">
        <v>566</v>
      </c>
      <c r="C25" s="808"/>
      <c r="D25" s="808"/>
      <c r="E25" s="808"/>
      <c r="F25" s="809"/>
      <c r="G25" s="813"/>
      <c r="H25" s="814"/>
      <c r="I25" s="814"/>
      <c r="J25" s="814"/>
      <c r="K25" s="814"/>
      <c r="L25" s="814"/>
      <c r="M25" s="814"/>
      <c r="N25" s="814"/>
      <c r="O25" s="814"/>
      <c r="P25" s="814"/>
      <c r="Q25" s="814"/>
      <c r="R25" s="814"/>
      <c r="S25" s="814"/>
      <c r="T25" s="814"/>
      <c r="U25" s="814"/>
      <c r="V25" s="814"/>
      <c r="W25" s="814"/>
      <c r="X25" s="814"/>
      <c r="Y25" s="814"/>
      <c r="Z25" s="814"/>
      <c r="AA25" s="814"/>
      <c r="AB25" s="814"/>
      <c r="AC25" s="814"/>
      <c r="AD25" s="815"/>
      <c r="AE25" s="819" t="s">
        <v>170</v>
      </c>
      <c r="AF25" s="819"/>
      <c r="AG25" s="819"/>
      <c r="AH25" s="819"/>
      <c r="AI25" s="819"/>
      <c r="AJ25" s="821"/>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3"/>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c r="DM25" s="44"/>
    </row>
    <row r="26" spans="1:120" s="45" customFormat="1" ht="7.5" customHeight="1" thickBot="1">
      <c r="A26" s="48"/>
      <c r="B26" s="810"/>
      <c r="C26" s="811"/>
      <c r="D26" s="811"/>
      <c r="E26" s="811"/>
      <c r="F26" s="812"/>
      <c r="G26" s="816"/>
      <c r="H26" s="817"/>
      <c r="I26" s="817"/>
      <c r="J26" s="817"/>
      <c r="K26" s="817"/>
      <c r="L26" s="817"/>
      <c r="M26" s="817"/>
      <c r="N26" s="817"/>
      <c r="O26" s="817"/>
      <c r="P26" s="817"/>
      <c r="Q26" s="817"/>
      <c r="R26" s="817"/>
      <c r="S26" s="817"/>
      <c r="T26" s="817"/>
      <c r="U26" s="817"/>
      <c r="V26" s="817"/>
      <c r="W26" s="817"/>
      <c r="X26" s="817"/>
      <c r="Y26" s="817"/>
      <c r="Z26" s="817"/>
      <c r="AA26" s="817"/>
      <c r="AB26" s="817"/>
      <c r="AC26" s="817"/>
      <c r="AD26" s="818"/>
      <c r="AE26" s="820"/>
      <c r="AF26" s="820"/>
      <c r="AG26" s="820"/>
      <c r="AH26" s="820"/>
      <c r="AI26" s="820"/>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6"/>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8"/>
      <c r="DN26" s="49"/>
      <c r="DO26" s="49"/>
      <c r="DP26" s="49"/>
    </row>
    <row r="27" spans="1:120"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9"/>
      <c r="BJ27" s="550"/>
      <c r="BK27" s="550"/>
      <c r="BL27" s="550"/>
      <c r="BM27" s="551"/>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8"/>
      <c r="DN27" s="49"/>
      <c r="DO27" s="49"/>
      <c r="DP27" s="49"/>
    </row>
    <row r="28" spans="1:120" s="45" customFormat="1" ht="7.5" customHeight="1" thickTop="1">
      <c r="A28" s="48"/>
      <c r="B28" s="934" t="s">
        <v>792</v>
      </c>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6"/>
      <c r="AN28" s="940" t="s">
        <v>1149</v>
      </c>
      <c r="AO28" s="941"/>
      <c r="AP28" s="941"/>
      <c r="AQ28" s="942"/>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8"/>
      <c r="DN28" s="49"/>
      <c r="DO28" s="49"/>
      <c r="DP28" s="49"/>
    </row>
    <row r="29" spans="1:120" s="45" customFormat="1" ht="7.5" customHeight="1">
      <c r="A29" s="48"/>
      <c r="B29" s="937"/>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9"/>
      <c r="AN29" s="943"/>
      <c r="AO29" s="944"/>
      <c r="AP29" s="944"/>
      <c r="AQ29" s="945"/>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8"/>
      <c r="DN29" s="49"/>
      <c r="DO29" s="49"/>
      <c r="DP29" s="49"/>
    </row>
    <row r="30" spans="1:120" s="45" customFormat="1" ht="7.5" customHeight="1">
      <c r="A30" s="48"/>
      <c r="B30" s="1090" t="s">
        <v>72</v>
      </c>
      <c r="C30" s="1091"/>
      <c r="D30" s="1091"/>
      <c r="E30" s="1091"/>
      <c r="F30" s="1092"/>
      <c r="G30" s="3139"/>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0"/>
      <c r="AK30" s="3140"/>
      <c r="AL30" s="3140"/>
      <c r="AM30" s="3140"/>
      <c r="AN30" s="3140"/>
      <c r="AO30" s="3140"/>
      <c r="AP30" s="3140"/>
      <c r="AQ30" s="3140"/>
      <c r="AR30" s="3140"/>
      <c r="AS30" s="3140"/>
      <c r="AT30" s="3140"/>
      <c r="AU30" s="3140"/>
      <c r="AV30" s="3140"/>
      <c r="AW30" s="3140"/>
      <c r="AX30" s="3140"/>
      <c r="AY30" s="3140"/>
      <c r="AZ30" s="3140"/>
      <c r="BA30" s="3140"/>
      <c r="BB30" s="3140"/>
      <c r="BC30" s="3140"/>
      <c r="BD30" s="3140"/>
      <c r="BE30" s="3140"/>
      <c r="BF30" s="3141"/>
      <c r="BG30" s="48"/>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c r="DM30" s="44"/>
    </row>
    <row r="31" spans="1:120" s="45" customFormat="1" ht="7.5" customHeight="1" thickBot="1">
      <c r="A31" s="48"/>
      <c r="B31" s="1093" t="s">
        <v>794</v>
      </c>
      <c r="C31" s="1094"/>
      <c r="D31" s="1094"/>
      <c r="E31" s="1094"/>
      <c r="F31" s="1095"/>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c r="DM31" s="44"/>
    </row>
    <row r="32" spans="1:120" s="45" customFormat="1" ht="7.5" customHeight="1" thickBot="1">
      <c r="A32" s="48"/>
      <c r="B32" s="1096"/>
      <c r="C32" s="1097"/>
      <c r="D32" s="1097"/>
      <c r="E32" s="1097"/>
      <c r="F32" s="1098"/>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391"/>
      <c r="DK32" s="392"/>
      <c r="DL32" s="51"/>
      <c r="DM32" s="44"/>
    </row>
    <row r="33" spans="1:117" s="45" customFormat="1" ht="7.5" customHeight="1">
      <c r="A33" s="48"/>
      <c r="B33" s="1117" t="s">
        <v>75</v>
      </c>
      <c r="C33" s="1118"/>
      <c r="D33" s="1118"/>
      <c r="E33" s="1118"/>
      <c r="F33" s="1119"/>
      <c r="G33" s="3127" t="s">
        <v>73</v>
      </c>
      <c r="H33" s="3128"/>
      <c r="I33" s="3128"/>
      <c r="J33" s="3128"/>
      <c r="K33" s="3128"/>
      <c r="L33" s="3129"/>
      <c r="M33" s="793"/>
      <c r="N33" s="794"/>
      <c r="O33" s="794"/>
      <c r="P33" s="794"/>
      <c r="Q33" s="794"/>
      <c r="R33" s="794"/>
      <c r="S33" s="794"/>
      <c r="T33" s="794"/>
      <c r="U33" s="794"/>
      <c r="V33" s="794"/>
      <c r="W33" s="795"/>
      <c r="X33" s="3127" t="s">
        <v>11</v>
      </c>
      <c r="Y33" s="3128"/>
      <c r="Z33" s="3128"/>
      <c r="AA33" s="3128"/>
      <c r="AB33" s="3128"/>
      <c r="AC33" s="3129"/>
      <c r="AD33" s="793"/>
      <c r="AE33" s="794"/>
      <c r="AF33" s="794"/>
      <c r="AG33" s="794"/>
      <c r="AH33" s="794"/>
      <c r="AI33" s="794"/>
      <c r="AJ33" s="794"/>
      <c r="AK33" s="794"/>
      <c r="AL33" s="794"/>
      <c r="AM33" s="794"/>
      <c r="AN33" s="795"/>
      <c r="AO33" s="3127" t="s">
        <v>74</v>
      </c>
      <c r="AP33" s="3128"/>
      <c r="AQ33" s="3128"/>
      <c r="AR33" s="3128"/>
      <c r="AS33" s="3128"/>
      <c r="AT33" s="3129"/>
      <c r="AU33" s="793"/>
      <c r="AV33" s="794"/>
      <c r="AW33" s="794"/>
      <c r="AX33" s="794"/>
      <c r="AY33" s="794"/>
      <c r="AZ33" s="794"/>
      <c r="BA33" s="794"/>
      <c r="BB33" s="794"/>
      <c r="BC33" s="794"/>
      <c r="BD33" s="794"/>
      <c r="BE33" s="794"/>
      <c r="BF33" s="805"/>
      <c r="BG33" s="48"/>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511</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c r="DM33" s="44"/>
    </row>
    <row r="34" spans="1:117" s="45" customFormat="1" ht="7.5" customHeight="1">
      <c r="A34" s="48"/>
      <c r="B34" s="1120"/>
      <c r="C34" s="1121"/>
      <c r="D34" s="1121"/>
      <c r="E34" s="1121"/>
      <c r="F34" s="1122"/>
      <c r="G34" s="3130"/>
      <c r="H34" s="3131"/>
      <c r="I34" s="3131"/>
      <c r="J34" s="3131"/>
      <c r="K34" s="3131"/>
      <c r="L34" s="3132"/>
      <c r="M34" s="796"/>
      <c r="N34" s="797"/>
      <c r="O34" s="797"/>
      <c r="P34" s="797"/>
      <c r="Q34" s="797"/>
      <c r="R34" s="797"/>
      <c r="S34" s="797"/>
      <c r="T34" s="797"/>
      <c r="U34" s="797"/>
      <c r="V34" s="797"/>
      <c r="W34" s="798"/>
      <c r="X34" s="3130"/>
      <c r="Y34" s="3131"/>
      <c r="Z34" s="3131"/>
      <c r="AA34" s="3131"/>
      <c r="AB34" s="3131"/>
      <c r="AC34" s="3132"/>
      <c r="AD34" s="796"/>
      <c r="AE34" s="797"/>
      <c r="AF34" s="797"/>
      <c r="AG34" s="797"/>
      <c r="AH34" s="797"/>
      <c r="AI34" s="797"/>
      <c r="AJ34" s="797"/>
      <c r="AK34" s="797"/>
      <c r="AL34" s="797"/>
      <c r="AM34" s="797"/>
      <c r="AN34" s="798"/>
      <c r="AO34" s="3130"/>
      <c r="AP34" s="3131"/>
      <c r="AQ34" s="3131"/>
      <c r="AR34" s="3131"/>
      <c r="AS34" s="3131"/>
      <c r="AT34" s="3132"/>
      <c r="AU34" s="796"/>
      <c r="AV34" s="797"/>
      <c r="AW34" s="797"/>
      <c r="AX34" s="797"/>
      <c r="AY34" s="797"/>
      <c r="AZ34" s="797"/>
      <c r="BA34" s="797"/>
      <c r="BB34" s="797"/>
      <c r="BC34" s="797"/>
      <c r="BD34" s="797"/>
      <c r="BE34" s="797"/>
      <c r="BF34" s="806"/>
      <c r="BG34" s="48"/>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c r="DM34" s="44"/>
    </row>
    <row r="35" spans="1:117" s="45" customFormat="1" ht="7.5" customHeight="1">
      <c r="A35" s="48"/>
      <c r="B35" s="1120"/>
      <c r="C35" s="1121"/>
      <c r="D35" s="1121"/>
      <c r="E35" s="1121"/>
      <c r="F35" s="1122"/>
      <c r="G35" s="3127" t="s">
        <v>76</v>
      </c>
      <c r="H35" s="3128"/>
      <c r="I35" s="3128"/>
      <c r="J35" s="3128"/>
      <c r="K35" s="3128"/>
      <c r="L35" s="3129"/>
      <c r="M35" s="793"/>
      <c r="N35" s="794"/>
      <c r="O35" s="794"/>
      <c r="P35" s="794"/>
      <c r="Q35" s="794"/>
      <c r="R35" s="794"/>
      <c r="S35" s="794"/>
      <c r="T35" s="794"/>
      <c r="U35" s="794"/>
      <c r="V35" s="794"/>
      <c r="W35" s="794"/>
      <c r="X35" s="794"/>
      <c r="Y35" s="794"/>
      <c r="Z35" s="794"/>
      <c r="AA35" s="794"/>
      <c r="AB35" s="794"/>
      <c r="AC35" s="794"/>
      <c r="AD35" s="794"/>
      <c r="AE35" s="794"/>
      <c r="AF35" s="795"/>
      <c r="AG35" s="3127" t="s">
        <v>77</v>
      </c>
      <c r="AH35" s="3128"/>
      <c r="AI35" s="3128"/>
      <c r="AJ35" s="3128"/>
      <c r="AK35" s="3128"/>
      <c r="AL35" s="3129"/>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c r="DM35" s="44"/>
    </row>
    <row r="36" spans="1:117" s="45" customFormat="1" ht="7.5" customHeight="1">
      <c r="A36" s="48"/>
      <c r="B36" s="1123"/>
      <c r="C36" s="1124"/>
      <c r="D36" s="1124"/>
      <c r="E36" s="1124"/>
      <c r="F36" s="1125"/>
      <c r="G36" s="3130"/>
      <c r="H36" s="3131"/>
      <c r="I36" s="3131"/>
      <c r="J36" s="3131"/>
      <c r="K36" s="3131"/>
      <c r="L36" s="3132"/>
      <c r="M36" s="796"/>
      <c r="N36" s="797"/>
      <c r="O36" s="797"/>
      <c r="P36" s="797"/>
      <c r="Q36" s="797"/>
      <c r="R36" s="797"/>
      <c r="S36" s="797"/>
      <c r="T36" s="797"/>
      <c r="U36" s="797"/>
      <c r="V36" s="797"/>
      <c r="W36" s="797"/>
      <c r="X36" s="797"/>
      <c r="Y36" s="797"/>
      <c r="Z36" s="797"/>
      <c r="AA36" s="797"/>
      <c r="AB36" s="797"/>
      <c r="AC36" s="797"/>
      <c r="AD36" s="797"/>
      <c r="AE36" s="797"/>
      <c r="AF36" s="798"/>
      <c r="AG36" s="3130"/>
      <c r="AH36" s="3131"/>
      <c r="AI36" s="3131"/>
      <c r="AJ36" s="3131"/>
      <c r="AK36" s="3131"/>
      <c r="AL36" s="3132"/>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c r="DM36" s="44"/>
    </row>
    <row r="37" spans="1:117" s="45" customFormat="1" ht="7.5" customHeight="1">
      <c r="A37" s="48"/>
      <c r="B37" s="1138" t="s">
        <v>795</v>
      </c>
      <c r="C37" s="1139"/>
      <c r="D37" s="1139"/>
      <c r="E37" s="1139"/>
      <c r="F37" s="1140"/>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3162" t="s">
        <v>72</v>
      </c>
      <c r="AC37" s="3162"/>
      <c r="AD37" s="3162"/>
      <c r="AE37" s="3162"/>
      <c r="AF37" s="3163"/>
      <c r="AG37" s="3164"/>
      <c r="AH37" s="3145"/>
      <c r="AI37" s="3145"/>
      <c r="AJ37" s="3145"/>
      <c r="AK37" s="3145"/>
      <c r="AL37" s="3145"/>
      <c r="AM37" s="3145"/>
      <c r="AN37" s="3145"/>
      <c r="AO37" s="3145"/>
      <c r="AP37" s="3145"/>
      <c r="AQ37" s="3145"/>
      <c r="AR37" s="3145"/>
      <c r="AS37" s="3145"/>
      <c r="AT37" s="3144"/>
      <c r="AU37" s="3145"/>
      <c r="AV37" s="3145"/>
      <c r="AW37" s="3145"/>
      <c r="AX37" s="3145"/>
      <c r="AY37" s="3145"/>
      <c r="AZ37" s="3145"/>
      <c r="BA37" s="3145"/>
      <c r="BB37" s="3145"/>
      <c r="BC37" s="3145"/>
      <c r="BD37" s="3145"/>
      <c r="BE37" s="3145"/>
      <c r="BF37" s="3146"/>
      <c r="BG37" s="48"/>
      <c r="BH37" s="48"/>
      <c r="BI37" s="855"/>
      <c r="BJ37" s="856"/>
      <c r="BK37" s="547"/>
      <c r="BL37" s="547"/>
      <c r="BM37" s="548"/>
      <c r="BN37" s="969" t="s">
        <v>73</v>
      </c>
      <c r="BO37" s="970"/>
      <c r="BP37" s="970"/>
      <c r="BQ37" s="970"/>
      <c r="BR37" s="970"/>
      <c r="BS37" s="971"/>
      <c r="BT37" s="793"/>
      <c r="BU37" s="794"/>
      <c r="BV37" s="794"/>
      <c r="BW37" s="794"/>
      <c r="BX37" s="794"/>
      <c r="BY37" s="794"/>
      <c r="BZ37" s="794"/>
      <c r="CA37" s="794"/>
      <c r="CB37" s="794"/>
      <c r="CC37" s="794"/>
      <c r="CD37" s="795"/>
      <c r="CE37" s="969" t="s">
        <v>11</v>
      </c>
      <c r="CF37" s="970"/>
      <c r="CG37" s="970"/>
      <c r="CH37" s="970"/>
      <c r="CI37" s="970"/>
      <c r="CJ37" s="971"/>
      <c r="CK37" s="793"/>
      <c r="CL37" s="794"/>
      <c r="CM37" s="794"/>
      <c r="CN37" s="794"/>
      <c r="CO37" s="794"/>
      <c r="CP37" s="794"/>
      <c r="CQ37" s="794"/>
      <c r="CR37" s="794"/>
      <c r="CS37" s="794"/>
      <c r="CT37" s="794"/>
      <c r="CU37" s="795"/>
      <c r="CV37" s="969" t="s">
        <v>74</v>
      </c>
      <c r="CW37" s="970"/>
      <c r="CX37" s="970"/>
      <c r="CY37" s="970"/>
      <c r="CZ37" s="970"/>
      <c r="DA37" s="971"/>
      <c r="DB37" s="793"/>
      <c r="DC37" s="794"/>
      <c r="DD37" s="794"/>
      <c r="DE37" s="794"/>
      <c r="DF37" s="794"/>
      <c r="DG37" s="794"/>
      <c r="DH37" s="794"/>
      <c r="DI37" s="794"/>
      <c r="DJ37" s="794"/>
      <c r="DK37" s="805"/>
      <c r="DL37" s="44"/>
      <c r="DM37" s="44"/>
    </row>
    <row r="38" spans="1:117" s="45" customFormat="1" ht="7.5" customHeight="1">
      <c r="A38" s="48"/>
      <c r="B38" s="1141"/>
      <c r="C38" s="1142"/>
      <c r="D38" s="1142"/>
      <c r="E38" s="1142"/>
      <c r="F38" s="1143"/>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3147" t="s">
        <v>797</v>
      </c>
      <c r="AC38" s="3148"/>
      <c r="AD38" s="3148"/>
      <c r="AE38" s="3148"/>
      <c r="AF38" s="3149"/>
      <c r="AG38" s="1024"/>
      <c r="AH38" s="1025"/>
      <c r="AI38" s="1025"/>
      <c r="AJ38" s="1025"/>
      <c r="AK38" s="1025"/>
      <c r="AL38" s="1025"/>
      <c r="AM38" s="1025"/>
      <c r="AN38" s="1025"/>
      <c r="AO38" s="1025"/>
      <c r="AP38" s="1025"/>
      <c r="AQ38" s="1025"/>
      <c r="AR38" s="1025"/>
      <c r="AS38" s="1025"/>
      <c r="AT38" s="1056"/>
      <c r="AU38" s="1057"/>
      <c r="AV38" s="1057"/>
      <c r="AW38" s="1057"/>
      <c r="AX38" s="1057"/>
      <c r="AY38" s="1057"/>
      <c r="AZ38" s="1057"/>
      <c r="BA38" s="1057"/>
      <c r="BB38" s="1057"/>
      <c r="BC38" s="1057"/>
      <c r="BD38" s="1057"/>
      <c r="BE38" s="1057"/>
      <c r="BF38" s="1058"/>
      <c r="BG38" s="48"/>
      <c r="BH38" s="48"/>
      <c r="BI38" s="957" t="s">
        <v>75</v>
      </c>
      <c r="BJ38" s="958"/>
      <c r="BK38" s="958"/>
      <c r="BL38" s="958"/>
      <c r="BM38" s="959"/>
      <c r="BN38" s="972"/>
      <c r="BO38" s="973"/>
      <c r="BP38" s="973"/>
      <c r="BQ38" s="973"/>
      <c r="BR38" s="973"/>
      <c r="BS38" s="974"/>
      <c r="BT38" s="796"/>
      <c r="BU38" s="797"/>
      <c r="BV38" s="797"/>
      <c r="BW38" s="797"/>
      <c r="BX38" s="797"/>
      <c r="BY38" s="797"/>
      <c r="BZ38" s="797"/>
      <c r="CA38" s="797"/>
      <c r="CB38" s="797"/>
      <c r="CC38" s="797"/>
      <c r="CD38" s="798"/>
      <c r="CE38" s="972"/>
      <c r="CF38" s="973"/>
      <c r="CG38" s="973"/>
      <c r="CH38" s="973"/>
      <c r="CI38" s="973"/>
      <c r="CJ38" s="974"/>
      <c r="CK38" s="796"/>
      <c r="CL38" s="797"/>
      <c r="CM38" s="797"/>
      <c r="CN38" s="797"/>
      <c r="CO38" s="797"/>
      <c r="CP38" s="797"/>
      <c r="CQ38" s="797"/>
      <c r="CR38" s="797"/>
      <c r="CS38" s="797"/>
      <c r="CT38" s="797"/>
      <c r="CU38" s="798"/>
      <c r="CV38" s="972"/>
      <c r="CW38" s="973"/>
      <c r="CX38" s="973"/>
      <c r="CY38" s="973"/>
      <c r="CZ38" s="973"/>
      <c r="DA38" s="974"/>
      <c r="DB38" s="796"/>
      <c r="DC38" s="797"/>
      <c r="DD38" s="797"/>
      <c r="DE38" s="797"/>
      <c r="DF38" s="797"/>
      <c r="DG38" s="797"/>
      <c r="DH38" s="797"/>
      <c r="DI38" s="797"/>
      <c r="DJ38" s="797"/>
      <c r="DK38" s="806"/>
      <c r="DL38" s="44"/>
      <c r="DM38" s="44"/>
    </row>
    <row r="39" spans="1:117" s="45" customFormat="1" ht="7.5" customHeight="1">
      <c r="A39" s="48"/>
      <c r="B39" s="1144"/>
      <c r="C39" s="1145"/>
      <c r="D39" s="1145"/>
      <c r="E39" s="1145"/>
      <c r="F39" s="1146"/>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3150"/>
      <c r="AC39" s="1145"/>
      <c r="AD39" s="1145"/>
      <c r="AE39" s="1145"/>
      <c r="AF39" s="1146"/>
      <c r="AG39" s="1027"/>
      <c r="AH39" s="1028"/>
      <c r="AI39" s="1028"/>
      <c r="AJ39" s="1028"/>
      <c r="AK39" s="1028"/>
      <c r="AL39" s="1028"/>
      <c r="AM39" s="1028"/>
      <c r="AN39" s="1028"/>
      <c r="AO39" s="1028"/>
      <c r="AP39" s="1028"/>
      <c r="AQ39" s="1028"/>
      <c r="AR39" s="1028"/>
      <c r="AS39" s="1028"/>
      <c r="AT39" s="1059"/>
      <c r="AU39" s="1028"/>
      <c r="AV39" s="1028"/>
      <c r="AW39" s="1028"/>
      <c r="AX39" s="1028"/>
      <c r="AY39" s="1028"/>
      <c r="AZ39" s="1028"/>
      <c r="BA39" s="1028"/>
      <c r="BB39" s="1028"/>
      <c r="BC39" s="1028"/>
      <c r="BD39" s="1028"/>
      <c r="BE39" s="1028"/>
      <c r="BF39" s="1060"/>
      <c r="BG39" s="48"/>
      <c r="BH39" s="48"/>
      <c r="BI39" s="957"/>
      <c r="BJ39" s="958"/>
      <c r="BK39" s="958"/>
      <c r="BL39" s="958"/>
      <c r="BM39" s="959"/>
      <c r="BN39" s="969" t="s">
        <v>76</v>
      </c>
      <c r="BO39" s="970"/>
      <c r="BP39" s="970"/>
      <c r="BQ39" s="970"/>
      <c r="BR39" s="970"/>
      <c r="BS39" s="971"/>
      <c r="BT39" s="793"/>
      <c r="BU39" s="794"/>
      <c r="BV39" s="794"/>
      <c r="BW39" s="794"/>
      <c r="BX39" s="794"/>
      <c r="BY39" s="794"/>
      <c r="BZ39" s="794"/>
      <c r="CA39" s="794"/>
      <c r="CB39" s="794"/>
      <c r="CC39" s="794"/>
      <c r="CD39" s="794"/>
      <c r="CE39" s="794"/>
      <c r="CF39" s="794"/>
      <c r="CG39" s="794"/>
      <c r="CH39" s="794"/>
      <c r="CI39" s="794"/>
      <c r="CJ39" s="794"/>
      <c r="CK39" s="794"/>
      <c r="CL39" s="794"/>
      <c r="CM39" s="795"/>
      <c r="CN39" s="969" t="s">
        <v>77</v>
      </c>
      <c r="CO39" s="970"/>
      <c r="CP39" s="970"/>
      <c r="CQ39" s="970"/>
      <c r="CR39" s="970"/>
      <c r="CS39" s="971"/>
      <c r="CT39" s="928"/>
      <c r="CU39" s="929"/>
      <c r="CV39" s="929"/>
      <c r="CW39" s="929"/>
      <c r="CX39" s="929"/>
      <c r="CY39" s="929"/>
      <c r="CZ39" s="929"/>
      <c r="DA39" s="929"/>
      <c r="DB39" s="929"/>
      <c r="DC39" s="929"/>
      <c r="DD39" s="929"/>
      <c r="DE39" s="929"/>
      <c r="DF39" s="929"/>
      <c r="DG39" s="929"/>
      <c r="DH39" s="929"/>
      <c r="DI39" s="929"/>
      <c r="DJ39" s="929"/>
      <c r="DK39" s="930"/>
      <c r="DL39" s="44"/>
      <c r="DM39" s="44"/>
    </row>
    <row r="40" spans="1:117" s="45" customFormat="1" ht="7.5" customHeight="1">
      <c r="A40" s="48"/>
      <c r="B40" s="1138" t="s">
        <v>570</v>
      </c>
      <c r="C40" s="1139"/>
      <c r="D40" s="1139"/>
      <c r="E40" s="1139"/>
      <c r="F40" s="1140"/>
      <c r="G40" s="1037"/>
      <c r="H40" s="1038"/>
      <c r="I40" s="1038"/>
      <c r="J40" s="1038"/>
      <c r="K40" s="1038"/>
      <c r="L40" s="1038"/>
      <c r="M40" s="1038"/>
      <c r="N40" s="1038"/>
      <c r="O40" s="1038"/>
      <c r="P40" s="1038"/>
      <c r="Q40" s="1038"/>
      <c r="R40" s="1038"/>
      <c r="S40" s="1038"/>
      <c r="T40" s="1038"/>
      <c r="U40" s="1038"/>
      <c r="V40" s="1038"/>
      <c r="W40" s="1038"/>
      <c r="X40" s="1038"/>
      <c r="Y40" s="1038"/>
      <c r="Z40" s="1038"/>
      <c r="AA40" s="1039"/>
      <c r="AB40" s="3127" t="s">
        <v>569</v>
      </c>
      <c r="AC40" s="1139"/>
      <c r="AD40" s="1139"/>
      <c r="AE40" s="1139"/>
      <c r="AF40" s="1140"/>
      <c r="AG40" s="1044"/>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5"/>
      <c r="BC40" s="1045"/>
      <c r="BD40" s="1045"/>
      <c r="BE40" s="1045"/>
      <c r="BF40" s="1046"/>
      <c r="BG40" s="48"/>
      <c r="BH40" s="48"/>
      <c r="BI40" s="549"/>
      <c r="BJ40" s="550"/>
      <c r="BK40" s="550"/>
      <c r="BL40" s="550"/>
      <c r="BM40" s="551"/>
      <c r="BN40" s="972"/>
      <c r="BO40" s="973"/>
      <c r="BP40" s="973"/>
      <c r="BQ40" s="973"/>
      <c r="BR40" s="973"/>
      <c r="BS40" s="974"/>
      <c r="BT40" s="796"/>
      <c r="BU40" s="797"/>
      <c r="BV40" s="797"/>
      <c r="BW40" s="797"/>
      <c r="BX40" s="797"/>
      <c r="BY40" s="797"/>
      <c r="BZ40" s="797"/>
      <c r="CA40" s="797"/>
      <c r="CB40" s="797"/>
      <c r="CC40" s="797"/>
      <c r="CD40" s="797"/>
      <c r="CE40" s="797"/>
      <c r="CF40" s="797"/>
      <c r="CG40" s="797"/>
      <c r="CH40" s="797"/>
      <c r="CI40" s="797"/>
      <c r="CJ40" s="797"/>
      <c r="CK40" s="797"/>
      <c r="CL40" s="797"/>
      <c r="CM40" s="798"/>
      <c r="CN40" s="972"/>
      <c r="CO40" s="973"/>
      <c r="CP40" s="973"/>
      <c r="CQ40" s="973"/>
      <c r="CR40" s="973"/>
      <c r="CS40" s="974"/>
      <c r="CT40" s="931"/>
      <c r="CU40" s="932"/>
      <c r="CV40" s="932"/>
      <c r="CW40" s="932"/>
      <c r="CX40" s="932"/>
      <c r="CY40" s="932"/>
      <c r="CZ40" s="932"/>
      <c r="DA40" s="932"/>
      <c r="DB40" s="932"/>
      <c r="DC40" s="932"/>
      <c r="DD40" s="932"/>
      <c r="DE40" s="932"/>
      <c r="DF40" s="932"/>
      <c r="DG40" s="932"/>
      <c r="DH40" s="932"/>
      <c r="DI40" s="932"/>
      <c r="DJ40" s="932"/>
      <c r="DK40" s="933"/>
      <c r="DL40" s="44"/>
      <c r="DM40" s="44"/>
    </row>
    <row r="41" spans="1:117" s="45" customFormat="1" ht="7.5" customHeight="1" thickBot="1">
      <c r="A41" s="48"/>
      <c r="B41" s="1147"/>
      <c r="C41" s="1148"/>
      <c r="D41" s="1148"/>
      <c r="E41" s="1148"/>
      <c r="F41" s="1149"/>
      <c r="G41" s="1040"/>
      <c r="H41" s="1041"/>
      <c r="I41" s="1041"/>
      <c r="J41" s="1041"/>
      <c r="K41" s="1041"/>
      <c r="L41" s="1041"/>
      <c r="M41" s="1041"/>
      <c r="N41" s="1041"/>
      <c r="O41" s="1041"/>
      <c r="P41" s="1041"/>
      <c r="Q41" s="1041"/>
      <c r="R41" s="1041"/>
      <c r="S41" s="1041"/>
      <c r="T41" s="1041"/>
      <c r="U41" s="1041"/>
      <c r="V41" s="1041"/>
      <c r="W41" s="1041"/>
      <c r="X41" s="1041"/>
      <c r="Y41" s="1041"/>
      <c r="Z41" s="1041"/>
      <c r="AA41" s="1042"/>
      <c r="AB41" s="3171"/>
      <c r="AC41" s="1148"/>
      <c r="AD41" s="1148"/>
      <c r="AE41" s="1148"/>
      <c r="AF41" s="1149"/>
      <c r="AG41" s="1047"/>
      <c r="AH41" s="1048"/>
      <c r="AI41" s="1048"/>
      <c r="AJ41" s="1048"/>
      <c r="AK41" s="1048"/>
      <c r="AL41" s="1048"/>
      <c r="AM41" s="1048"/>
      <c r="AN41" s="1048"/>
      <c r="AO41" s="1048"/>
      <c r="AP41" s="1048"/>
      <c r="AQ41" s="1048"/>
      <c r="AR41" s="1048"/>
      <c r="AS41" s="1048"/>
      <c r="AT41" s="1048"/>
      <c r="AU41" s="1048"/>
      <c r="AV41" s="1048"/>
      <c r="AW41" s="1048"/>
      <c r="AX41" s="1048"/>
      <c r="AY41" s="1048"/>
      <c r="AZ41" s="1048"/>
      <c r="BA41" s="1048"/>
      <c r="BB41" s="1048"/>
      <c r="BC41" s="1048"/>
      <c r="BD41" s="1048"/>
      <c r="BE41" s="1048"/>
      <c r="BF41" s="1049"/>
      <c r="BG41" s="48"/>
      <c r="BH41" s="48"/>
      <c r="BI41" s="960" t="s">
        <v>567</v>
      </c>
      <c r="BJ41" s="961"/>
      <c r="BK41" s="961"/>
      <c r="BL41" s="961"/>
      <c r="BM41" s="962"/>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1002" t="s">
        <v>266</v>
      </c>
      <c r="CL41" s="961"/>
      <c r="CM41" s="961"/>
      <c r="CN41" s="961"/>
      <c r="CO41" s="962"/>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c r="DM41" s="44"/>
    </row>
    <row r="42" spans="1:117" s="45" customFormat="1"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48"/>
      <c r="BH42" s="48"/>
      <c r="BI42" s="960"/>
      <c r="BJ42" s="961"/>
      <c r="BK42" s="961"/>
      <c r="BL42" s="961"/>
      <c r="BM42" s="962"/>
      <c r="BN42" s="950"/>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1002"/>
      <c r="CL42" s="961"/>
      <c r="CM42" s="961"/>
      <c r="CN42" s="961"/>
      <c r="CO42" s="962"/>
      <c r="CP42" s="954"/>
      <c r="CQ42" s="955"/>
      <c r="CR42" s="955"/>
      <c r="CS42" s="955"/>
      <c r="CT42" s="955"/>
      <c r="CU42" s="955"/>
      <c r="CV42" s="955"/>
      <c r="CW42" s="955"/>
      <c r="CX42" s="955"/>
      <c r="CY42" s="955"/>
      <c r="CZ42" s="955"/>
      <c r="DA42" s="955"/>
      <c r="DB42" s="955"/>
      <c r="DC42" s="955"/>
      <c r="DD42" s="955"/>
      <c r="DE42" s="955"/>
      <c r="DF42" s="955"/>
      <c r="DG42" s="955"/>
      <c r="DH42" s="955"/>
      <c r="DI42" s="955"/>
      <c r="DJ42" s="955"/>
      <c r="DK42" s="956"/>
      <c r="DL42" s="50"/>
      <c r="DM42" s="44"/>
    </row>
    <row r="43" spans="1:117" s="45" customFormat="1" ht="7.5" customHeigh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48"/>
      <c r="BH43" s="48"/>
      <c r="BI43" s="835" t="s">
        <v>570</v>
      </c>
      <c r="BJ43" s="836"/>
      <c r="BK43" s="836"/>
      <c r="BL43" s="836"/>
      <c r="BM43" s="837"/>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902" t="s">
        <v>569</v>
      </c>
      <c r="CL43" s="836"/>
      <c r="CM43" s="836"/>
      <c r="CN43" s="836"/>
      <c r="CO43" s="837"/>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c r="DM43" s="44"/>
    </row>
    <row r="44" spans="1:117" s="45" customFormat="1"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I44" s="986"/>
      <c r="BJ44" s="987"/>
      <c r="BK44" s="987"/>
      <c r="BL44" s="987"/>
      <c r="BM44" s="9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995"/>
      <c r="CL44" s="987"/>
      <c r="CM44" s="987"/>
      <c r="CN44" s="987"/>
      <c r="CO44" s="9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c r="DM44" s="44"/>
    </row>
    <row r="45" spans="1:117" s="45" customFormat="1" ht="7.5" customHeight="1" thickTop="1">
      <c r="A45" s="48"/>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c r="AS45" s="2298"/>
      <c r="AT45" s="2298"/>
      <c r="AU45" s="2298"/>
      <c r="AV45" s="2298"/>
      <c r="AW45" s="2298"/>
      <c r="AX45" s="2298"/>
      <c r="AY45" s="2298"/>
      <c r="AZ45" s="2298"/>
      <c r="BA45" s="2298"/>
      <c r="BB45" s="2298"/>
      <c r="BC45" s="2298"/>
      <c r="BD45" s="2298"/>
      <c r="BG45" s="48"/>
      <c r="BH45" s="48"/>
      <c r="DC45" s="334"/>
      <c r="DD45" s="334"/>
      <c r="DE45" s="334"/>
      <c r="DF45" s="334"/>
      <c r="DG45" s="334"/>
      <c r="DH45" s="334"/>
      <c r="DI45" s="334"/>
      <c r="DJ45" s="334"/>
      <c r="DK45" s="334"/>
      <c r="DL45" s="52"/>
      <c r="DM45" s="44"/>
    </row>
    <row r="46" spans="1:117" s="45" customFormat="1" ht="7.5" customHeight="1" thickBot="1">
      <c r="A46" s="48"/>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c r="AS46" s="2298"/>
      <c r="AT46" s="2298"/>
      <c r="AU46" s="2298"/>
      <c r="AV46" s="2298"/>
      <c r="AW46" s="2298"/>
      <c r="AX46" s="2298"/>
      <c r="AY46" s="2298"/>
      <c r="AZ46" s="2298"/>
      <c r="BA46" s="2298"/>
      <c r="BB46" s="2298"/>
      <c r="BC46" s="2298"/>
      <c r="BD46" s="2298"/>
      <c r="BG46" s="48"/>
      <c r="BH46" s="48"/>
      <c r="DC46" s="334"/>
      <c r="DD46" s="334"/>
      <c r="DE46" s="334"/>
      <c r="DF46" s="334"/>
      <c r="DG46" s="334"/>
      <c r="DH46" s="334"/>
      <c r="DI46" s="334"/>
      <c r="DJ46" s="334"/>
      <c r="DK46" s="334"/>
      <c r="DL46" s="52"/>
      <c r="DM46" s="44"/>
    </row>
    <row r="47" spans="1:117" s="45" customFormat="1" ht="7.5" customHeight="1" thickTop="1" thickBot="1">
      <c r="A47" s="48"/>
      <c r="B47" s="934" t="s">
        <v>793</v>
      </c>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1069"/>
      <c r="AM47" s="1070"/>
      <c r="AN47" s="1070"/>
      <c r="AO47" s="1070"/>
      <c r="AP47" s="1070"/>
      <c r="AQ47" s="1070"/>
      <c r="AR47" s="1070"/>
      <c r="AS47" s="1070"/>
      <c r="AT47" s="1070"/>
      <c r="AU47" s="1070"/>
      <c r="AV47" s="1070"/>
      <c r="AW47" s="1070"/>
      <c r="AX47" s="1070"/>
      <c r="AY47" s="1070"/>
      <c r="AZ47" s="1070"/>
      <c r="BA47" s="1070"/>
      <c r="BB47" s="1070"/>
      <c r="BC47" s="1070"/>
      <c r="BD47" s="1070"/>
      <c r="BE47" s="1070"/>
      <c r="BF47" s="1071"/>
      <c r="BG47" s="48"/>
      <c r="BH47" s="48"/>
      <c r="DC47" s="334"/>
      <c r="DD47" s="334"/>
      <c r="DE47" s="334"/>
      <c r="DF47" s="334"/>
      <c r="DG47" s="334"/>
      <c r="DH47" s="334"/>
      <c r="DI47" s="334"/>
      <c r="DJ47" s="334"/>
      <c r="DK47" s="334"/>
      <c r="DL47" s="44"/>
      <c r="DM47" s="44"/>
    </row>
    <row r="48" spans="1:117" s="45" customFormat="1" ht="7.5" customHeight="1" thickTop="1">
      <c r="A48" s="48"/>
      <c r="B48" s="937"/>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1072"/>
      <c r="AM48" s="1073"/>
      <c r="AN48" s="1073"/>
      <c r="AO48" s="1073"/>
      <c r="AP48" s="1073"/>
      <c r="AQ48" s="1073"/>
      <c r="AR48" s="1073"/>
      <c r="AS48" s="1073"/>
      <c r="AT48" s="1073"/>
      <c r="AU48" s="1073"/>
      <c r="AV48" s="1073"/>
      <c r="AW48" s="1073"/>
      <c r="AX48" s="1073"/>
      <c r="AY48" s="1073"/>
      <c r="AZ48" s="1073"/>
      <c r="BA48" s="1073"/>
      <c r="BB48" s="1073"/>
      <c r="BC48" s="1073"/>
      <c r="BD48" s="1073"/>
      <c r="BE48" s="1073"/>
      <c r="BF48" s="1074"/>
      <c r="BG48" s="48"/>
      <c r="BH48" s="48"/>
      <c r="BI48" s="1075" t="s">
        <v>572</v>
      </c>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7"/>
      <c r="DC48" s="1081" t="s">
        <v>263</v>
      </c>
      <c r="DD48" s="1082"/>
      <c r="DE48" s="1082"/>
      <c r="DF48" s="1082"/>
      <c r="DG48" s="1082"/>
      <c r="DH48" s="1082"/>
      <c r="DI48" s="1082"/>
      <c r="DJ48" s="1082"/>
      <c r="DK48" s="1083"/>
      <c r="DL48" s="44"/>
      <c r="DM48" s="44"/>
    </row>
    <row r="49" spans="1:157" s="45" customFormat="1" ht="7.5" customHeight="1">
      <c r="A49" s="48"/>
      <c r="B49" s="1090" t="s">
        <v>72</v>
      </c>
      <c r="C49" s="1091"/>
      <c r="D49" s="1091"/>
      <c r="E49" s="1091"/>
      <c r="F49" s="1092"/>
      <c r="G49" s="3139"/>
      <c r="H49" s="3140"/>
      <c r="I49" s="3140"/>
      <c r="J49" s="3140"/>
      <c r="K49" s="3140"/>
      <c r="L49" s="3140"/>
      <c r="M49" s="3140"/>
      <c r="N49" s="3140"/>
      <c r="O49" s="3140"/>
      <c r="P49" s="3140"/>
      <c r="Q49" s="3140"/>
      <c r="R49" s="3140"/>
      <c r="S49" s="3140"/>
      <c r="T49" s="3140"/>
      <c r="U49" s="3140"/>
      <c r="V49" s="3140"/>
      <c r="W49" s="3140"/>
      <c r="X49" s="3140"/>
      <c r="Y49" s="3140"/>
      <c r="Z49" s="3140"/>
      <c r="AA49" s="3140"/>
      <c r="AB49" s="3140"/>
      <c r="AC49" s="3140"/>
      <c r="AD49" s="3140"/>
      <c r="AE49" s="3140"/>
      <c r="AF49" s="3140"/>
      <c r="AG49" s="3140"/>
      <c r="AH49" s="3140"/>
      <c r="AI49" s="3140"/>
      <c r="AJ49" s="3140"/>
      <c r="AK49" s="3140"/>
      <c r="AL49" s="3140"/>
      <c r="AM49" s="3140"/>
      <c r="AN49" s="3140"/>
      <c r="AO49" s="3140"/>
      <c r="AP49" s="3140"/>
      <c r="AQ49" s="3140"/>
      <c r="AR49" s="3140"/>
      <c r="AS49" s="3140"/>
      <c r="AT49" s="3140"/>
      <c r="AU49" s="3140"/>
      <c r="AV49" s="3140"/>
      <c r="AW49" s="3140"/>
      <c r="AX49" s="3140"/>
      <c r="AY49" s="3140"/>
      <c r="AZ49" s="3140"/>
      <c r="BA49" s="3140"/>
      <c r="BB49" s="3140"/>
      <c r="BC49" s="3140"/>
      <c r="BD49" s="3140"/>
      <c r="BE49" s="3140"/>
      <c r="BF49" s="3141"/>
      <c r="BG49" s="48"/>
      <c r="BH49" s="48"/>
      <c r="BI49" s="1078"/>
      <c r="BJ49" s="1079"/>
      <c r="BK49" s="1079"/>
      <c r="BL49" s="1079"/>
      <c r="BM49" s="1079"/>
      <c r="BN49" s="1079"/>
      <c r="BO49" s="1079"/>
      <c r="BP49" s="1079"/>
      <c r="BQ49" s="1079"/>
      <c r="BR49" s="1079"/>
      <c r="BS49" s="1079"/>
      <c r="BT49" s="1079"/>
      <c r="BU49" s="1079"/>
      <c r="BV49" s="1079"/>
      <c r="BW49" s="1079"/>
      <c r="BX49" s="1079"/>
      <c r="BY49" s="1079"/>
      <c r="BZ49" s="1079"/>
      <c r="CA49" s="1079"/>
      <c r="CB49" s="1079"/>
      <c r="CC49" s="1079"/>
      <c r="CD49" s="1079"/>
      <c r="CE49" s="1079"/>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80"/>
      <c r="DC49" s="1084"/>
      <c r="DD49" s="1085"/>
      <c r="DE49" s="1085"/>
      <c r="DF49" s="1085"/>
      <c r="DG49" s="1085"/>
      <c r="DH49" s="1085"/>
      <c r="DI49" s="1085"/>
      <c r="DJ49" s="1085"/>
      <c r="DK49" s="1086"/>
      <c r="DL49" s="44"/>
      <c r="DM49" s="44"/>
    </row>
    <row r="50" spans="1:157" s="45" customFormat="1" ht="7.5" customHeight="1">
      <c r="A50" s="48"/>
      <c r="B50" s="1093" t="s">
        <v>794</v>
      </c>
      <c r="C50" s="1094"/>
      <c r="D50" s="1094"/>
      <c r="E50" s="1094"/>
      <c r="F50" s="1095"/>
      <c r="G50" s="1099" t="s">
        <v>1605</v>
      </c>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3160" t="s">
        <v>1260</v>
      </c>
      <c r="AP50" s="1103"/>
      <c r="AQ50" s="1103"/>
      <c r="AR50" s="1103"/>
      <c r="AS50" s="1103"/>
      <c r="AT50" s="1103"/>
      <c r="AU50" s="1103"/>
      <c r="AV50" s="1103"/>
      <c r="AW50" s="1103"/>
      <c r="AX50" s="1103"/>
      <c r="AY50" s="1103"/>
      <c r="AZ50" s="1104"/>
      <c r="BA50" s="1107"/>
      <c r="BB50" s="1107"/>
      <c r="BC50" s="1107"/>
      <c r="BD50" s="1107"/>
      <c r="BE50" s="1107"/>
      <c r="BF50" s="1108"/>
      <c r="BG50" s="48"/>
      <c r="BH50" s="48"/>
      <c r="BI50" s="1111"/>
      <c r="BJ50" s="1112"/>
      <c r="BK50" s="1112"/>
      <c r="BL50" s="1112"/>
      <c r="BM50" s="1112"/>
      <c r="BN50" s="1112"/>
      <c r="BO50" s="1112"/>
      <c r="BP50" s="1112"/>
      <c r="BQ50" s="1112"/>
      <c r="BR50" s="1112"/>
      <c r="BS50" s="1112"/>
      <c r="BT50" s="1112"/>
      <c r="BU50" s="1112"/>
      <c r="BV50" s="1112"/>
      <c r="BW50" s="1112"/>
      <c r="BX50" s="1112"/>
      <c r="BY50" s="1112"/>
      <c r="BZ50" s="1112"/>
      <c r="CA50" s="1112"/>
      <c r="CB50" s="1112"/>
      <c r="CC50" s="1112"/>
      <c r="CD50" s="1112"/>
      <c r="CE50" s="1112"/>
      <c r="CF50" s="1112"/>
      <c r="CG50" s="1112"/>
      <c r="CH50" s="1112"/>
      <c r="CI50" s="1112"/>
      <c r="CJ50" s="1112"/>
      <c r="CK50" s="1112"/>
      <c r="CL50" s="1112"/>
      <c r="CM50" s="1112"/>
      <c r="CN50" s="1112"/>
      <c r="CO50" s="1112"/>
      <c r="CP50" s="1112"/>
      <c r="CQ50" s="1112"/>
      <c r="CR50" s="1112"/>
      <c r="CS50" s="1112"/>
      <c r="CT50" s="1112"/>
      <c r="CU50" s="1112"/>
      <c r="CV50" s="1112"/>
      <c r="CW50" s="1112"/>
      <c r="CX50" s="1112"/>
      <c r="CY50" s="1112"/>
      <c r="CZ50" s="1112"/>
      <c r="DA50" s="1112"/>
      <c r="DB50" s="1115"/>
      <c r="DC50" s="1084"/>
      <c r="DD50" s="1085"/>
      <c r="DE50" s="1085"/>
      <c r="DF50" s="1085"/>
      <c r="DG50" s="1085"/>
      <c r="DH50" s="1085"/>
      <c r="DI50" s="1085"/>
      <c r="DJ50" s="1085"/>
      <c r="DK50" s="1086"/>
      <c r="DL50" s="44"/>
      <c r="DM50" s="48"/>
      <c r="DN50" s="49"/>
      <c r="DO50" s="49"/>
      <c r="DP50" s="274"/>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row>
    <row r="51" spans="1:157" s="45" customFormat="1" ht="7.5" customHeight="1" thickBot="1">
      <c r="A51" s="48"/>
      <c r="B51" s="1096"/>
      <c r="C51" s="1097"/>
      <c r="D51" s="1097"/>
      <c r="E51" s="1097"/>
      <c r="F51" s="1098"/>
      <c r="G51" s="1101"/>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3161"/>
      <c r="AP51" s="1105"/>
      <c r="AQ51" s="1105"/>
      <c r="AR51" s="1105"/>
      <c r="AS51" s="1105"/>
      <c r="AT51" s="1105"/>
      <c r="AU51" s="1105"/>
      <c r="AV51" s="1105"/>
      <c r="AW51" s="1105"/>
      <c r="AX51" s="1105"/>
      <c r="AY51" s="1105"/>
      <c r="AZ51" s="1106"/>
      <c r="BA51" s="1109"/>
      <c r="BB51" s="1109"/>
      <c r="BC51" s="1109"/>
      <c r="BD51" s="1109"/>
      <c r="BE51" s="1109"/>
      <c r="BF51" s="1110"/>
      <c r="BG51" s="48"/>
      <c r="BH51" s="48"/>
      <c r="BI51" s="1113"/>
      <c r="BJ51" s="1114"/>
      <c r="BK51" s="1114"/>
      <c r="BL51" s="1114"/>
      <c r="BM51" s="1114"/>
      <c r="BN51" s="1114"/>
      <c r="BO51" s="1114"/>
      <c r="BP51" s="1114"/>
      <c r="BQ51" s="1114"/>
      <c r="BR51" s="1114"/>
      <c r="BS51" s="1114"/>
      <c r="BT51" s="1114"/>
      <c r="BU51" s="1114"/>
      <c r="BV51" s="1114"/>
      <c r="BW51" s="1114"/>
      <c r="BX51" s="1114"/>
      <c r="BY51" s="1114"/>
      <c r="BZ51" s="1114"/>
      <c r="CA51" s="1114"/>
      <c r="CB51" s="1114"/>
      <c r="CC51" s="1114"/>
      <c r="CD51" s="1114"/>
      <c r="CE51" s="1114"/>
      <c r="CF51" s="1114"/>
      <c r="CG51" s="1114"/>
      <c r="CH51" s="1114"/>
      <c r="CI51" s="1114"/>
      <c r="CJ51" s="1114"/>
      <c r="CK51" s="1114"/>
      <c r="CL51" s="1114"/>
      <c r="CM51" s="1114"/>
      <c r="CN51" s="1114"/>
      <c r="CO51" s="1114"/>
      <c r="CP51" s="1114"/>
      <c r="CQ51" s="1114"/>
      <c r="CR51" s="1114"/>
      <c r="CS51" s="1114"/>
      <c r="CT51" s="1114"/>
      <c r="CU51" s="1114"/>
      <c r="CV51" s="1114"/>
      <c r="CW51" s="1114"/>
      <c r="CX51" s="1114"/>
      <c r="CY51" s="1114"/>
      <c r="CZ51" s="1114"/>
      <c r="DA51" s="1114"/>
      <c r="DB51" s="1116"/>
      <c r="DC51" s="1087"/>
      <c r="DD51" s="1088"/>
      <c r="DE51" s="1088"/>
      <c r="DF51" s="1088"/>
      <c r="DG51" s="1088"/>
      <c r="DH51" s="1088"/>
      <c r="DI51" s="1088"/>
      <c r="DJ51" s="1088"/>
      <c r="DK51" s="1089"/>
      <c r="DL51" s="44"/>
      <c r="DM51" s="48"/>
      <c r="DN51" s="49"/>
      <c r="DO51" s="49"/>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row>
    <row r="52" spans="1:157" s="45" customFormat="1" ht="7.5" customHeight="1">
      <c r="A52" s="48"/>
      <c r="B52" s="1117" t="s">
        <v>75</v>
      </c>
      <c r="C52" s="1118"/>
      <c r="D52" s="1118"/>
      <c r="E52" s="1118"/>
      <c r="F52" s="1119"/>
      <c r="G52" s="3127" t="s">
        <v>73</v>
      </c>
      <c r="H52" s="3128"/>
      <c r="I52" s="3128"/>
      <c r="J52" s="3128"/>
      <c r="K52" s="3128"/>
      <c r="L52" s="3129"/>
      <c r="M52" s="793" t="s">
        <v>1607</v>
      </c>
      <c r="N52" s="794"/>
      <c r="O52" s="794"/>
      <c r="P52" s="794"/>
      <c r="Q52" s="794"/>
      <c r="R52" s="794"/>
      <c r="S52" s="794"/>
      <c r="T52" s="794"/>
      <c r="U52" s="794"/>
      <c r="V52" s="794"/>
      <c r="W52" s="795"/>
      <c r="X52" s="3127" t="s">
        <v>11</v>
      </c>
      <c r="Y52" s="3128"/>
      <c r="Z52" s="3128"/>
      <c r="AA52" s="3128"/>
      <c r="AB52" s="3128"/>
      <c r="AC52" s="3129"/>
      <c r="AD52" s="793" t="s">
        <v>313</v>
      </c>
      <c r="AE52" s="794"/>
      <c r="AF52" s="794"/>
      <c r="AG52" s="794"/>
      <c r="AH52" s="794"/>
      <c r="AI52" s="794"/>
      <c r="AJ52" s="794"/>
      <c r="AK52" s="794"/>
      <c r="AL52" s="794"/>
      <c r="AM52" s="794"/>
      <c r="AN52" s="795"/>
      <c r="AO52" s="3127" t="s">
        <v>74</v>
      </c>
      <c r="AP52" s="3128"/>
      <c r="AQ52" s="3128"/>
      <c r="AR52" s="3128"/>
      <c r="AS52" s="3128"/>
      <c r="AT52" s="3129"/>
      <c r="AU52" s="793" t="s">
        <v>1609</v>
      </c>
      <c r="AV52" s="794"/>
      <c r="AW52" s="794"/>
      <c r="AX52" s="794"/>
      <c r="AY52" s="794"/>
      <c r="AZ52" s="794"/>
      <c r="BA52" s="794"/>
      <c r="BB52" s="794"/>
      <c r="BC52" s="794"/>
      <c r="BD52" s="794"/>
      <c r="BE52" s="794"/>
      <c r="BF52" s="805"/>
      <c r="BG52" s="48"/>
      <c r="BH52" s="48"/>
      <c r="BI52" s="1126" t="s">
        <v>664</v>
      </c>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c r="CK52" s="1127"/>
      <c r="CL52" s="1127"/>
      <c r="CM52" s="1127"/>
      <c r="CN52" s="1127"/>
      <c r="CO52" s="1127"/>
      <c r="CP52" s="1127"/>
      <c r="CQ52" s="1127"/>
      <c r="CR52" s="1127"/>
      <c r="CS52" s="1127"/>
      <c r="CT52" s="1127"/>
      <c r="CU52" s="1127"/>
      <c r="CV52" s="1127"/>
      <c r="CW52" s="1127"/>
      <c r="CX52" s="1127"/>
      <c r="CY52" s="1127"/>
      <c r="CZ52" s="1127"/>
      <c r="DA52" s="1127"/>
      <c r="DB52" s="1128"/>
      <c r="DC52" s="1132"/>
      <c r="DD52" s="1133"/>
      <c r="DE52" s="1133"/>
      <c r="DF52" s="1133"/>
      <c r="DG52" s="1133"/>
      <c r="DH52" s="1133"/>
      <c r="DI52" s="1133"/>
      <c r="DJ52" s="1133"/>
      <c r="DK52" s="1134"/>
      <c r="DL52" s="50"/>
      <c r="DM52" s="48"/>
      <c r="DN52" s="49"/>
      <c r="DO52" s="49"/>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row>
    <row r="53" spans="1:157" s="45" customFormat="1" ht="7.5" customHeight="1">
      <c r="A53" s="48"/>
      <c r="B53" s="1120"/>
      <c r="C53" s="1121"/>
      <c r="D53" s="1121"/>
      <c r="E53" s="1121"/>
      <c r="F53" s="1122"/>
      <c r="G53" s="3130"/>
      <c r="H53" s="3131"/>
      <c r="I53" s="3131"/>
      <c r="J53" s="3131"/>
      <c r="K53" s="3131"/>
      <c r="L53" s="3132"/>
      <c r="M53" s="796"/>
      <c r="N53" s="797"/>
      <c r="O53" s="797"/>
      <c r="P53" s="797"/>
      <c r="Q53" s="797"/>
      <c r="R53" s="797"/>
      <c r="S53" s="797"/>
      <c r="T53" s="797"/>
      <c r="U53" s="797"/>
      <c r="V53" s="797"/>
      <c r="W53" s="798"/>
      <c r="X53" s="3130"/>
      <c r="Y53" s="3131"/>
      <c r="Z53" s="3131"/>
      <c r="AA53" s="3131"/>
      <c r="AB53" s="3131"/>
      <c r="AC53" s="3132"/>
      <c r="AD53" s="796"/>
      <c r="AE53" s="797"/>
      <c r="AF53" s="797"/>
      <c r="AG53" s="797"/>
      <c r="AH53" s="797"/>
      <c r="AI53" s="797"/>
      <c r="AJ53" s="797"/>
      <c r="AK53" s="797"/>
      <c r="AL53" s="797"/>
      <c r="AM53" s="797"/>
      <c r="AN53" s="798"/>
      <c r="AO53" s="3130"/>
      <c r="AP53" s="3131"/>
      <c r="AQ53" s="3131"/>
      <c r="AR53" s="3131"/>
      <c r="AS53" s="3131"/>
      <c r="AT53" s="3132"/>
      <c r="AU53" s="796"/>
      <c r="AV53" s="797"/>
      <c r="AW53" s="797"/>
      <c r="AX53" s="797"/>
      <c r="AY53" s="797"/>
      <c r="AZ53" s="797"/>
      <c r="BA53" s="797"/>
      <c r="BB53" s="797"/>
      <c r="BC53" s="797"/>
      <c r="BD53" s="797"/>
      <c r="BE53" s="797"/>
      <c r="BF53" s="806"/>
      <c r="BG53" s="48"/>
      <c r="BH53" s="48"/>
      <c r="BI53" s="1129"/>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1"/>
      <c r="DC53" s="1132"/>
      <c r="DD53" s="1133"/>
      <c r="DE53" s="1133"/>
      <c r="DF53" s="1133"/>
      <c r="DG53" s="1133"/>
      <c r="DH53" s="1133"/>
      <c r="DI53" s="1133"/>
      <c r="DJ53" s="1133"/>
      <c r="DK53" s="1134"/>
      <c r="DL53" s="50"/>
      <c r="DM53" s="44"/>
      <c r="DP53" s="273"/>
      <c r="DQ53" s="273"/>
      <c r="DR53" s="273"/>
      <c r="DS53" s="1183" t="s">
        <v>643</v>
      </c>
      <c r="DT53" s="1183"/>
      <c r="DU53" s="1183"/>
      <c r="DV53" s="1183"/>
      <c r="DW53" s="1183"/>
      <c r="DX53" s="1183"/>
      <c r="DY53" s="118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1183" t="s">
        <v>642</v>
      </c>
      <c r="EV53" s="1183"/>
      <c r="EW53" s="1183"/>
      <c r="EX53" s="1183"/>
      <c r="EY53" s="1183"/>
      <c r="EZ53" s="1183"/>
      <c r="FA53" s="1183"/>
    </row>
    <row r="54" spans="1:157" s="45" customFormat="1" ht="7.5" customHeight="1">
      <c r="A54" s="48"/>
      <c r="B54" s="1120"/>
      <c r="C54" s="1121"/>
      <c r="D54" s="1121"/>
      <c r="E54" s="1121"/>
      <c r="F54" s="1122"/>
      <c r="G54" s="3127" t="s">
        <v>76</v>
      </c>
      <c r="H54" s="3128"/>
      <c r="I54" s="3128"/>
      <c r="J54" s="3128"/>
      <c r="K54" s="3128"/>
      <c r="L54" s="3129"/>
      <c r="M54" s="793" t="s">
        <v>1611</v>
      </c>
      <c r="N54" s="794"/>
      <c r="O54" s="794"/>
      <c r="P54" s="794"/>
      <c r="Q54" s="794"/>
      <c r="R54" s="794"/>
      <c r="S54" s="794"/>
      <c r="T54" s="794"/>
      <c r="U54" s="794"/>
      <c r="V54" s="794"/>
      <c r="W54" s="794"/>
      <c r="X54" s="794"/>
      <c r="Y54" s="794"/>
      <c r="Z54" s="794"/>
      <c r="AA54" s="794"/>
      <c r="AB54" s="794"/>
      <c r="AC54" s="794"/>
      <c r="AD54" s="794"/>
      <c r="AE54" s="794"/>
      <c r="AF54" s="795"/>
      <c r="AG54" s="3127" t="s">
        <v>77</v>
      </c>
      <c r="AH54" s="3128"/>
      <c r="AI54" s="3128"/>
      <c r="AJ54" s="3128"/>
      <c r="AK54" s="3128"/>
      <c r="AL54" s="3129"/>
      <c r="AM54" s="928" t="s">
        <v>1613</v>
      </c>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1184"/>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1186"/>
      <c r="CG54" s="1187"/>
      <c r="CH54" s="1187"/>
      <c r="CI54" s="1187"/>
      <c r="CJ54" s="1187"/>
      <c r="CK54" s="1187"/>
      <c r="CL54" s="1187"/>
      <c r="CM54" s="1187"/>
      <c r="CN54" s="1187"/>
      <c r="CO54" s="1187"/>
      <c r="CP54" s="1187"/>
      <c r="CQ54" s="1187"/>
      <c r="CR54" s="1187"/>
      <c r="CS54" s="1187"/>
      <c r="CT54" s="1187"/>
      <c r="CU54" s="1187"/>
      <c r="CV54" s="1187"/>
      <c r="CW54" s="1187"/>
      <c r="CX54" s="1187"/>
      <c r="CY54" s="1187"/>
      <c r="CZ54" s="1187"/>
      <c r="DA54" s="1187"/>
      <c r="DB54" s="1188"/>
      <c r="DC54" s="1132"/>
      <c r="DD54" s="1133"/>
      <c r="DE54" s="1133"/>
      <c r="DF54" s="1133"/>
      <c r="DG54" s="1133"/>
      <c r="DH54" s="1133"/>
      <c r="DI54" s="1133"/>
      <c r="DJ54" s="1133"/>
      <c r="DK54" s="1134"/>
      <c r="DL54" s="52"/>
      <c r="DM54" s="44"/>
      <c r="DP54" s="273"/>
      <c r="DQ54" s="273"/>
      <c r="DR54" s="273"/>
      <c r="DS54" s="1183"/>
      <c r="DT54" s="1183"/>
      <c r="DU54" s="1183"/>
      <c r="DV54" s="1183"/>
      <c r="DW54" s="1183"/>
      <c r="DX54" s="1183"/>
      <c r="DY54" s="1183"/>
      <c r="DZ54" s="273"/>
      <c r="EA54" s="273"/>
      <c r="EB54" s="273"/>
      <c r="EC54" s="273"/>
      <c r="ED54" s="273"/>
      <c r="EE54" s="273"/>
      <c r="EF54" s="273"/>
      <c r="EG54" s="273"/>
      <c r="EH54" s="273"/>
      <c r="EI54" s="273"/>
      <c r="EJ54" s="273"/>
      <c r="EK54" s="273"/>
      <c r="EL54" s="273"/>
      <c r="EM54" s="273"/>
      <c r="EN54" s="273"/>
      <c r="EU54" s="1183"/>
      <c r="EV54" s="1183"/>
      <c r="EW54" s="1183"/>
      <c r="EX54" s="1183"/>
      <c r="EY54" s="1183"/>
      <c r="EZ54" s="1183"/>
      <c r="FA54" s="1183"/>
    </row>
    <row r="55" spans="1:157" s="45" customFormat="1" ht="7.5" customHeight="1">
      <c r="A55" s="48"/>
      <c r="B55" s="1123"/>
      <c r="C55" s="1124"/>
      <c r="D55" s="1124"/>
      <c r="E55" s="1124"/>
      <c r="F55" s="1125"/>
      <c r="G55" s="3130"/>
      <c r="H55" s="3131"/>
      <c r="I55" s="3131"/>
      <c r="J55" s="3131"/>
      <c r="K55" s="3131"/>
      <c r="L55" s="3132"/>
      <c r="M55" s="796"/>
      <c r="N55" s="797"/>
      <c r="O55" s="797"/>
      <c r="P55" s="797"/>
      <c r="Q55" s="797"/>
      <c r="R55" s="797"/>
      <c r="S55" s="797"/>
      <c r="T55" s="797"/>
      <c r="U55" s="797"/>
      <c r="V55" s="797"/>
      <c r="W55" s="797"/>
      <c r="X55" s="797"/>
      <c r="Y55" s="797"/>
      <c r="Z55" s="797"/>
      <c r="AA55" s="797"/>
      <c r="AB55" s="797"/>
      <c r="AC55" s="797"/>
      <c r="AD55" s="797"/>
      <c r="AE55" s="797"/>
      <c r="AF55" s="798"/>
      <c r="AG55" s="3130"/>
      <c r="AH55" s="3131"/>
      <c r="AI55" s="3131"/>
      <c r="AJ55" s="3131"/>
      <c r="AK55" s="3131"/>
      <c r="AL55" s="3132"/>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184"/>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1189"/>
      <c r="CG55" s="1190"/>
      <c r="CH55" s="1190"/>
      <c r="CI55" s="1190"/>
      <c r="CJ55" s="1190"/>
      <c r="CK55" s="1190"/>
      <c r="CL55" s="1190"/>
      <c r="CM55" s="1190"/>
      <c r="CN55" s="1190"/>
      <c r="CO55" s="1190"/>
      <c r="CP55" s="1190"/>
      <c r="CQ55" s="1190"/>
      <c r="CR55" s="1190"/>
      <c r="CS55" s="1190"/>
      <c r="CT55" s="1190"/>
      <c r="CU55" s="1190"/>
      <c r="CV55" s="1190"/>
      <c r="CW55" s="1190"/>
      <c r="CX55" s="1190"/>
      <c r="CY55" s="1190"/>
      <c r="CZ55" s="1190"/>
      <c r="DA55" s="1190"/>
      <c r="DB55" s="1191"/>
      <c r="DC55" s="1132"/>
      <c r="DD55" s="1133"/>
      <c r="DE55" s="1133"/>
      <c r="DF55" s="1133"/>
      <c r="DG55" s="1133"/>
      <c r="DH55" s="1133"/>
      <c r="DI55" s="1133"/>
      <c r="DJ55" s="1133"/>
      <c r="DK55" s="1134"/>
      <c r="DL55" s="52"/>
      <c r="DM55" s="44"/>
      <c r="DP55" s="273"/>
      <c r="DQ55" s="273"/>
      <c r="DR55" s="273"/>
      <c r="DZ55" s="273"/>
      <c r="EA55" s="273"/>
      <c r="EB55" s="273"/>
      <c r="EC55" s="273"/>
      <c r="ED55" s="273"/>
      <c r="EE55" s="273"/>
      <c r="EF55" s="273"/>
      <c r="EG55" s="273"/>
      <c r="EH55" s="273"/>
      <c r="EI55" s="273"/>
      <c r="EJ55" s="273"/>
      <c r="EK55" s="273"/>
      <c r="EL55" s="273"/>
      <c r="EM55" s="273"/>
      <c r="EN55" s="273"/>
    </row>
    <row r="56" spans="1:157" s="45" customFormat="1" ht="7.5" customHeight="1">
      <c r="A56" s="48"/>
      <c r="B56" s="1138" t="s">
        <v>795</v>
      </c>
      <c r="C56" s="1139"/>
      <c r="D56" s="1139"/>
      <c r="E56" s="1139"/>
      <c r="F56" s="1140"/>
      <c r="G56" s="1021" t="s">
        <v>1616</v>
      </c>
      <c r="H56" s="1022"/>
      <c r="I56" s="1022"/>
      <c r="J56" s="1022"/>
      <c r="K56" s="1022"/>
      <c r="L56" s="1022"/>
      <c r="M56" s="1022"/>
      <c r="N56" s="1022"/>
      <c r="O56" s="1022"/>
      <c r="P56" s="1022"/>
      <c r="Q56" s="1022"/>
      <c r="R56" s="1022"/>
      <c r="S56" s="1022"/>
      <c r="T56" s="1022"/>
      <c r="U56" s="1022"/>
      <c r="V56" s="1022"/>
      <c r="W56" s="1022"/>
      <c r="X56" s="1022"/>
      <c r="Y56" s="1022"/>
      <c r="Z56" s="1022"/>
      <c r="AA56" s="1023"/>
      <c r="AB56" s="3191" t="s">
        <v>72</v>
      </c>
      <c r="AC56" s="3162"/>
      <c r="AD56" s="3162"/>
      <c r="AE56" s="3162"/>
      <c r="AF56" s="3163"/>
      <c r="AG56" s="3164"/>
      <c r="AH56" s="3145"/>
      <c r="AI56" s="3145"/>
      <c r="AJ56" s="3145"/>
      <c r="AK56" s="3145"/>
      <c r="AL56" s="3145"/>
      <c r="AM56" s="3145"/>
      <c r="AN56" s="3145"/>
      <c r="AO56" s="3145"/>
      <c r="AP56" s="3145"/>
      <c r="AQ56" s="3145"/>
      <c r="AR56" s="3145"/>
      <c r="AS56" s="3192"/>
      <c r="AT56" s="3144"/>
      <c r="AU56" s="3145"/>
      <c r="AV56" s="3145"/>
      <c r="AW56" s="3145"/>
      <c r="AX56" s="3145"/>
      <c r="AY56" s="3145"/>
      <c r="AZ56" s="3145"/>
      <c r="BA56" s="3145"/>
      <c r="BB56" s="3145"/>
      <c r="BC56" s="3145"/>
      <c r="BD56" s="3145"/>
      <c r="BE56" s="3145"/>
      <c r="BF56" s="3146"/>
      <c r="BG56" s="48"/>
      <c r="BH56" s="48"/>
      <c r="BI56" s="2260"/>
      <c r="BJ56" s="2261"/>
      <c r="BK56" s="2261"/>
      <c r="BL56" s="2261"/>
      <c r="BM56" s="2261"/>
      <c r="BN56" s="2261"/>
      <c r="BO56" s="2261"/>
      <c r="BP56" s="2261"/>
      <c r="BQ56" s="2261"/>
      <c r="BR56" s="2261"/>
      <c r="BS56" s="2261"/>
      <c r="BT56" s="2261"/>
      <c r="BU56" s="2261"/>
      <c r="BV56" s="2261"/>
      <c r="BW56" s="2261"/>
      <c r="BX56" s="2261"/>
      <c r="BY56" s="2261"/>
      <c r="BZ56" s="2261"/>
      <c r="CA56" s="2261"/>
      <c r="CB56" s="2261"/>
      <c r="CC56" s="2261"/>
      <c r="CD56" s="2261"/>
      <c r="CE56" s="2261"/>
      <c r="CF56" s="1192"/>
      <c r="CG56" s="1192"/>
      <c r="CH56" s="1192"/>
      <c r="CI56" s="1192"/>
      <c r="CJ56" s="1192"/>
      <c r="CK56" s="1192"/>
      <c r="CL56" s="1192"/>
      <c r="CM56" s="1192"/>
      <c r="CN56" s="1192"/>
      <c r="CO56" s="1192"/>
      <c r="CP56" s="1192"/>
      <c r="CQ56" s="1192"/>
      <c r="CR56" s="1192"/>
      <c r="CS56" s="1192"/>
      <c r="CT56" s="1192"/>
      <c r="CU56" s="1192"/>
      <c r="CV56" s="1192"/>
      <c r="CW56" s="1192"/>
      <c r="CX56" s="1192"/>
      <c r="CY56" s="1192"/>
      <c r="CZ56" s="1192"/>
      <c r="DA56" s="1192"/>
      <c r="DB56" s="1193"/>
      <c r="DC56" s="1132"/>
      <c r="DD56" s="1133"/>
      <c r="DE56" s="1133"/>
      <c r="DF56" s="1133"/>
      <c r="DG56" s="1133"/>
      <c r="DH56" s="1133"/>
      <c r="DI56" s="1133"/>
      <c r="DJ56" s="1133"/>
      <c r="DK56" s="1134"/>
      <c r="DL56" s="52"/>
      <c r="DM56" s="44"/>
      <c r="DP56" s="273"/>
      <c r="DQ56" s="273"/>
      <c r="DR56" s="273"/>
      <c r="EB56" s="273"/>
      <c r="EC56" s="273"/>
      <c r="ED56" s="273"/>
      <c r="EE56" s="273"/>
      <c r="EF56" s="273"/>
      <c r="EG56" s="273"/>
      <c r="EH56" s="273"/>
      <c r="EI56" s="273"/>
      <c r="EJ56" s="273"/>
      <c r="EK56" s="273"/>
      <c r="EL56" s="273"/>
      <c r="EM56" s="273"/>
      <c r="EN56" s="273"/>
      <c r="EO56" s="273"/>
    </row>
    <row r="57" spans="1:157" s="45" customFormat="1" ht="7.5" customHeight="1">
      <c r="A57" s="48"/>
      <c r="B57" s="1141"/>
      <c r="C57" s="1142"/>
      <c r="D57" s="1142"/>
      <c r="E57" s="1142"/>
      <c r="F57" s="1143"/>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3147" t="s">
        <v>797</v>
      </c>
      <c r="AC57" s="3148"/>
      <c r="AD57" s="3148"/>
      <c r="AE57" s="3148"/>
      <c r="AF57" s="3149"/>
      <c r="AG57" s="1024" t="s">
        <v>1618</v>
      </c>
      <c r="AH57" s="1025"/>
      <c r="AI57" s="1025"/>
      <c r="AJ57" s="1025"/>
      <c r="AK57" s="1025"/>
      <c r="AL57" s="1025"/>
      <c r="AM57" s="1025"/>
      <c r="AN57" s="1025"/>
      <c r="AO57" s="1025"/>
      <c r="AP57" s="1025"/>
      <c r="AQ57" s="1025"/>
      <c r="AR57" s="1025"/>
      <c r="AS57" s="1025"/>
      <c r="AT57" s="1056"/>
      <c r="AU57" s="1057"/>
      <c r="AV57" s="1057"/>
      <c r="AW57" s="1057"/>
      <c r="AX57" s="1057"/>
      <c r="AY57" s="1057"/>
      <c r="AZ57" s="1057"/>
      <c r="BA57" s="1057"/>
      <c r="BB57" s="1057"/>
      <c r="BC57" s="1057"/>
      <c r="BD57" s="1057"/>
      <c r="BE57" s="1057"/>
      <c r="BF57" s="1058"/>
      <c r="BG57" s="48"/>
      <c r="BH57" s="48"/>
      <c r="BI57" s="2260"/>
      <c r="BJ57" s="2261"/>
      <c r="BK57" s="2261"/>
      <c r="BL57" s="2261"/>
      <c r="BM57" s="2261"/>
      <c r="BN57" s="2261"/>
      <c r="BO57" s="2261"/>
      <c r="BP57" s="2261"/>
      <c r="BQ57" s="2261"/>
      <c r="BR57" s="2261"/>
      <c r="BS57" s="2261"/>
      <c r="BT57" s="2261"/>
      <c r="BU57" s="2261"/>
      <c r="BV57" s="2261"/>
      <c r="BW57" s="2261"/>
      <c r="BX57" s="2261"/>
      <c r="BY57" s="2261"/>
      <c r="BZ57" s="2261"/>
      <c r="CA57" s="2261"/>
      <c r="CB57" s="2261"/>
      <c r="CC57" s="2261"/>
      <c r="CD57" s="2261"/>
      <c r="CE57" s="2261"/>
      <c r="CF57" s="1192"/>
      <c r="CG57" s="1192"/>
      <c r="CH57" s="1192"/>
      <c r="CI57" s="1192"/>
      <c r="CJ57" s="1192"/>
      <c r="CK57" s="1192"/>
      <c r="CL57" s="1192"/>
      <c r="CM57" s="1192"/>
      <c r="CN57" s="1192"/>
      <c r="CO57" s="1192"/>
      <c r="CP57" s="1192"/>
      <c r="CQ57" s="1192"/>
      <c r="CR57" s="1192"/>
      <c r="CS57" s="1192"/>
      <c r="CT57" s="1192"/>
      <c r="CU57" s="1192"/>
      <c r="CV57" s="1192"/>
      <c r="CW57" s="1192"/>
      <c r="CX57" s="1192"/>
      <c r="CY57" s="1192"/>
      <c r="CZ57" s="1192"/>
      <c r="DA57" s="1192"/>
      <c r="DB57" s="1193"/>
      <c r="DC57" s="1132"/>
      <c r="DD57" s="1133"/>
      <c r="DE57" s="1133"/>
      <c r="DF57" s="1133"/>
      <c r="DG57" s="1133"/>
      <c r="DH57" s="1133"/>
      <c r="DI57" s="1133"/>
      <c r="DJ57" s="1133"/>
      <c r="DK57" s="1134"/>
      <c r="DL57" s="48"/>
      <c r="DM57" s="44"/>
    </row>
    <row r="58" spans="1:157" s="45" customFormat="1" ht="7.5" customHeight="1">
      <c r="A58" s="48"/>
      <c r="B58" s="1144"/>
      <c r="C58" s="1145"/>
      <c r="D58" s="1145"/>
      <c r="E58" s="1145"/>
      <c r="F58" s="1146"/>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3150"/>
      <c r="AC58" s="1145"/>
      <c r="AD58" s="1145"/>
      <c r="AE58" s="1145"/>
      <c r="AF58" s="1146"/>
      <c r="AG58" s="1027"/>
      <c r="AH58" s="1028"/>
      <c r="AI58" s="1028"/>
      <c r="AJ58" s="1028"/>
      <c r="AK58" s="1028"/>
      <c r="AL58" s="1028"/>
      <c r="AM58" s="1028"/>
      <c r="AN58" s="1028"/>
      <c r="AO58" s="1028"/>
      <c r="AP58" s="1028"/>
      <c r="AQ58" s="1028"/>
      <c r="AR58" s="1028"/>
      <c r="AS58" s="1028"/>
      <c r="AT58" s="1059"/>
      <c r="AU58" s="1028"/>
      <c r="AV58" s="1028"/>
      <c r="AW58" s="1028"/>
      <c r="AX58" s="1028"/>
      <c r="AY58" s="1028"/>
      <c r="AZ58" s="1028"/>
      <c r="BA58" s="1028"/>
      <c r="BB58" s="1028"/>
      <c r="BC58" s="1028"/>
      <c r="BD58" s="1028"/>
      <c r="BE58" s="1028"/>
      <c r="BF58" s="1060"/>
      <c r="BG58" s="48"/>
      <c r="BH58" s="48"/>
      <c r="BI58" s="2260"/>
      <c r="BJ58" s="2261"/>
      <c r="BK58" s="2261"/>
      <c r="BL58" s="2261"/>
      <c r="BM58" s="2261"/>
      <c r="BN58" s="2261"/>
      <c r="BO58" s="2261"/>
      <c r="BP58" s="2261"/>
      <c r="BQ58" s="2261"/>
      <c r="BR58" s="2261"/>
      <c r="BS58" s="2261"/>
      <c r="BT58" s="2261"/>
      <c r="BU58" s="2261"/>
      <c r="BV58" s="2261"/>
      <c r="BW58" s="2261"/>
      <c r="BX58" s="2261"/>
      <c r="BY58" s="2261"/>
      <c r="BZ58" s="2261"/>
      <c r="CA58" s="2261"/>
      <c r="CB58" s="2261"/>
      <c r="CC58" s="2261"/>
      <c r="CD58" s="2261"/>
      <c r="CE58" s="2261"/>
      <c r="CF58" s="3444"/>
      <c r="CG58" s="3445"/>
      <c r="CH58" s="3445"/>
      <c r="CI58" s="3445"/>
      <c r="CJ58" s="3445"/>
      <c r="CK58" s="3445"/>
      <c r="CL58" s="3445"/>
      <c r="CM58" s="3445"/>
      <c r="CN58" s="3445"/>
      <c r="CO58" s="3445"/>
      <c r="CP58" s="3445"/>
      <c r="CQ58" s="3445"/>
      <c r="CR58" s="3445"/>
      <c r="CS58" s="3445"/>
      <c r="CT58" s="3445"/>
      <c r="CU58" s="3445"/>
      <c r="CV58" s="3445"/>
      <c r="CW58" s="3445"/>
      <c r="CX58" s="3445"/>
      <c r="CY58" s="3445"/>
      <c r="CZ58" s="3445"/>
      <c r="DA58" s="3445"/>
      <c r="DB58" s="3446"/>
      <c r="DC58" s="1132"/>
      <c r="DD58" s="1133"/>
      <c r="DE58" s="1133"/>
      <c r="DF58" s="1133"/>
      <c r="DG58" s="1133"/>
      <c r="DH58" s="1133"/>
      <c r="DI58" s="1133"/>
      <c r="DJ58" s="1133"/>
      <c r="DK58" s="1134"/>
      <c r="DL58" s="44"/>
      <c r="DM58" s="44"/>
    </row>
    <row r="59" spans="1:157" s="45" customFormat="1" ht="7.5" customHeight="1">
      <c r="A59" s="48"/>
      <c r="B59" s="1138" t="s">
        <v>570</v>
      </c>
      <c r="C59" s="1139"/>
      <c r="D59" s="1139"/>
      <c r="E59" s="1139"/>
      <c r="F59" s="1140"/>
      <c r="G59" s="1037"/>
      <c r="H59" s="1038"/>
      <c r="I59" s="1038"/>
      <c r="J59" s="1038"/>
      <c r="K59" s="1038"/>
      <c r="L59" s="1038"/>
      <c r="M59" s="1038"/>
      <c r="N59" s="1038"/>
      <c r="O59" s="1038"/>
      <c r="P59" s="1038"/>
      <c r="Q59" s="1038"/>
      <c r="R59" s="1038"/>
      <c r="S59" s="1038"/>
      <c r="T59" s="1038"/>
      <c r="U59" s="1038"/>
      <c r="V59" s="1038"/>
      <c r="W59" s="1038"/>
      <c r="X59" s="1038"/>
      <c r="Y59" s="1038"/>
      <c r="Z59" s="1038"/>
      <c r="AA59" s="1039"/>
      <c r="AB59" s="3127" t="s">
        <v>569</v>
      </c>
      <c r="AC59" s="1139"/>
      <c r="AD59" s="1139"/>
      <c r="AE59" s="1139"/>
      <c r="AF59" s="1140"/>
      <c r="AG59" s="1044" t="s">
        <v>1620</v>
      </c>
      <c r="AH59" s="1045"/>
      <c r="AI59" s="1045"/>
      <c r="AJ59" s="1045"/>
      <c r="AK59" s="1045"/>
      <c r="AL59" s="1045"/>
      <c r="AM59" s="1045"/>
      <c r="AN59" s="1045"/>
      <c r="AO59" s="1045"/>
      <c r="AP59" s="1045"/>
      <c r="AQ59" s="1045"/>
      <c r="AR59" s="1045"/>
      <c r="AS59" s="1045"/>
      <c r="AT59" s="1045"/>
      <c r="AU59" s="1045"/>
      <c r="AV59" s="1045"/>
      <c r="AW59" s="1045"/>
      <c r="AX59" s="1045"/>
      <c r="AY59" s="1045"/>
      <c r="AZ59" s="1045"/>
      <c r="BA59" s="1045"/>
      <c r="BB59" s="1045"/>
      <c r="BC59" s="1045"/>
      <c r="BD59" s="1045"/>
      <c r="BE59" s="1045"/>
      <c r="BF59" s="1046"/>
      <c r="BG59" s="48"/>
      <c r="BH59" s="48"/>
      <c r="BI59" s="2260"/>
      <c r="BJ59" s="2261"/>
      <c r="BK59" s="2261"/>
      <c r="BL59" s="2261"/>
      <c r="BM59" s="2261"/>
      <c r="BN59" s="2261"/>
      <c r="BO59" s="2261"/>
      <c r="BP59" s="2261"/>
      <c r="BQ59" s="2261"/>
      <c r="BR59" s="2261"/>
      <c r="BS59" s="2261"/>
      <c r="BT59" s="2261"/>
      <c r="BU59" s="2261"/>
      <c r="BV59" s="2261"/>
      <c r="BW59" s="2261"/>
      <c r="BX59" s="2261"/>
      <c r="BY59" s="2261"/>
      <c r="BZ59" s="2261"/>
      <c r="CA59" s="2261"/>
      <c r="CB59" s="2261"/>
      <c r="CC59" s="2261"/>
      <c r="CD59" s="2261"/>
      <c r="CE59" s="2261"/>
      <c r="CF59" s="3445"/>
      <c r="CG59" s="3445"/>
      <c r="CH59" s="3445"/>
      <c r="CI59" s="3445"/>
      <c r="CJ59" s="3445"/>
      <c r="CK59" s="3445"/>
      <c r="CL59" s="3445"/>
      <c r="CM59" s="3445"/>
      <c r="CN59" s="3445"/>
      <c r="CO59" s="3445"/>
      <c r="CP59" s="3445"/>
      <c r="CQ59" s="3445"/>
      <c r="CR59" s="3445"/>
      <c r="CS59" s="3445"/>
      <c r="CT59" s="3445"/>
      <c r="CU59" s="3445"/>
      <c r="CV59" s="3445"/>
      <c r="CW59" s="3445"/>
      <c r="CX59" s="3445"/>
      <c r="CY59" s="3445"/>
      <c r="CZ59" s="3445"/>
      <c r="DA59" s="3445"/>
      <c r="DB59" s="3446"/>
      <c r="DC59" s="1132"/>
      <c r="DD59" s="1133"/>
      <c r="DE59" s="1133"/>
      <c r="DF59" s="1133"/>
      <c r="DG59" s="1133"/>
      <c r="DH59" s="1133"/>
      <c r="DI59" s="1133"/>
      <c r="DJ59" s="1133"/>
      <c r="DK59" s="1134"/>
      <c r="DL59" s="44"/>
      <c r="DM59" s="44"/>
    </row>
    <row r="60" spans="1:157" s="45" customFormat="1" ht="7.5" customHeight="1" thickBot="1">
      <c r="A60" s="48"/>
      <c r="B60" s="1147"/>
      <c r="C60" s="1148"/>
      <c r="D60" s="1148"/>
      <c r="E60" s="1148"/>
      <c r="F60" s="1149"/>
      <c r="G60" s="1040"/>
      <c r="H60" s="1041"/>
      <c r="I60" s="1041"/>
      <c r="J60" s="1041"/>
      <c r="K60" s="1041"/>
      <c r="L60" s="1041"/>
      <c r="M60" s="1041"/>
      <c r="N60" s="1041"/>
      <c r="O60" s="1041"/>
      <c r="P60" s="1041"/>
      <c r="Q60" s="1041"/>
      <c r="R60" s="1041"/>
      <c r="S60" s="1041"/>
      <c r="T60" s="1041"/>
      <c r="U60" s="1041"/>
      <c r="V60" s="1041"/>
      <c r="W60" s="1041"/>
      <c r="X60" s="1041"/>
      <c r="Y60" s="1041"/>
      <c r="Z60" s="1041"/>
      <c r="AA60" s="1042"/>
      <c r="AB60" s="3171"/>
      <c r="AC60" s="1148"/>
      <c r="AD60" s="1148"/>
      <c r="AE60" s="1148"/>
      <c r="AF60" s="1149"/>
      <c r="AG60" s="1047"/>
      <c r="AH60" s="1048"/>
      <c r="AI60" s="1048"/>
      <c r="AJ60" s="1048"/>
      <c r="AK60" s="1048"/>
      <c r="AL60" s="1048"/>
      <c r="AM60" s="1048"/>
      <c r="AN60" s="1048"/>
      <c r="AO60" s="1048"/>
      <c r="AP60" s="1048"/>
      <c r="AQ60" s="1048"/>
      <c r="AR60" s="1048"/>
      <c r="AS60" s="1048"/>
      <c r="AT60" s="1048"/>
      <c r="AU60" s="1048"/>
      <c r="AV60" s="1048"/>
      <c r="AW60" s="1048"/>
      <c r="AX60" s="1048"/>
      <c r="AY60" s="1048"/>
      <c r="AZ60" s="1048"/>
      <c r="BA60" s="1048"/>
      <c r="BB60" s="1048"/>
      <c r="BC60" s="1048"/>
      <c r="BD60" s="1048"/>
      <c r="BE60" s="1048"/>
      <c r="BF60" s="1049"/>
      <c r="BG60" s="48"/>
      <c r="BH60" s="48"/>
      <c r="BI60" s="2260"/>
      <c r="BJ60" s="2261"/>
      <c r="BK60" s="2261"/>
      <c r="BL60" s="2261"/>
      <c r="BM60" s="2261"/>
      <c r="BN60" s="2261"/>
      <c r="BO60" s="2261"/>
      <c r="BP60" s="2261"/>
      <c r="BQ60" s="2261"/>
      <c r="BR60" s="2261"/>
      <c r="BS60" s="2261"/>
      <c r="BT60" s="2261"/>
      <c r="BU60" s="2261"/>
      <c r="BV60" s="2261"/>
      <c r="BW60" s="2261"/>
      <c r="BX60" s="2261"/>
      <c r="BY60" s="2261"/>
      <c r="BZ60" s="2261"/>
      <c r="CA60" s="2261"/>
      <c r="CB60" s="2261"/>
      <c r="CC60" s="2261"/>
      <c r="CD60" s="2261"/>
      <c r="CE60" s="2261"/>
      <c r="CF60" s="1192"/>
      <c r="CG60" s="1192"/>
      <c r="CH60" s="1192"/>
      <c r="CI60" s="1192"/>
      <c r="CJ60" s="1192"/>
      <c r="CK60" s="1192"/>
      <c r="CL60" s="1192"/>
      <c r="CM60" s="1192"/>
      <c r="CN60" s="1192"/>
      <c r="CO60" s="1192"/>
      <c r="CP60" s="1192"/>
      <c r="CQ60" s="1192"/>
      <c r="CR60" s="1192"/>
      <c r="CS60" s="1192"/>
      <c r="CT60" s="1192"/>
      <c r="CU60" s="1192"/>
      <c r="CV60" s="1192"/>
      <c r="CW60" s="1192"/>
      <c r="CX60" s="1192"/>
      <c r="CY60" s="1192"/>
      <c r="CZ60" s="1192"/>
      <c r="DA60" s="1192"/>
      <c r="DB60" s="1193"/>
      <c r="DC60" s="1132"/>
      <c r="DD60" s="1133"/>
      <c r="DE60" s="1133"/>
      <c r="DF60" s="1133"/>
      <c r="DG60" s="1133"/>
      <c r="DH60" s="1133"/>
      <c r="DI60" s="1133"/>
      <c r="DJ60" s="1133"/>
      <c r="DK60" s="1134"/>
      <c r="DL60" s="44"/>
      <c r="DM60" s="44"/>
    </row>
    <row r="61" spans="1:157" s="45" customFormat="1" ht="7.5" customHeight="1" thickTop="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2260"/>
      <c r="BJ61" s="2261"/>
      <c r="BK61" s="2261"/>
      <c r="BL61" s="2261"/>
      <c r="BM61" s="2261"/>
      <c r="BN61" s="2261"/>
      <c r="BO61" s="2261"/>
      <c r="BP61" s="2261"/>
      <c r="BQ61" s="2261"/>
      <c r="BR61" s="2261"/>
      <c r="BS61" s="2261"/>
      <c r="BT61" s="2261"/>
      <c r="BU61" s="2261"/>
      <c r="BV61" s="2261"/>
      <c r="BW61" s="2261"/>
      <c r="BX61" s="2261"/>
      <c r="BY61" s="2261"/>
      <c r="BZ61" s="2261"/>
      <c r="CA61" s="2261"/>
      <c r="CB61" s="2261"/>
      <c r="CC61" s="2261"/>
      <c r="CD61" s="2261"/>
      <c r="CE61" s="2261"/>
      <c r="CF61" s="1192"/>
      <c r="CG61" s="1192"/>
      <c r="CH61" s="1192"/>
      <c r="CI61" s="1192"/>
      <c r="CJ61" s="1192"/>
      <c r="CK61" s="1192"/>
      <c r="CL61" s="1192"/>
      <c r="CM61" s="1192"/>
      <c r="CN61" s="1192"/>
      <c r="CO61" s="1192"/>
      <c r="CP61" s="1192"/>
      <c r="CQ61" s="1192"/>
      <c r="CR61" s="1192"/>
      <c r="CS61" s="1192"/>
      <c r="CT61" s="1192"/>
      <c r="CU61" s="1192"/>
      <c r="CV61" s="1192"/>
      <c r="CW61" s="1192"/>
      <c r="CX61" s="1192"/>
      <c r="CY61" s="1192"/>
      <c r="CZ61" s="1192"/>
      <c r="DA61" s="1192"/>
      <c r="DB61" s="1193"/>
      <c r="DC61" s="1132"/>
      <c r="DD61" s="1133"/>
      <c r="DE61" s="1133"/>
      <c r="DF61" s="1133"/>
      <c r="DG61" s="1133"/>
      <c r="DH61" s="1133"/>
      <c r="DI61" s="1133"/>
      <c r="DJ61" s="1133"/>
      <c r="DK61" s="1134"/>
      <c r="DL61" s="44"/>
      <c r="DM61" s="44"/>
    </row>
    <row r="62" spans="1:157" s="45" customFormat="1"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1177"/>
      <c r="BJ62" s="1178"/>
      <c r="BK62" s="1178"/>
      <c r="BL62" s="1178"/>
      <c r="BM62" s="1178"/>
      <c r="BN62" s="1178"/>
      <c r="BO62" s="1178"/>
      <c r="BP62" s="1178"/>
      <c r="BQ62" s="1178"/>
      <c r="BR62" s="1178"/>
      <c r="BS62" s="1178"/>
      <c r="BT62" s="1178"/>
      <c r="BU62" s="1178"/>
      <c r="BV62" s="1178"/>
      <c r="BW62" s="1178"/>
      <c r="BX62" s="1178"/>
      <c r="BY62" s="1178"/>
      <c r="BZ62" s="1178"/>
      <c r="CA62" s="1178"/>
      <c r="CB62" s="1178"/>
      <c r="CC62" s="1178"/>
      <c r="CD62" s="1178"/>
      <c r="CE62" s="1179"/>
      <c r="CF62" s="1192"/>
      <c r="CG62" s="1192"/>
      <c r="CH62" s="1192"/>
      <c r="CI62" s="1192"/>
      <c r="CJ62" s="1192"/>
      <c r="CK62" s="1192"/>
      <c r="CL62" s="1192"/>
      <c r="CM62" s="1192"/>
      <c r="CN62" s="1192"/>
      <c r="CO62" s="1192"/>
      <c r="CP62" s="1192"/>
      <c r="CQ62" s="1192"/>
      <c r="CR62" s="1192"/>
      <c r="CS62" s="1192"/>
      <c r="CT62" s="1192"/>
      <c r="CU62" s="1192"/>
      <c r="CV62" s="1192"/>
      <c r="CW62" s="1192"/>
      <c r="CX62" s="1192"/>
      <c r="CY62" s="1192"/>
      <c r="CZ62" s="1192"/>
      <c r="DA62" s="1192"/>
      <c r="DB62" s="1193"/>
      <c r="DC62" s="1132"/>
      <c r="DD62" s="1133"/>
      <c r="DE62" s="1133"/>
      <c r="DF62" s="1133"/>
      <c r="DG62" s="1133"/>
      <c r="DH62" s="1133"/>
      <c r="DI62" s="1133"/>
      <c r="DJ62" s="1133"/>
      <c r="DK62" s="1134"/>
      <c r="DL62" s="53"/>
      <c r="DM62" s="44"/>
    </row>
    <row r="63" spans="1:157" s="45" customFormat="1"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1180"/>
      <c r="BJ63" s="1181"/>
      <c r="BK63" s="1181"/>
      <c r="BL63" s="1181"/>
      <c r="BM63" s="1181"/>
      <c r="BN63" s="1181"/>
      <c r="BO63" s="1181"/>
      <c r="BP63" s="1181"/>
      <c r="BQ63" s="1181"/>
      <c r="BR63" s="1181"/>
      <c r="BS63" s="1181"/>
      <c r="BT63" s="1181"/>
      <c r="BU63" s="1181"/>
      <c r="BV63" s="1181"/>
      <c r="BW63" s="1181"/>
      <c r="BX63" s="1181"/>
      <c r="BY63" s="1181"/>
      <c r="BZ63" s="1181"/>
      <c r="CA63" s="1181"/>
      <c r="CB63" s="1181"/>
      <c r="CC63" s="1181"/>
      <c r="CD63" s="1181"/>
      <c r="CE63" s="1182"/>
      <c r="CF63" s="1263"/>
      <c r="CG63" s="1263"/>
      <c r="CH63" s="1263"/>
      <c r="CI63" s="1263"/>
      <c r="CJ63" s="1263"/>
      <c r="CK63" s="1263"/>
      <c r="CL63" s="1263"/>
      <c r="CM63" s="1263"/>
      <c r="CN63" s="1263"/>
      <c r="CO63" s="1263"/>
      <c r="CP63" s="1263"/>
      <c r="CQ63" s="1263"/>
      <c r="CR63" s="1263"/>
      <c r="CS63" s="1263"/>
      <c r="CT63" s="1263"/>
      <c r="CU63" s="1263"/>
      <c r="CV63" s="1263"/>
      <c r="CW63" s="1263"/>
      <c r="CX63" s="1263"/>
      <c r="CY63" s="1263"/>
      <c r="CZ63" s="1263"/>
      <c r="DA63" s="1263"/>
      <c r="DB63" s="1264"/>
      <c r="DC63" s="1135"/>
      <c r="DD63" s="1136"/>
      <c r="DE63" s="1136"/>
      <c r="DF63" s="1136"/>
      <c r="DG63" s="1136"/>
      <c r="DH63" s="1136"/>
      <c r="DI63" s="1136"/>
      <c r="DJ63" s="1136"/>
      <c r="DK63" s="1137"/>
      <c r="DL63" s="44"/>
      <c r="DM63" s="44"/>
    </row>
    <row r="64" spans="1:157" ht="7.5" customHeight="1" thickTop="1"/>
    <row r="65" spans="1:165" s="200" customFormat="1" ht="9" customHeight="1">
      <c r="A65" s="1265" t="s">
        <v>1362</v>
      </c>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6"/>
      <c r="BD65" s="1266"/>
      <c r="BE65" s="1266"/>
      <c r="BF65" s="1266"/>
      <c r="BG65" s="1266"/>
      <c r="BH65" s="1266"/>
      <c r="BI65" s="1266"/>
      <c r="BJ65" s="1266"/>
      <c r="BK65" s="1266"/>
      <c r="BL65" s="1266"/>
      <c r="BM65" s="1266"/>
      <c r="BN65" s="1266"/>
      <c r="BO65" s="1266"/>
      <c r="BP65" s="1266"/>
      <c r="BQ65" s="1266"/>
      <c r="BR65" s="1266"/>
      <c r="BS65" s="1266"/>
      <c r="BT65" s="1266"/>
      <c r="BU65" s="1266"/>
      <c r="BV65" s="1266"/>
      <c r="BW65" s="1266"/>
      <c r="BX65" s="1266"/>
      <c r="BY65" s="1266"/>
      <c r="BZ65" s="1266"/>
      <c r="CA65" s="1266"/>
      <c r="CB65" s="1266"/>
      <c r="CC65" s="1266"/>
      <c r="CD65" s="1266"/>
      <c r="CE65" s="1266"/>
      <c r="CF65" s="1266"/>
      <c r="CG65" s="1266"/>
      <c r="CH65" s="1266"/>
      <c r="CI65" s="1266"/>
      <c r="CJ65" s="1266"/>
      <c r="CK65" s="1266"/>
      <c r="CL65" s="1266"/>
      <c r="CM65" s="1266"/>
      <c r="CN65" s="1266"/>
      <c r="CO65" s="1266"/>
      <c r="CP65" s="1266"/>
      <c r="CQ65" s="1266"/>
      <c r="CR65" s="1266"/>
      <c r="CS65" s="1266"/>
      <c r="CT65" s="1266"/>
      <c r="CU65" s="205"/>
      <c r="CV65" s="205"/>
      <c r="CW65" s="205"/>
      <c r="CX65" s="205"/>
      <c r="CY65" s="205"/>
      <c r="CZ65" s="205"/>
      <c r="DA65" s="205"/>
      <c r="DB65" s="205"/>
      <c r="DC65" s="205"/>
      <c r="DD65" s="205"/>
      <c r="DE65" s="205"/>
      <c r="DF65" s="205"/>
      <c r="DG65" s="205"/>
      <c r="DH65" s="205"/>
      <c r="DI65" s="205"/>
      <c r="DJ65" s="205"/>
      <c r="DK65" s="205"/>
      <c r="DL65" s="204"/>
      <c r="DM65" s="202"/>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row>
    <row r="66" spans="1:165" s="200" customFormat="1" ht="9" customHeight="1">
      <c r="A66" s="1265"/>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c r="AL66" s="1265"/>
      <c r="AM66" s="1265"/>
      <c r="AN66" s="1265"/>
      <c r="AO66" s="1265"/>
      <c r="AP66" s="1265"/>
      <c r="AQ66" s="1265"/>
      <c r="AR66" s="1265"/>
      <c r="AS66" s="1265"/>
      <c r="AT66" s="1265"/>
      <c r="AU66" s="1265"/>
      <c r="AV66" s="1265"/>
      <c r="AW66" s="1265"/>
      <c r="AX66" s="1265"/>
      <c r="AY66" s="1265"/>
      <c r="AZ66" s="1265"/>
      <c r="BA66" s="1265"/>
      <c r="BB66" s="1265"/>
      <c r="BC66" s="1266"/>
      <c r="BD66" s="1266"/>
      <c r="BE66" s="1266"/>
      <c r="BF66" s="1266"/>
      <c r="BG66" s="1266"/>
      <c r="BH66" s="1266"/>
      <c r="BI66" s="1266"/>
      <c r="BJ66" s="1266"/>
      <c r="BK66" s="1266"/>
      <c r="BL66" s="1266"/>
      <c r="BM66" s="1266"/>
      <c r="BN66" s="1266"/>
      <c r="BO66" s="1266"/>
      <c r="BP66" s="1266"/>
      <c r="BQ66" s="1266"/>
      <c r="BR66" s="1266"/>
      <c r="BS66" s="1266"/>
      <c r="BT66" s="1266"/>
      <c r="BU66" s="1266"/>
      <c r="BV66" s="1266"/>
      <c r="BW66" s="1266"/>
      <c r="BX66" s="1266"/>
      <c r="BY66" s="1266"/>
      <c r="BZ66" s="1266"/>
      <c r="CA66" s="1266"/>
      <c r="CB66" s="1266"/>
      <c r="CC66" s="1266"/>
      <c r="CD66" s="1266"/>
      <c r="CE66" s="1266"/>
      <c r="CF66" s="1266"/>
      <c r="CG66" s="1266"/>
      <c r="CH66" s="1266"/>
      <c r="CI66" s="1266"/>
      <c r="CJ66" s="1266"/>
      <c r="CK66" s="1266"/>
      <c r="CL66" s="1266"/>
      <c r="CM66" s="1266"/>
      <c r="CN66" s="1266"/>
      <c r="CO66" s="1266"/>
      <c r="CP66" s="1266"/>
      <c r="CQ66" s="1266"/>
      <c r="CR66" s="1266"/>
      <c r="CS66" s="1266"/>
      <c r="CT66" s="1266"/>
      <c r="CU66" s="206"/>
      <c r="CV66" s="206"/>
      <c r="CW66" s="206"/>
      <c r="CX66" s="206"/>
      <c r="CY66" s="206"/>
      <c r="CZ66" s="206"/>
      <c r="DA66" s="206"/>
      <c r="DB66" s="206"/>
      <c r="DC66" s="206"/>
      <c r="DD66" s="206"/>
      <c r="DE66" s="206"/>
      <c r="DF66" s="206"/>
      <c r="DG66" s="206"/>
      <c r="DH66" s="206"/>
      <c r="DI66" s="206"/>
      <c r="DJ66" s="206"/>
      <c r="DK66" s="205"/>
      <c r="DL66" s="204"/>
      <c r="DM66" s="202"/>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row>
    <row r="67" spans="1:165" s="200" customFormat="1" ht="11.25" customHeight="1">
      <c r="A67" s="207"/>
      <c r="B67" s="208" t="str">
        <f>"まずはじめに、「"&amp;B71&amp;"」欄をご選択の上、セルが赤く表示された「管理者E-mail」または「保有シリアル」をご入力ください。その後、お手続きを希望される製品欄の「製品区分」をご選択ください。"</f>
        <v>まずはじめに、「既存のご契約」欄をご選択の上、セルが赤く表示された「管理者E-mail」または「保有シリアル」をご入力ください。その後、お手続きを希望される製品欄の「製品区分」をご選択ください。</v>
      </c>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6"/>
      <c r="CV67" s="206"/>
      <c r="CW67" s="206"/>
      <c r="CX67" s="206"/>
      <c r="CY67" s="206"/>
      <c r="CZ67" s="206"/>
      <c r="DA67" s="206"/>
      <c r="DB67" s="206"/>
      <c r="DC67" s="206"/>
      <c r="DD67" s="206"/>
      <c r="DE67" s="206"/>
      <c r="DF67" s="206"/>
      <c r="DG67" s="206"/>
      <c r="DH67" s="206"/>
      <c r="DI67" s="206"/>
      <c r="DJ67" s="206"/>
      <c r="DK67" s="205"/>
      <c r="DL67" s="204"/>
      <c r="DM67" s="202"/>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row>
    <row r="68" spans="1:165" s="200" customFormat="1" ht="11.25" customHeight="1" thickBot="1">
      <c r="A68" s="202"/>
      <c r="B68" s="208" t="s">
        <v>561</v>
      </c>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3"/>
      <c r="BJ68" s="203"/>
      <c r="BK68" s="203"/>
      <c r="BL68" s="203"/>
      <c r="BM68" s="203"/>
      <c r="BN68" s="203"/>
      <c r="BO68" s="203"/>
      <c r="BP68" s="203"/>
      <c r="BQ68" s="203"/>
      <c r="BR68" s="203"/>
      <c r="BS68" s="203"/>
      <c r="BT68" s="203"/>
      <c r="BU68" s="203"/>
      <c r="BV68" s="203"/>
      <c r="BW68" s="203"/>
      <c r="BX68" s="203"/>
      <c r="BY68" s="203"/>
      <c r="BZ68" s="203"/>
      <c r="CA68" s="203"/>
      <c r="CB68" s="203"/>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204"/>
      <c r="DM68" s="202"/>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row>
    <row r="69" spans="1:165" s="200" customFormat="1" ht="7.5" customHeight="1">
      <c r="A69" s="199"/>
      <c r="B69" s="1267" t="s">
        <v>1327</v>
      </c>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c r="CB69" s="1268"/>
      <c r="CC69" s="1268"/>
      <c r="CD69" s="1268"/>
      <c r="CE69" s="1268"/>
      <c r="CF69" s="1268"/>
      <c r="CG69" s="1268"/>
      <c r="CH69" s="1268"/>
      <c r="CI69" s="1268"/>
      <c r="CJ69" s="1268"/>
      <c r="CK69" s="1268"/>
      <c r="CL69" s="1268"/>
      <c r="CM69" s="1268"/>
      <c r="CN69" s="1268"/>
      <c r="CO69" s="1268"/>
      <c r="CP69" s="1268"/>
      <c r="CQ69" s="1268"/>
      <c r="CR69" s="1268"/>
      <c r="CS69" s="1268"/>
      <c r="CT69" s="1268"/>
      <c r="CU69" s="1268"/>
      <c r="CV69" s="1268"/>
      <c r="CW69" s="1268"/>
      <c r="CX69" s="1268"/>
      <c r="CY69" s="1268"/>
      <c r="CZ69" s="1268"/>
      <c r="DA69" s="1268"/>
      <c r="DB69" s="1268"/>
      <c r="DC69" s="1268"/>
      <c r="DD69" s="1268"/>
      <c r="DE69" s="1268"/>
      <c r="DF69" s="1268"/>
      <c r="DG69" s="1268"/>
      <c r="DH69" s="1268"/>
      <c r="DI69" s="1268"/>
      <c r="DJ69" s="1268"/>
      <c r="DK69" s="1268"/>
      <c r="DL69" s="1269"/>
      <c r="DM69" s="202"/>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row>
    <row r="70" spans="1:165" s="200" customFormat="1" ht="7.5" customHeight="1" thickBot="1">
      <c r="A70" s="199"/>
      <c r="B70" s="1270"/>
      <c r="C70" s="1271"/>
      <c r="D70" s="1271"/>
      <c r="E70" s="1271"/>
      <c r="F70" s="1271"/>
      <c r="G70" s="1271"/>
      <c r="H70" s="1271"/>
      <c r="I70" s="1271"/>
      <c r="J70" s="1271"/>
      <c r="K70" s="1271"/>
      <c r="L70" s="1271"/>
      <c r="M70" s="1271"/>
      <c r="N70" s="1271"/>
      <c r="O70" s="1271"/>
      <c r="P70" s="1271"/>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3"/>
      <c r="DM70" s="202"/>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row>
    <row r="71" spans="1:165" ht="10.5" customHeight="1" thickTop="1">
      <c r="B71" s="1237" t="s">
        <v>1326</v>
      </c>
      <c r="C71" s="1238"/>
      <c r="D71" s="1238"/>
      <c r="E71" s="1238"/>
      <c r="F71" s="1238"/>
      <c r="G71" s="1238"/>
      <c r="H71" s="1238"/>
      <c r="I71" s="1238"/>
      <c r="J71" s="1238"/>
      <c r="K71" s="1238"/>
      <c r="L71" s="1239"/>
      <c r="M71" s="1277"/>
      <c r="N71" s="1277"/>
      <c r="O71" s="1277"/>
      <c r="P71" s="1278"/>
      <c r="Q71" s="1283" t="s">
        <v>1425</v>
      </c>
      <c r="R71" s="1284"/>
      <c r="S71" s="1284"/>
      <c r="T71" s="1284"/>
      <c r="U71" s="1284"/>
      <c r="V71" s="1284"/>
      <c r="W71" s="1284"/>
      <c r="X71" s="1284"/>
      <c r="Y71" s="1284"/>
      <c r="Z71" s="1284"/>
      <c r="AA71" s="1284"/>
      <c r="AB71" s="1284"/>
      <c r="AC71" s="1284"/>
      <c r="AD71" s="1284"/>
      <c r="AE71" s="1284"/>
      <c r="AF71" s="1284"/>
      <c r="AG71" s="1284"/>
      <c r="AH71" s="1284"/>
      <c r="AI71" s="1284"/>
      <c r="AJ71" s="1284"/>
      <c r="AK71" s="1284"/>
      <c r="AL71" s="1284"/>
      <c r="AM71" s="1284"/>
      <c r="AN71" s="1284"/>
      <c r="AO71" s="1284"/>
      <c r="AP71" s="1284"/>
      <c r="AQ71" s="1284"/>
      <c r="AR71" s="1284"/>
      <c r="AS71" s="1284"/>
      <c r="AT71" s="1284"/>
      <c r="AU71" s="1284"/>
      <c r="AV71" s="1284"/>
      <c r="AW71" s="1284"/>
      <c r="AX71" s="1284"/>
      <c r="AY71" s="1284"/>
      <c r="AZ71" s="1284"/>
      <c r="BA71" s="1284"/>
      <c r="BB71" s="1284"/>
      <c r="BC71" s="1284"/>
      <c r="BD71" s="1284"/>
      <c r="BE71" s="1284"/>
      <c r="BF71" s="1284"/>
      <c r="BG71" s="1284"/>
      <c r="BH71" s="1284"/>
      <c r="BI71" s="1284"/>
      <c r="BJ71" s="1284"/>
      <c r="BK71" s="1284"/>
      <c r="BL71" s="1284"/>
      <c r="BM71" s="1284"/>
      <c r="BN71" s="1284"/>
      <c r="BO71" s="1284"/>
      <c r="BP71" s="1284"/>
      <c r="BQ71" s="1284"/>
      <c r="BR71" s="1284"/>
      <c r="BS71" s="1284"/>
      <c r="BT71" s="1284"/>
      <c r="BU71" s="1284"/>
      <c r="BV71" s="1284"/>
      <c r="BW71" s="1284"/>
      <c r="BX71" s="1284"/>
      <c r="BY71" s="1284"/>
      <c r="BZ71" s="1284"/>
      <c r="CA71" s="1284"/>
      <c r="CB71" s="1284"/>
      <c r="CC71" s="1284"/>
      <c r="CD71" s="1284"/>
      <c r="CE71" s="1284"/>
      <c r="CF71" s="1284"/>
      <c r="CG71" s="1284"/>
      <c r="CH71" s="1284"/>
      <c r="CI71" s="1284"/>
      <c r="CJ71" s="1284"/>
      <c r="CK71" s="1284"/>
      <c r="CL71" s="1284"/>
      <c r="CM71" s="1284"/>
      <c r="CN71" s="1284"/>
      <c r="CO71" s="1284"/>
      <c r="CP71" s="1284"/>
      <c r="CQ71" s="1284"/>
      <c r="CR71" s="1284"/>
      <c r="CS71" s="1284"/>
      <c r="CT71" s="1284"/>
      <c r="CU71" s="1284"/>
      <c r="CV71" s="1284"/>
      <c r="CW71" s="1284"/>
      <c r="CX71" s="1284"/>
      <c r="CY71" s="1284"/>
      <c r="CZ71" s="1284"/>
      <c r="DA71" s="1284"/>
      <c r="DB71" s="1284"/>
      <c r="DC71" s="1284"/>
      <c r="DD71" s="1284"/>
      <c r="DE71" s="1284"/>
      <c r="DF71" s="1284"/>
      <c r="DG71" s="1284"/>
      <c r="DH71" s="1284"/>
      <c r="DI71" s="1284"/>
      <c r="DJ71" s="1284"/>
      <c r="DK71" s="1284"/>
      <c r="DL71" s="1285"/>
    </row>
    <row r="72" spans="1:165" ht="9.75" customHeight="1">
      <c r="B72" s="1240"/>
      <c r="C72" s="1241"/>
      <c r="D72" s="1241"/>
      <c r="E72" s="1241"/>
      <c r="F72" s="1241"/>
      <c r="G72" s="1241"/>
      <c r="H72" s="1241"/>
      <c r="I72" s="1241"/>
      <c r="J72" s="1241"/>
      <c r="K72" s="1241"/>
      <c r="L72" s="1242"/>
      <c r="M72" s="1279"/>
      <c r="N72" s="1279"/>
      <c r="O72" s="1279"/>
      <c r="P72" s="1280"/>
      <c r="Q72" s="1286"/>
      <c r="R72" s="1287"/>
      <c r="S72" s="1287"/>
      <c r="T72" s="1287"/>
      <c r="U72" s="1287"/>
      <c r="V72" s="1287"/>
      <c r="W72" s="1287"/>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7"/>
      <c r="AZ72" s="1287"/>
      <c r="BA72" s="1287"/>
      <c r="BB72" s="1287"/>
      <c r="BC72" s="1287"/>
      <c r="BD72" s="1287"/>
      <c r="BE72" s="1287"/>
      <c r="BF72" s="1287"/>
      <c r="BG72" s="1287"/>
      <c r="BH72" s="1287"/>
      <c r="BI72" s="1287"/>
      <c r="BJ72" s="1287"/>
      <c r="BK72" s="1287"/>
      <c r="BL72" s="1287"/>
      <c r="BM72" s="1287"/>
      <c r="BN72" s="1287"/>
      <c r="BO72" s="1287"/>
      <c r="BP72" s="1287"/>
      <c r="BQ72" s="1287"/>
      <c r="BR72" s="1287"/>
      <c r="BS72" s="1287"/>
      <c r="BT72" s="1287"/>
      <c r="BU72" s="1287"/>
      <c r="BV72" s="1287"/>
      <c r="BW72" s="1287"/>
      <c r="BX72" s="1287"/>
      <c r="BY72" s="1287"/>
      <c r="BZ72" s="1287"/>
      <c r="CA72" s="1287"/>
      <c r="CB72" s="1287"/>
      <c r="CC72" s="1287"/>
      <c r="CD72" s="1287"/>
      <c r="CE72" s="1287"/>
      <c r="CF72" s="1287"/>
      <c r="CG72" s="1287"/>
      <c r="CH72" s="1287"/>
      <c r="CI72" s="1287"/>
      <c r="CJ72" s="1287"/>
      <c r="CK72" s="1287"/>
      <c r="CL72" s="1287"/>
      <c r="CM72" s="1287"/>
      <c r="CN72" s="1287"/>
      <c r="CO72" s="1287"/>
      <c r="CP72" s="1287"/>
      <c r="CQ72" s="1287"/>
      <c r="CR72" s="1287"/>
      <c r="CS72" s="1287"/>
      <c r="CT72" s="1287"/>
      <c r="CU72" s="1287"/>
      <c r="CV72" s="1287"/>
      <c r="CW72" s="1287"/>
      <c r="CX72" s="1287"/>
      <c r="CY72" s="1287"/>
      <c r="CZ72" s="1287"/>
      <c r="DA72" s="1287"/>
      <c r="DB72" s="1287"/>
      <c r="DC72" s="1287"/>
      <c r="DD72" s="1287"/>
      <c r="DE72" s="1287"/>
      <c r="DF72" s="1287"/>
      <c r="DG72" s="1287"/>
      <c r="DH72" s="1287"/>
      <c r="DI72" s="1287"/>
      <c r="DJ72" s="1287"/>
      <c r="DK72" s="1287"/>
      <c r="DL72" s="1288"/>
    </row>
    <row r="73" spans="1:165" ht="7.5" customHeight="1" thickBot="1">
      <c r="B73" s="1274"/>
      <c r="C73" s="1275"/>
      <c r="D73" s="1275"/>
      <c r="E73" s="1275"/>
      <c r="F73" s="1275"/>
      <c r="G73" s="1275"/>
      <c r="H73" s="1275"/>
      <c r="I73" s="1275"/>
      <c r="J73" s="1275"/>
      <c r="K73" s="1275"/>
      <c r="L73" s="1276"/>
      <c r="M73" s="1281"/>
      <c r="N73" s="1281"/>
      <c r="O73" s="1281"/>
      <c r="P73" s="1282"/>
      <c r="Q73" s="1286"/>
      <c r="R73" s="1287"/>
      <c r="S73" s="1287"/>
      <c r="T73" s="1287"/>
      <c r="U73" s="1287"/>
      <c r="V73" s="1287"/>
      <c r="W73" s="1287"/>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7"/>
      <c r="AZ73" s="1287"/>
      <c r="BA73" s="1287"/>
      <c r="BB73" s="1287"/>
      <c r="BC73" s="1287"/>
      <c r="BD73" s="1287"/>
      <c r="BE73" s="1287"/>
      <c r="BF73" s="1287"/>
      <c r="BG73" s="1287"/>
      <c r="BH73" s="1287"/>
      <c r="BI73" s="1287"/>
      <c r="BJ73" s="1287"/>
      <c r="BK73" s="1287"/>
      <c r="BL73" s="1287"/>
      <c r="BM73" s="1287"/>
      <c r="BN73" s="1287"/>
      <c r="BO73" s="1287"/>
      <c r="BP73" s="1287"/>
      <c r="BQ73" s="1287"/>
      <c r="BR73" s="1287"/>
      <c r="BS73" s="1287"/>
      <c r="BT73" s="1287"/>
      <c r="BU73" s="1287"/>
      <c r="BV73" s="1287"/>
      <c r="BW73" s="1287"/>
      <c r="BX73" s="1287"/>
      <c r="BY73" s="1287"/>
      <c r="BZ73" s="1287"/>
      <c r="CA73" s="1287"/>
      <c r="CB73" s="1287"/>
      <c r="CC73" s="1287"/>
      <c r="CD73" s="1287"/>
      <c r="CE73" s="1287"/>
      <c r="CF73" s="1287"/>
      <c r="CG73" s="1287"/>
      <c r="CH73" s="1287"/>
      <c r="CI73" s="1287"/>
      <c r="CJ73" s="1287"/>
      <c r="CK73" s="1287"/>
      <c r="CL73" s="1287"/>
      <c r="CM73" s="1287"/>
      <c r="CN73" s="1287"/>
      <c r="CO73" s="1287"/>
      <c r="CP73" s="1287"/>
      <c r="CQ73" s="1287"/>
      <c r="CR73" s="1287"/>
      <c r="CS73" s="1287"/>
      <c r="CT73" s="1287"/>
      <c r="CU73" s="1287"/>
      <c r="CV73" s="1287"/>
      <c r="CW73" s="1287"/>
      <c r="CX73" s="1287"/>
      <c r="CY73" s="1287"/>
      <c r="CZ73" s="1287"/>
      <c r="DA73" s="1287"/>
      <c r="DB73" s="1287"/>
      <c r="DC73" s="1287"/>
      <c r="DD73" s="1287"/>
      <c r="DE73" s="1287"/>
      <c r="DF73" s="1287"/>
      <c r="DG73" s="1287"/>
      <c r="DH73" s="1287"/>
      <c r="DI73" s="1287"/>
      <c r="DJ73" s="1287"/>
      <c r="DK73" s="1287"/>
      <c r="DL73" s="1288"/>
    </row>
    <row r="74" spans="1:165" ht="7.5" customHeight="1" thickTop="1">
      <c r="B74" s="1210" t="s">
        <v>387</v>
      </c>
      <c r="C74" s="1211"/>
      <c r="D74" s="1211"/>
      <c r="E74" s="1211"/>
      <c r="F74" s="1211"/>
      <c r="G74" s="1211"/>
      <c r="H74" s="1211"/>
      <c r="I74" s="1211"/>
      <c r="J74" s="1211"/>
      <c r="K74" s="1211"/>
      <c r="L74" s="1212"/>
      <c r="M74" s="1219"/>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c r="AL74" s="1220"/>
      <c r="AM74" s="1220"/>
      <c r="AN74" s="1220"/>
      <c r="AO74" s="1220"/>
      <c r="AP74" s="1220"/>
      <c r="AQ74" s="1220"/>
      <c r="AR74" s="1221"/>
      <c r="AS74" s="1228" t="s">
        <v>1363</v>
      </c>
      <c r="AT74" s="1229"/>
      <c r="AU74" s="1229"/>
      <c r="AV74" s="1229"/>
      <c r="AW74" s="1229"/>
      <c r="AX74" s="1229"/>
      <c r="AY74" s="1229"/>
      <c r="AZ74" s="1229"/>
      <c r="BA74" s="1229"/>
      <c r="BB74" s="1229"/>
      <c r="BC74" s="1229"/>
      <c r="BD74" s="1229"/>
      <c r="BE74" s="1229"/>
      <c r="BF74" s="1229"/>
      <c r="BG74" s="1229"/>
      <c r="BH74" s="1229"/>
      <c r="BI74" s="1229"/>
      <c r="BJ74" s="1229"/>
      <c r="BK74" s="1229"/>
      <c r="BL74" s="1229"/>
      <c r="BM74" s="1229"/>
      <c r="BN74" s="1229"/>
      <c r="BO74" s="1229"/>
      <c r="BP74" s="1229"/>
      <c r="BQ74" s="1229"/>
      <c r="BR74" s="1229"/>
      <c r="BS74" s="1229"/>
      <c r="BT74" s="1229"/>
      <c r="BU74" s="1229"/>
      <c r="BV74" s="1229"/>
      <c r="BW74" s="1229"/>
      <c r="BX74" s="1229"/>
      <c r="BY74" s="1229"/>
      <c r="BZ74" s="1229"/>
      <c r="CA74" s="1229"/>
      <c r="CB74" s="1229"/>
      <c r="CC74" s="1229"/>
      <c r="CD74" s="1229"/>
      <c r="CE74" s="1229"/>
      <c r="CF74" s="1229"/>
      <c r="CG74" s="1229"/>
      <c r="CH74" s="1229"/>
      <c r="CI74" s="1229"/>
      <c r="CJ74" s="1229"/>
      <c r="CK74" s="1229"/>
      <c r="CL74" s="1229"/>
      <c r="CM74" s="1229"/>
      <c r="CN74" s="1229"/>
      <c r="CO74" s="1229"/>
      <c r="CP74" s="1229"/>
      <c r="CQ74" s="1229"/>
      <c r="CR74" s="1229"/>
      <c r="CS74" s="1229"/>
      <c r="CT74" s="1229"/>
      <c r="CU74" s="1229"/>
      <c r="CV74" s="1229"/>
      <c r="CW74" s="1229"/>
      <c r="CX74" s="1229"/>
      <c r="CY74" s="1229"/>
      <c r="CZ74" s="1229"/>
      <c r="DA74" s="1229"/>
      <c r="DB74" s="1229"/>
      <c r="DC74" s="1229"/>
      <c r="DD74" s="1229"/>
      <c r="DE74" s="1229"/>
      <c r="DF74" s="1229"/>
      <c r="DG74" s="1229"/>
      <c r="DH74" s="1229"/>
      <c r="DI74" s="1229"/>
      <c r="DJ74" s="1229"/>
      <c r="DK74" s="1229"/>
      <c r="DL74" s="1230"/>
    </row>
    <row r="75" spans="1:165" ht="7.5" customHeight="1">
      <c r="B75" s="1213"/>
      <c r="C75" s="1214"/>
      <c r="D75" s="1214"/>
      <c r="E75" s="1214"/>
      <c r="F75" s="1214"/>
      <c r="G75" s="1214"/>
      <c r="H75" s="1214"/>
      <c r="I75" s="1214"/>
      <c r="J75" s="1214"/>
      <c r="K75" s="1214"/>
      <c r="L75" s="1215"/>
      <c r="M75" s="1222"/>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c r="AL75" s="1223"/>
      <c r="AM75" s="1223"/>
      <c r="AN75" s="1223"/>
      <c r="AO75" s="1223"/>
      <c r="AP75" s="1223"/>
      <c r="AQ75" s="1223"/>
      <c r="AR75" s="1224"/>
      <c r="AS75" s="1231"/>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c r="CB75" s="1232"/>
      <c r="CC75" s="1232"/>
      <c r="CD75" s="1232"/>
      <c r="CE75" s="1232"/>
      <c r="CF75" s="1232"/>
      <c r="CG75" s="1232"/>
      <c r="CH75" s="1232"/>
      <c r="CI75" s="1232"/>
      <c r="CJ75" s="1232"/>
      <c r="CK75" s="1232"/>
      <c r="CL75" s="1232"/>
      <c r="CM75" s="1232"/>
      <c r="CN75" s="1232"/>
      <c r="CO75" s="1232"/>
      <c r="CP75" s="1232"/>
      <c r="CQ75" s="1232"/>
      <c r="CR75" s="1232"/>
      <c r="CS75" s="1232"/>
      <c r="CT75" s="1232"/>
      <c r="CU75" s="1232"/>
      <c r="CV75" s="1232"/>
      <c r="CW75" s="1232"/>
      <c r="CX75" s="1232"/>
      <c r="CY75" s="1232"/>
      <c r="CZ75" s="1232"/>
      <c r="DA75" s="1232"/>
      <c r="DB75" s="1232"/>
      <c r="DC75" s="1232"/>
      <c r="DD75" s="1232"/>
      <c r="DE75" s="1232"/>
      <c r="DF75" s="1232"/>
      <c r="DG75" s="1232"/>
      <c r="DH75" s="1232"/>
      <c r="DI75" s="1232"/>
      <c r="DJ75" s="1232"/>
      <c r="DK75" s="1232"/>
      <c r="DL75" s="1233"/>
      <c r="DS75" s="109"/>
    </row>
    <row r="76" spans="1:165" ht="7.5" customHeight="1" thickBot="1">
      <c r="B76" s="1216"/>
      <c r="C76" s="1217"/>
      <c r="D76" s="1217"/>
      <c r="E76" s="1217"/>
      <c r="F76" s="1217"/>
      <c r="G76" s="1217"/>
      <c r="H76" s="1217"/>
      <c r="I76" s="1217"/>
      <c r="J76" s="1217"/>
      <c r="K76" s="1217"/>
      <c r="L76" s="1218"/>
      <c r="M76" s="1225"/>
      <c r="N76" s="1226"/>
      <c r="O76" s="1226"/>
      <c r="P76" s="1226"/>
      <c r="Q76" s="1226"/>
      <c r="R76" s="1226"/>
      <c r="S76" s="1226"/>
      <c r="T76" s="1226"/>
      <c r="U76" s="1226"/>
      <c r="V76" s="1226"/>
      <c r="W76" s="1226"/>
      <c r="X76" s="1226"/>
      <c r="Y76" s="1226"/>
      <c r="Z76" s="1226"/>
      <c r="AA76" s="1226"/>
      <c r="AB76" s="1226"/>
      <c r="AC76" s="1226"/>
      <c r="AD76" s="1226"/>
      <c r="AE76" s="1226"/>
      <c r="AF76" s="1226"/>
      <c r="AG76" s="1226"/>
      <c r="AH76" s="1226"/>
      <c r="AI76" s="1226"/>
      <c r="AJ76" s="1226"/>
      <c r="AK76" s="1226"/>
      <c r="AL76" s="1226"/>
      <c r="AM76" s="1226"/>
      <c r="AN76" s="1226"/>
      <c r="AO76" s="1226"/>
      <c r="AP76" s="1226"/>
      <c r="AQ76" s="1226"/>
      <c r="AR76" s="1227"/>
      <c r="AS76" s="1234"/>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c r="DD76" s="1235"/>
      <c r="DE76" s="1235"/>
      <c r="DF76" s="1235"/>
      <c r="DG76" s="1235"/>
      <c r="DH76" s="1235"/>
      <c r="DI76" s="1235"/>
      <c r="DJ76" s="1235"/>
      <c r="DK76" s="1235"/>
      <c r="DL76" s="1236"/>
    </row>
    <row r="77" spans="1:165" ht="15.65" customHeight="1" thickTop="1">
      <c r="B77" s="1237" t="s">
        <v>388</v>
      </c>
      <c r="C77" s="1238"/>
      <c r="D77" s="1238"/>
      <c r="E77" s="1238"/>
      <c r="F77" s="1238"/>
      <c r="G77" s="1238"/>
      <c r="H77" s="1238"/>
      <c r="I77" s="1238"/>
      <c r="J77" s="1238"/>
      <c r="K77" s="1238"/>
      <c r="L77" s="1239"/>
      <c r="M77" s="1246"/>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8"/>
      <c r="AL77" s="3424" t="s">
        <v>1351</v>
      </c>
      <c r="AM77" s="3424"/>
      <c r="AN77" s="3424"/>
      <c r="AO77" s="3424"/>
      <c r="AP77" s="3424"/>
      <c r="AQ77" s="3424"/>
      <c r="AR77" s="3424"/>
      <c r="AS77" s="3424"/>
      <c r="AT77" s="3424"/>
      <c r="AU77" s="3424"/>
      <c r="AV77" s="3424"/>
      <c r="AW77" s="3424"/>
      <c r="AX77" s="3424"/>
      <c r="AY77" s="3424"/>
      <c r="AZ77" s="3424"/>
      <c r="BA77" s="3424"/>
      <c r="BB77" s="3424"/>
      <c r="BC77" s="3424"/>
      <c r="BD77" s="3424"/>
      <c r="BE77" s="3424"/>
      <c r="BF77" s="3424"/>
      <c r="BG77" s="3424"/>
      <c r="BH77" s="3424"/>
      <c r="BI77" s="3424"/>
      <c r="BJ77" s="3424"/>
      <c r="BK77" s="3424"/>
      <c r="BL77" s="3424"/>
      <c r="BM77" s="3424"/>
      <c r="BN77" s="3424"/>
      <c r="BO77" s="3424"/>
      <c r="BP77" s="3424"/>
      <c r="BQ77" s="3424"/>
      <c r="BR77" s="3424"/>
      <c r="BS77" s="3424"/>
      <c r="BT77" s="3424"/>
      <c r="BU77" s="3424"/>
      <c r="BV77" s="3424"/>
      <c r="BW77" s="3424"/>
      <c r="BX77" s="3424"/>
      <c r="BY77" s="3424"/>
      <c r="BZ77" s="3424"/>
      <c r="CA77" s="3424"/>
      <c r="CB77" s="3424"/>
      <c r="CC77" s="3424"/>
      <c r="CD77" s="3424"/>
      <c r="CE77" s="3424"/>
      <c r="CF77" s="3424"/>
      <c r="CG77" s="3424"/>
      <c r="CH77" s="3424"/>
      <c r="CI77" s="3424"/>
      <c r="CJ77" s="3424"/>
      <c r="CK77" s="3424"/>
      <c r="CL77" s="3424"/>
      <c r="CM77" s="3424"/>
      <c r="CN77" s="3424"/>
      <c r="CO77" s="3424"/>
      <c r="CP77" s="3424"/>
      <c r="CQ77" s="3424"/>
      <c r="CR77" s="3424"/>
      <c r="CS77" s="3424"/>
      <c r="CT77" s="3424"/>
      <c r="CU77" s="3424"/>
      <c r="CV77" s="3424"/>
      <c r="CW77" s="3424"/>
      <c r="CX77" s="3424"/>
      <c r="CY77" s="3424"/>
      <c r="CZ77" s="3424"/>
      <c r="DA77" s="3424"/>
      <c r="DB77" s="3424"/>
      <c r="DC77" s="3424"/>
      <c r="DD77" s="3424"/>
      <c r="DE77" s="3424"/>
      <c r="DF77" s="3424"/>
      <c r="DG77" s="3424"/>
      <c r="DH77" s="3424"/>
      <c r="DI77" s="3424"/>
      <c r="DJ77" s="3424"/>
      <c r="DK77" s="3424"/>
      <c r="DL77" s="3424"/>
    </row>
    <row r="78" spans="1:165" ht="7.5" customHeight="1">
      <c r="B78" s="1240"/>
      <c r="C78" s="1241"/>
      <c r="D78" s="1241"/>
      <c r="E78" s="1241"/>
      <c r="F78" s="1241"/>
      <c r="G78" s="1241"/>
      <c r="H78" s="1241"/>
      <c r="I78" s="1241"/>
      <c r="J78" s="1241"/>
      <c r="K78" s="1241"/>
      <c r="L78" s="1242"/>
      <c r="M78" s="1249"/>
      <c r="N78" s="1250"/>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1"/>
      <c r="AL78" s="3424"/>
      <c r="AM78" s="3424"/>
      <c r="AN78" s="3424"/>
      <c r="AO78" s="3424"/>
      <c r="AP78" s="3424"/>
      <c r="AQ78" s="3424"/>
      <c r="AR78" s="3424"/>
      <c r="AS78" s="3424"/>
      <c r="AT78" s="3424"/>
      <c r="AU78" s="3424"/>
      <c r="AV78" s="3424"/>
      <c r="AW78" s="3424"/>
      <c r="AX78" s="3424"/>
      <c r="AY78" s="3424"/>
      <c r="AZ78" s="3424"/>
      <c r="BA78" s="3424"/>
      <c r="BB78" s="3424"/>
      <c r="BC78" s="3424"/>
      <c r="BD78" s="3424"/>
      <c r="BE78" s="3424"/>
      <c r="BF78" s="3424"/>
      <c r="BG78" s="3424"/>
      <c r="BH78" s="3424"/>
      <c r="BI78" s="3424"/>
      <c r="BJ78" s="3424"/>
      <c r="BK78" s="3424"/>
      <c r="BL78" s="3424"/>
      <c r="BM78" s="3424"/>
      <c r="BN78" s="3424"/>
      <c r="BO78" s="3424"/>
      <c r="BP78" s="3424"/>
      <c r="BQ78" s="3424"/>
      <c r="BR78" s="3424"/>
      <c r="BS78" s="3424"/>
      <c r="BT78" s="3424"/>
      <c r="BU78" s="3424"/>
      <c r="BV78" s="3424"/>
      <c r="BW78" s="3424"/>
      <c r="BX78" s="3424"/>
      <c r="BY78" s="3424"/>
      <c r="BZ78" s="3424"/>
      <c r="CA78" s="3424"/>
      <c r="CB78" s="3424"/>
      <c r="CC78" s="3424"/>
      <c r="CD78" s="3424"/>
      <c r="CE78" s="3424"/>
      <c r="CF78" s="3424"/>
      <c r="CG78" s="3424"/>
      <c r="CH78" s="3424"/>
      <c r="CI78" s="3424"/>
      <c r="CJ78" s="3424"/>
      <c r="CK78" s="3424"/>
      <c r="CL78" s="3424"/>
      <c r="CM78" s="3424"/>
      <c r="CN78" s="3424"/>
      <c r="CO78" s="3424"/>
      <c r="CP78" s="3424"/>
      <c r="CQ78" s="3424"/>
      <c r="CR78" s="3424"/>
      <c r="CS78" s="3424"/>
      <c r="CT78" s="3424"/>
      <c r="CU78" s="3424"/>
      <c r="CV78" s="3424"/>
      <c r="CW78" s="3424"/>
      <c r="CX78" s="3424"/>
      <c r="CY78" s="3424"/>
      <c r="CZ78" s="3424"/>
      <c r="DA78" s="3424"/>
      <c r="DB78" s="3424"/>
      <c r="DC78" s="3424"/>
      <c r="DD78" s="3424"/>
      <c r="DE78" s="3424"/>
      <c r="DF78" s="3424"/>
      <c r="DG78" s="3424"/>
      <c r="DH78" s="3424"/>
      <c r="DI78" s="3424"/>
      <c r="DJ78" s="3424"/>
      <c r="DK78" s="3424"/>
      <c r="DL78" s="3424"/>
    </row>
    <row r="79" spans="1:165" ht="7.5" customHeight="1">
      <c r="B79" s="1274"/>
      <c r="C79" s="1275"/>
      <c r="D79" s="1275"/>
      <c r="E79" s="1275"/>
      <c r="F79" s="1275"/>
      <c r="G79" s="1275"/>
      <c r="H79" s="1275"/>
      <c r="I79" s="1275"/>
      <c r="J79" s="1275"/>
      <c r="K79" s="1275"/>
      <c r="L79" s="1276"/>
      <c r="M79" s="2287"/>
      <c r="N79" s="2288"/>
      <c r="O79" s="2288"/>
      <c r="P79" s="2288"/>
      <c r="Q79" s="2288"/>
      <c r="R79" s="2288"/>
      <c r="S79" s="2288"/>
      <c r="T79" s="2288"/>
      <c r="U79" s="2288"/>
      <c r="V79" s="2288"/>
      <c r="W79" s="2288"/>
      <c r="X79" s="2288"/>
      <c r="Y79" s="2288"/>
      <c r="Z79" s="2288"/>
      <c r="AA79" s="2288"/>
      <c r="AB79" s="2288"/>
      <c r="AC79" s="2288"/>
      <c r="AD79" s="2288"/>
      <c r="AE79" s="2288"/>
      <c r="AF79" s="2288"/>
      <c r="AG79" s="2288"/>
      <c r="AH79" s="2288"/>
      <c r="AI79" s="2288"/>
      <c r="AJ79" s="2288"/>
      <c r="AK79" s="2289"/>
      <c r="AL79" s="3424"/>
      <c r="AM79" s="3424"/>
      <c r="AN79" s="3424"/>
      <c r="AO79" s="3424"/>
      <c r="AP79" s="3424"/>
      <c r="AQ79" s="3424"/>
      <c r="AR79" s="3424"/>
      <c r="AS79" s="3424"/>
      <c r="AT79" s="3424"/>
      <c r="AU79" s="3424"/>
      <c r="AV79" s="3424"/>
      <c r="AW79" s="3424"/>
      <c r="AX79" s="3424"/>
      <c r="AY79" s="3424"/>
      <c r="AZ79" s="3424"/>
      <c r="BA79" s="3424"/>
      <c r="BB79" s="3424"/>
      <c r="BC79" s="3424"/>
      <c r="BD79" s="3424"/>
      <c r="BE79" s="3424"/>
      <c r="BF79" s="3424"/>
      <c r="BG79" s="3424"/>
      <c r="BH79" s="3424"/>
      <c r="BI79" s="3424"/>
      <c r="BJ79" s="3424"/>
      <c r="BK79" s="3424"/>
      <c r="BL79" s="3424"/>
      <c r="BM79" s="3424"/>
      <c r="BN79" s="3424"/>
      <c r="BO79" s="3424"/>
      <c r="BP79" s="3424"/>
      <c r="BQ79" s="3424"/>
      <c r="BR79" s="3424"/>
      <c r="BS79" s="3424"/>
      <c r="BT79" s="3424"/>
      <c r="BU79" s="3424"/>
      <c r="BV79" s="3424"/>
      <c r="BW79" s="3424"/>
      <c r="BX79" s="3424"/>
      <c r="BY79" s="3424"/>
      <c r="BZ79" s="3424"/>
      <c r="CA79" s="3424"/>
      <c r="CB79" s="3424"/>
      <c r="CC79" s="3424"/>
      <c r="CD79" s="3424"/>
      <c r="CE79" s="3424"/>
      <c r="CF79" s="3424"/>
      <c r="CG79" s="3424"/>
      <c r="CH79" s="3424"/>
      <c r="CI79" s="3424"/>
      <c r="CJ79" s="3424"/>
      <c r="CK79" s="3424"/>
      <c r="CL79" s="3424"/>
      <c r="CM79" s="3424"/>
      <c r="CN79" s="3424"/>
      <c r="CO79" s="3424"/>
      <c r="CP79" s="3424"/>
      <c r="CQ79" s="3424"/>
      <c r="CR79" s="3424"/>
      <c r="CS79" s="3424"/>
      <c r="CT79" s="3424"/>
      <c r="CU79" s="3424"/>
      <c r="CV79" s="3424"/>
      <c r="CW79" s="3424"/>
      <c r="CX79" s="3424"/>
      <c r="CY79" s="3424"/>
      <c r="CZ79" s="3424"/>
      <c r="DA79" s="3424"/>
      <c r="DB79" s="3424"/>
      <c r="DC79" s="3424"/>
      <c r="DD79" s="3424"/>
      <c r="DE79" s="3424"/>
      <c r="DF79" s="3424"/>
      <c r="DG79" s="3424"/>
      <c r="DH79" s="3424"/>
      <c r="DI79" s="3424"/>
      <c r="DJ79" s="3424"/>
      <c r="DK79" s="3424"/>
      <c r="DL79" s="3424"/>
      <c r="DS79" s="109"/>
    </row>
    <row r="80" spans="1:165" ht="4.5" customHeight="1" thickBot="1">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row>
    <row r="81" spans="1:206" s="200" customFormat="1" ht="7.5" customHeight="1">
      <c r="A81" s="199"/>
      <c r="B81" s="3481" t="s">
        <v>1364</v>
      </c>
      <c r="C81" s="3482"/>
      <c r="D81" s="3482"/>
      <c r="E81" s="3482"/>
      <c r="F81" s="3482"/>
      <c r="G81" s="3482"/>
      <c r="H81" s="3482"/>
      <c r="I81" s="3482"/>
      <c r="J81" s="3482"/>
      <c r="K81" s="3482"/>
      <c r="L81" s="3482"/>
      <c r="M81" s="3482"/>
      <c r="N81" s="3482"/>
      <c r="O81" s="3482"/>
      <c r="P81" s="3482"/>
      <c r="Q81" s="3482"/>
      <c r="R81" s="3482"/>
      <c r="S81" s="3482"/>
      <c r="T81" s="3482"/>
      <c r="U81" s="3482"/>
      <c r="V81" s="3482"/>
      <c r="W81" s="3482"/>
      <c r="X81" s="3482"/>
      <c r="Y81" s="3482"/>
      <c r="Z81" s="3482"/>
      <c r="AA81" s="3482"/>
      <c r="AB81" s="3482"/>
      <c r="AC81" s="3482"/>
      <c r="AD81" s="3482"/>
      <c r="AE81" s="3482"/>
      <c r="AF81" s="3482"/>
      <c r="AG81" s="3482"/>
      <c r="AH81" s="3482"/>
      <c r="AI81" s="3482"/>
      <c r="AJ81" s="3482"/>
      <c r="AK81" s="3482"/>
      <c r="AL81" s="3482"/>
      <c r="AM81" s="3482"/>
      <c r="AN81" s="3482"/>
      <c r="AO81" s="3482"/>
      <c r="AP81" s="3482"/>
      <c r="AQ81" s="3482"/>
      <c r="AR81" s="3482"/>
      <c r="AS81" s="3482"/>
      <c r="AT81" s="3482"/>
      <c r="AU81" s="3482"/>
      <c r="AV81" s="3482"/>
      <c r="AW81" s="3482"/>
      <c r="AX81" s="3482"/>
      <c r="AY81" s="3482"/>
      <c r="AZ81" s="3482"/>
      <c r="BA81" s="3482"/>
      <c r="BB81" s="3482"/>
      <c r="BC81" s="3482"/>
      <c r="BD81" s="3482"/>
      <c r="BE81" s="3482"/>
      <c r="BF81" s="3482"/>
      <c r="BG81" s="3482"/>
      <c r="BH81" s="3482"/>
      <c r="BI81" s="3482"/>
      <c r="BJ81" s="3482"/>
      <c r="BK81" s="3482"/>
      <c r="BL81" s="3482"/>
      <c r="BM81" s="3482"/>
      <c r="BN81" s="3482"/>
      <c r="BO81" s="3482"/>
      <c r="BP81" s="3482"/>
      <c r="BQ81" s="3482"/>
      <c r="BR81" s="3482"/>
      <c r="BS81" s="3482"/>
      <c r="BT81" s="3482"/>
      <c r="BU81" s="3482"/>
      <c r="BV81" s="3482"/>
      <c r="BW81" s="3482"/>
      <c r="BX81" s="3482"/>
      <c r="BY81" s="3482"/>
      <c r="BZ81" s="3482"/>
      <c r="CA81" s="3482"/>
      <c r="CB81" s="3482"/>
      <c r="CC81" s="3482"/>
      <c r="CD81" s="3482"/>
      <c r="CE81" s="3482"/>
      <c r="CF81" s="3482"/>
      <c r="CG81" s="3482"/>
      <c r="CH81" s="3482"/>
      <c r="CI81" s="3482"/>
      <c r="CJ81" s="3482"/>
      <c r="CK81" s="3482"/>
      <c r="CL81" s="3482"/>
      <c r="CM81" s="3482"/>
      <c r="CN81" s="3482"/>
      <c r="CO81" s="3482"/>
      <c r="CP81" s="3482"/>
      <c r="CQ81" s="3482"/>
      <c r="CR81" s="3482"/>
      <c r="CS81" s="3482"/>
      <c r="CT81" s="3482"/>
      <c r="CU81" s="3482"/>
      <c r="CV81" s="3482"/>
      <c r="CW81" s="3482"/>
      <c r="CX81" s="3482"/>
      <c r="CY81" s="3482"/>
      <c r="CZ81" s="3482"/>
      <c r="DA81" s="3482"/>
      <c r="DB81" s="3482"/>
      <c r="DC81" s="3482"/>
      <c r="DD81" s="3482"/>
      <c r="DE81" s="3482"/>
      <c r="DF81" s="3482"/>
      <c r="DG81" s="3482"/>
      <c r="DH81" s="3482"/>
      <c r="DI81" s="3482"/>
      <c r="DJ81" s="3482"/>
      <c r="DK81" s="3482"/>
      <c r="DL81" s="3483"/>
      <c r="DM81" s="202"/>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row>
    <row r="82" spans="1:206" s="200" customFormat="1" ht="7.5" customHeight="1" thickBot="1">
      <c r="A82" s="199"/>
      <c r="B82" s="3484"/>
      <c r="C82" s="3485"/>
      <c r="D82" s="3485"/>
      <c r="E82" s="3485"/>
      <c r="F82" s="3485"/>
      <c r="G82" s="3485"/>
      <c r="H82" s="3485"/>
      <c r="I82" s="3485"/>
      <c r="J82" s="3485"/>
      <c r="K82" s="3485"/>
      <c r="L82" s="3485"/>
      <c r="M82" s="3485"/>
      <c r="N82" s="3485"/>
      <c r="O82" s="3485"/>
      <c r="P82" s="3485"/>
      <c r="Q82" s="3485"/>
      <c r="R82" s="3485"/>
      <c r="S82" s="3485"/>
      <c r="T82" s="3485"/>
      <c r="U82" s="3485"/>
      <c r="V82" s="3485"/>
      <c r="W82" s="3485"/>
      <c r="X82" s="3485"/>
      <c r="Y82" s="3485"/>
      <c r="Z82" s="3485"/>
      <c r="AA82" s="3485"/>
      <c r="AB82" s="3485"/>
      <c r="AC82" s="3485"/>
      <c r="AD82" s="3485"/>
      <c r="AE82" s="3485"/>
      <c r="AF82" s="3485"/>
      <c r="AG82" s="3485"/>
      <c r="AH82" s="3485"/>
      <c r="AI82" s="3485"/>
      <c r="AJ82" s="3485"/>
      <c r="AK82" s="3485"/>
      <c r="AL82" s="3485"/>
      <c r="AM82" s="3485"/>
      <c r="AN82" s="3485"/>
      <c r="AO82" s="3485"/>
      <c r="AP82" s="3485"/>
      <c r="AQ82" s="3485"/>
      <c r="AR82" s="3485"/>
      <c r="AS82" s="3485"/>
      <c r="AT82" s="3485"/>
      <c r="AU82" s="3485"/>
      <c r="AV82" s="3485"/>
      <c r="AW82" s="3485"/>
      <c r="AX82" s="3485"/>
      <c r="AY82" s="3485"/>
      <c r="AZ82" s="3485"/>
      <c r="BA82" s="3485"/>
      <c r="BB82" s="3485"/>
      <c r="BC82" s="3485"/>
      <c r="BD82" s="3485"/>
      <c r="BE82" s="3485"/>
      <c r="BF82" s="3485"/>
      <c r="BG82" s="3485"/>
      <c r="BH82" s="3485"/>
      <c r="BI82" s="3485"/>
      <c r="BJ82" s="3485"/>
      <c r="BK82" s="3485"/>
      <c r="BL82" s="3485"/>
      <c r="BM82" s="3485"/>
      <c r="BN82" s="3485"/>
      <c r="BO82" s="3485"/>
      <c r="BP82" s="3485"/>
      <c r="BQ82" s="3485"/>
      <c r="BR82" s="3485"/>
      <c r="BS82" s="3485"/>
      <c r="BT82" s="3485"/>
      <c r="BU82" s="3485"/>
      <c r="BV82" s="3485"/>
      <c r="BW82" s="3485"/>
      <c r="BX82" s="3485"/>
      <c r="BY82" s="3485"/>
      <c r="BZ82" s="3485"/>
      <c r="CA82" s="3485"/>
      <c r="CB82" s="3485"/>
      <c r="CC82" s="3485"/>
      <c r="CD82" s="3485"/>
      <c r="CE82" s="3485"/>
      <c r="CF82" s="3485"/>
      <c r="CG82" s="3485"/>
      <c r="CH82" s="3485"/>
      <c r="CI82" s="3485"/>
      <c r="CJ82" s="3485"/>
      <c r="CK82" s="3485"/>
      <c r="CL82" s="3485"/>
      <c r="CM82" s="3485"/>
      <c r="CN82" s="3485"/>
      <c r="CO82" s="3485"/>
      <c r="CP82" s="3485"/>
      <c r="CQ82" s="3485"/>
      <c r="CR82" s="3485"/>
      <c r="CS82" s="3485"/>
      <c r="CT82" s="3485"/>
      <c r="CU82" s="3485"/>
      <c r="CV82" s="3485"/>
      <c r="CW82" s="3485"/>
      <c r="CX82" s="3485"/>
      <c r="CY82" s="3485"/>
      <c r="CZ82" s="3485"/>
      <c r="DA82" s="3485"/>
      <c r="DB82" s="3485"/>
      <c r="DC82" s="3485"/>
      <c r="DD82" s="3485"/>
      <c r="DE82" s="3485"/>
      <c r="DF82" s="3485"/>
      <c r="DG82" s="3485"/>
      <c r="DH82" s="3485"/>
      <c r="DI82" s="3485"/>
      <c r="DJ82" s="3485"/>
      <c r="DK82" s="3485"/>
      <c r="DL82" s="3486"/>
      <c r="DM82" s="20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row>
    <row r="83" spans="1:206" ht="7.5" customHeight="1" thickTop="1">
      <c r="B83" s="1237" t="s">
        <v>241</v>
      </c>
      <c r="C83" s="1238"/>
      <c r="D83" s="1238"/>
      <c r="E83" s="1238"/>
      <c r="F83" s="1238"/>
      <c r="G83" s="1238"/>
      <c r="H83" s="1238"/>
      <c r="I83" s="1239"/>
      <c r="J83" s="1760"/>
      <c r="K83" s="1761"/>
      <c r="L83" s="1761"/>
      <c r="M83" s="1761"/>
      <c r="N83" s="1761"/>
      <c r="O83" s="1761"/>
      <c r="P83" s="1761"/>
      <c r="Q83" s="1761"/>
      <c r="R83" s="1761"/>
      <c r="S83" s="1761"/>
      <c r="T83" s="1761"/>
      <c r="U83" s="3487"/>
      <c r="V83" s="3489" t="s">
        <v>242</v>
      </c>
      <c r="W83" s="3266"/>
      <c r="X83" s="3266"/>
      <c r="Y83" s="3266"/>
      <c r="Z83" s="3266"/>
      <c r="AA83" s="3266"/>
      <c r="AB83" s="3266"/>
      <c r="AC83" s="3385"/>
      <c r="AD83" s="3397"/>
      <c r="AE83" s="1761"/>
      <c r="AF83" s="1761"/>
      <c r="AG83" s="1761"/>
      <c r="AH83" s="1761"/>
      <c r="AI83" s="1761"/>
      <c r="AJ83" s="1761"/>
      <c r="AK83" s="1761"/>
      <c r="AL83" s="1761"/>
      <c r="AM83" s="1761"/>
      <c r="AN83" s="1761"/>
      <c r="AO83" s="1761"/>
      <c r="AP83" s="1761"/>
      <c r="AQ83" s="1761"/>
      <c r="AR83" s="1761"/>
      <c r="AS83" s="3489" t="s">
        <v>391</v>
      </c>
      <c r="AT83" s="3266"/>
      <c r="AU83" s="3266"/>
      <c r="AV83" s="3266"/>
      <c r="AW83" s="3266"/>
      <c r="AX83" s="3266"/>
      <c r="AY83" s="3266"/>
      <c r="AZ83" s="3391"/>
      <c r="BA83" s="2042"/>
      <c r="BB83" s="1697"/>
      <c r="BC83" s="1697"/>
      <c r="BD83" s="1697"/>
      <c r="BE83" s="1697"/>
      <c r="BF83" s="3495" t="s">
        <v>1407</v>
      </c>
      <c r="BG83" s="3496"/>
      <c r="BH83" s="3496"/>
      <c r="BI83" s="3496"/>
      <c r="BJ83" s="3496"/>
      <c r="BK83" s="3496"/>
      <c r="BL83" s="3496"/>
      <c r="BM83" s="3496"/>
      <c r="BN83" s="3496"/>
      <c r="BO83" s="3490"/>
      <c r="BP83" s="1364"/>
      <c r="BQ83" s="3491"/>
      <c r="BR83" s="1404" t="s">
        <v>392</v>
      </c>
      <c r="BS83" s="1238"/>
      <c r="BT83" s="1238"/>
      <c r="BU83" s="1238"/>
      <c r="BV83" s="1238"/>
      <c r="BW83" s="1238"/>
      <c r="BX83" s="1238"/>
      <c r="BY83" s="1239"/>
      <c r="BZ83" s="3524"/>
      <c r="CA83" s="3525"/>
      <c r="CB83" s="3525"/>
      <c r="CC83" s="3525"/>
      <c r="CD83" s="3525"/>
      <c r="CE83" s="3525"/>
      <c r="CF83" s="3525"/>
      <c r="CG83" s="3525"/>
      <c r="CH83" s="3525"/>
      <c r="CI83" s="3525"/>
      <c r="CJ83" s="3525"/>
      <c r="CK83" s="3525"/>
      <c r="CL83" s="3525"/>
      <c r="CM83" s="3525"/>
      <c r="CN83" s="3525"/>
      <c r="CO83" s="3525"/>
      <c r="CP83" s="3525"/>
      <c r="CQ83" s="3525"/>
      <c r="CR83" s="3525"/>
      <c r="CS83" s="3525"/>
      <c r="CT83" s="3525"/>
      <c r="CU83" s="3525"/>
      <c r="CV83" s="3525"/>
      <c r="CW83" s="3525"/>
      <c r="CX83" s="3526"/>
      <c r="CY83" s="3370" t="s">
        <v>1103</v>
      </c>
      <c r="CZ83" s="3370"/>
      <c r="DA83" s="3370"/>
      <c r="DB83" s="3370"/>
      <c r="DC83" s="3370"/>
      <c r="DD83" s="3370"/>
      <c r="DE83" s="3370"/>
      <c r="DF83" s="3371"/>
      <c r="DG83" s="3411"/>
      <c r="DH83" s="3412"/>
      <c r="DI83" s="3412"/>
      <c r="DJ83" s="3412"/>
      <c r="DK83" s="3412"/>
      <c r="DL83" s="341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row>
    <row r="84" spans="1:206" ht="7.5" customHeight="1">
      <c r="B84" s="1240"/>
      <c r="C84" s="1241"/>
      <c r="D84" s="1241"/>
      <c r="E84" s="1241"/>
      <c r="F84" s="1241"/>
      <c r="G84" s="1241"/>
      <c r="H84" s="1241"/>
      <c r="I84" s="1242"/>
      <c r="J84" s="1763"/>
      <c r="K84" s="1641"/>
      <c r="L84" s="1641"/>
      <c r="M84" s="1641"/>
      <c r="N84" s="1641"/>
      <c r="O84" s="1641"/>
      <c r="P84" s="1641"/>
      <c r="Q84" s="1641"/>
      <c r="R84" s="1641"/>
      <c r="S84" s="1641"/>
      <c r="T84" s="1641"/>
      <c r="U84" s="1642"/>
      <c r="V84" s="1432"/>
      <c r="W84" s="774"/>
      <c r="X84" s="774"/>
      <c r="Y84" s="774"/>
      <c r="Z84" s="774"/>
      <c r="AA84" s="774"/>
      <c r="AB84" s="774"/>
      <c r="AC84" s="3387"/>
      <c r="AD84" s="3399"/>
      <c r="AE84" s="1641"/>
      <c r="AF84" s="1641"/>
      <c r="AG84" s="1641"/>
      <c r="AH84" s="1641"/>
      <c r="AI84" s="1641"/>
      <c r="AJ84" s="1641"/>
      <c r="AK84" s="1641"/>
      <c r="AL84" s="1641"/>
      <c r="AM84" s="1641"/>
      <c r="AN84" s="1641"/>
      <c r="AO84" s="1641"/>
      <c r="AP84" s="1641"/>
      <c r="AQ84" s="1641"/>
      <c r="AR84" s="1641"/>
      <c r="AS84" s="1432"/>
      <c r="AT84" s="774"/>
      <c r="AU84" s="774"/>
      <c r="AV84" s="774"/>
      <c r="AW84" s="774"/>
      <c r="AX84" s="774"/>
      <c r="AY84" s="774"/>
      <c r="AZ84" s="1750"/>
      <c r="BA84" s="2043"/>
      <c r="BB84" s="1577"/>
      <c r="BC84" s="1577"/>
      <c r="BD84" s="1577"/>
      <c r="BE84" s="1577"/>
      <c r="BF84" s="3497"/>
      <c r="BG84" s="3498"/>
      <c r="BH84" s="3498"/>
      <c r="BI84" s="3498"/>
      <c r="BJ84" s="3498"/>
      <c r="BK84" s="3498"/>
      <c r="BL84" s="3498"/>
      <c r="BM84" s="3498"/>
      <c r="BN84" s="3498"/>
      <c r="BO84" s="3492"/>
      <c r="BP84" s="1367"/>
      <c r="BQ84" s="1428"/>
      <c r="BR84" s="1405"/>
      <c r="BS84" s="1241"/>
      <c r="BT84" s="1241"/>
      <c r="BU84" s="1241"/>
      <c r="BV84" s="1241"/>
      <c r="BW84" s="1241"/>
      <c r="BX84" s="1241"/>
      <c r="BY84" s="1242"/>
      <c r="BZ84" s="3366"/>
      <c r="CA84" s="2083"/>
      <c r="CB84" s="2083"/>
      <c r="CC84" s="2083"/>
      <c r="CD84" s="2083"/>
      <c r="CE84" s="2083"/>
      <c r="CF84" s="2083"/>
      <c r="CG84" s="2083"/>
      <c r="CH84" s="2083"/>
      <c r="CI84" s="2083"/>
      <c r="CJ84" s="2083"/>
      <c r="CK84" s="2083"/>
      <c r="CL84" s="2083"/>
      <c r="CM84" s="2083"/>
      <c r="CN84" s="2083"/>
      <c r="CO84" s="2083"/>
      <c r="CP84" s="2083"/>
      <c r="CQ84" s="2083"/>
      <c r="CR84" s="2083"/>
      <c r="CS84" s="2083"/>
      <c r="CT84" s="2083"/>
      <c r="CU84" s="2083"/>
      <c r="CV84" s="2083"/>
      <c r="CW84" s="2083"/>
      <c r="CX84" s="3527"/>
      <c r="CY84" s="3185"/>
      <c r="CZ84" s="3185"/>
      <c r="DA84" s="3185"/>
      <c r="DB84" s="3185"/>
      <c r="DC84" s="3185"/>
      <c r="DD84" s="3185"/>
      <c r="DE84" s="3185"/>
      <c r="DF84" s="3373"/>
      <c r="DG84" s="3414"/>
      <c r="DH84" s="3415"/>
      <c r="DI84" s="3415"/>
      <c r="DJ84" s="3415"/>
      <c r="DK84" s="3415"/>
      <c r="DL84" s="3416"/>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row>
    <row r="85" spans="1:206" ht="7.5" customHeight="1">
      <c r="B85" s="1335"/>
      <c r="C85" s="1336"/>
      <c r="D85" s="1336"/>
      <c r="E85" s="1336"/>
      <c r="F85" s="1336"/>
      <c r="G85" s="1336"/>
      <c r="H85" s="1336"/>
      <c r="I85" s="1337"/>
      <c r="J85" s="3488"/>
      <c r="K85" s="1644"/>
      <c r="L85" s="1644"/>
      <c r="M85" s="1644"/>
      <c r="N85" s="1644"/>
      <c r="O85" s="1644"/>
      <c r="P85" s="1644"/>
      <c r="Q85" s="1644"/>
      <c r="R85" s="1644"/>
      <c r="S85" s="1644"/>
      <c r="T85" s="1644"/>
      <c r="U85" s="1642"/>
      <c r="V85" s="1432"/>
      <c r="W85" s="774"/>
      <c r="X85" s="774"/>
      <c r="Y85" s="774"/>
      <c r="Z85" s="774"/>
      <c r="AA85" s="774"/>
      <c r="AB85" s="774"/>
      <c r="AC85" s="3387"/>
      <c r="AD85" s="3399"/>
      <c r="AE85" s="1641"/>
      <c r="AF85" s="1641"/>
      <c r="AG85" s="1641"/>
      <c r="AH85" s="1641"/>
      <c r="AI85" s="1641"/>
      <c r="AJ85" s="1641"/>
      <c r="AK85" s="1641"/>
      <c r="AL85" s="1641"/>
      <c r="AM85" s="1641"/>
      <c r="AN85" s="1641"/>
      <c r="AO85" s="1641"/>
      <c r="AP85" s="1641"/>
      <c r="AQ85" s="1641"/>
      <c r="AR85" s="1641"/>
      <c r="AS85" s="1432"/>
      <c r="AT85" s="774"/>
      <c r="AU85" s="774"/>
      <c r="AV85" s="774"/>
      <c r="AW85" s="774"/>
      <c r="AX85" s="774"/>
      <c r="AY85" s="774"/>
      <c r="AZ85" s="1750"/>
      <c r="BA85" s="2043"/>
      <c r="BB85" s="1577"/>
      <c r="BC85" s="1577"/>
      <c r="BD85" s="1577"/>
      <c r="BE85" s="1577"/>
      <c r="BF85" s="3499"/>
      <c r="BG85" s="3500"/>
      <c r="BH85" s="3500"/>
      <c r="BI85" s="3500"/>
      <c r="BJ85" s="3500"/>
      <c r="BK85" s="3500"/>
      <c r="BL85" s="3500"/>
      <c r="BM85" s="3500"/>
      <c r="BN85" s="3500"/>
      <c r="BO85" s="3493"/>
      <c r="BP85" s="1370"/>
      <c r="BQ85" s="3494"/>
      <c r="BR85" s="3501"/>
      <c r="BS85" s="1336"/>
      <c r="BT85" s="1336"/>
      <c r="BU85" s="1336"/>
      <c r="BV85" s="1336"/>
      <c r="BW85" s="1336"/>
      <c r="BX85" s="1336"/>
      <c r="BY85" s="1337"/>
      <c r="BZ85" s="3528"/>
      <c r="CA85" s="2084"/>
      <c r="CB85" s="2084"/>
      <c r="CC85" s="2084"/>
      <c r="CD85" s="2084"/>
      <c r="CE85" s="2084"/>
      <c r="CF85" s="2084"/>
      <c r="CG85" s="2084"/>
      <c r="CH85" s="2084"/>
      <c r="CI85" s="2084"/>
      <c r="CJ85" s="2084"/>
      <c r="CK85" s="2084"/>
      <c r="CL85" s="2084"/>
      <c r="CM85" s="2084"/>
      <c r="CN85" s="2084"/>
      <c r="CO85" s="2084"/>
      <c r="CP85" s="2084"/>
      <c r="CQ85" s="2084"/>
      <c r="CR85" s="2084"/>
      <c r="CS85" s="2084"/>
      <c r="CT85" s="2084"/>
      <c r="CU85" s="2084"/>
      <c r="CV85" s="2084"/>
      <c r="CW85" s="2084"/>
      <c r="CX85" s="3529"/>
      <c r="CY85" s="3185"/>
      <c r="CZ85" s="3185"/>
      <c r="DA85" s="3185"/>
      <c r="DB85" s="3185"/>
      <c r="DC85" s="3185"/>
      <c r="DD85" s="3185"/>
      <c r="DE85" s="3185"/>
      <c r="DF85" s="3373"/>
      <c r="DG85" s="3414"/>
      <c r="DH85" s="3415"/>
      <c r="DI85" s="3415"/>
      <c r="DJ85" s="3415"/>
      <c r="DK85" s="3415"/>
      <c r="DL85" s="3416"/>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row>
    <row r="86" spans="1:206" ht="7.5" customHeight="1">
      <c r="B86" s="1476" t="s">
        <v>393</v>
      </c>
      <c r="C86" s="774"/>
      <c r="D86" s="774"/>
      <c r="E86" s="774"/>
      <c r="F86" s="774"/>
      <c r="G86" s="774"/>
      <c r="H86" s="774"/>
      <c r="I86" s="1750"/>
      <c r="J86" s="3530">
        <v>20</v>
      </c>
      <c r="K86" s="3531"/>
      <c r="L86" s="3531"/>
      <c r="M86" s="3532"/>
      <c r="N86" s="3536"/>
      <c r="O86" s="3536"/>
      <c r="P86" s="3536"/>
      <c r="Q86" s="3536"/>
      <c r="R86" s="3537" t="s">
        <v>0</v>
      </c>
      <c r="S86" s="3538"/>
      <c r="T86" s="3538"/>
      <c r="U86" s="3541"/>
      <c r="V86" s="3536"/>
      <c r="W86" s="3536"/>
      <c r="X86" s="3536"/>
      <c r="Y86" s="3537" t="s">
        <v>1</v>
      </c>
      <c r="Z86" s="3538"/>
      <c r="AA86" s="3538"/>
      <c r="AB86" s="3544">
        <v>1</v>
      </c>
      <c r="AC86" s="3544"/>
      <c r="AD86" s="3544"/>
      <c r="AE86" s="3514" t="s">
        <v>394</v>
      </c>
      <c r="AF86" s="3514"/>
      <c r="AG86" s="3514"/>
      <c r="AH86" s="3514"/>
      <c r="AI86" s="3515" t="s">
        <v>395</v>
      </c>
      <c r="AJ86" s="3516"/>
      <c r="AK86" s="3516"/>
      <c r="AL86" s="3516"/>
      <c r="AM86" s="3516"/>
      <c r="AN86" s="3516"/>
      <c r="AO86" s="3516"/>
      <c r="AP86" s="3516"/>
      <c r="AQ86" s="3516"/>
      <c r="AR86" s="3516"/>
      <c r="AS86" s="3516"/>
      <c r="AT86" s="3516"/>
      <c r="AU86" s="3516"/>
      <c r="AV86" s="3516"/>
      <c r="AW86" s="3516"/>
      <c r="AX86" s="3516"/>
      <c r="AY86" s="3516"/>
      <c r="AZ86" s="3516"/>
      <c r="BA86" s="3516"/>
      <c r="BB86" s="3516"/>
      <c r="BC86" s="3517"/>
      <c r="BD86" s="3502" t="s">
        <v>1490</v>
      </c>
      <c r="BE86" s="3503"/>
      <c r="BF86" s="3503"/>
      <c r="BG86" s="3503"/>
      <c r="BH86" s="3503"/>
      <c r="BI86" s="3503"/>
      <c r="BJ86" s="3503"/>
      <c r="BK86" s="3503"/>
      <c r="BL86" s="3503"/>
      <c r="BM86" s="3503"/>
      <c r="BN86" s="3503"/>
      <c r="BO86" s="3427" t="s">
        <v>1491</v>
      </c>
      <c r="BP86" s="3427"/>
      <c r="BQ86" s="3427"/>
      <c r="BR86" s="3427"/>
      <c r="BS86" s="3427"/>
      <c r="BT86" s="3427"/>
      <c r="BU86" s="3427"/>
      <c r="BV86" s="3427"/>
      <c r="BW86" s="3427"/>
      <c r="BX86" s="3427"/>
      <c r="BY86" s="3427"/>
      <c r="BZ86" s="3508"/>
      <c r="CA86" s="3432"/>
      <c r="CB86" s="3432"/>
      <c r="CC86" s="3432"/>
      <c r="CD86" s="3432"/>
      <c r="CE86" s="3432"/>
      <c r="CF86" s="3432"/>
      <c r="CG86" s="3432"/>
      <c r="CH86" s="3432"/>
      <c r="CI86" s="3432"/>
      <c r="CJ86" s="3432"/>
      <c r="CK86" s="3432"/>
      <c r="CL86" s="3432"/>
      <c r="CM86" s="3509"/>
      <c r="CN86" s="3426" t="s">
        <v>1492</v>
      </c>
      <c r="CO86" s="3427"/>
      <c r="CP86" s="3427"/>
      <c r="CQ86" s="3427"/>
      <c r="CR86" s="3427"/>
      <c r="CS86" s="3432"/>
      <c r="CT86" s="3432"/>
      <c r="CU86" s="3432"/>
      <c r="CV86" s="3432"/>
      <c r="CW86" s="3432"/>
      <c r="CX86" s="3433"/>
      <c r="CY86" s="3426" t="s">
        <v>1282</v>
      </c>
      <c r="CZ86" s="3427"/>
      <c r="DA86" s="3427"/>
      <c r="DB86" s="3427"/>
      <c r="DC86" s="3427"/>
      <c r="DD86" s="3432"/>
      <c r="DE86" s="3432"/>
      <c r="DF86" s="3432"/>
      <c r="DG86" s="3438"/>
      <c r="DH86" s="3438"/>
      <c r="DI86" s="3438"/>
      <c r="DJ86" s="3438"/>
      <c r="DK86" s="3438"/>
      <c r="DL86" s="3439"/>
      <c r="DM86" s="694"/>
      <c r="DN86" s="110"/>
      <c r="DO86" s="110"/>
      <c r="DP86" s="110"/>
      <c r="DQ86" s="110"/>
      <c r="DR86" s="110"/>
      <c r="DS86" s="110"/>
      <c r="DT86" s="110"/>
      <c r="DU86" s="110"/>
      <c r="DV86" s="110"/>
      <c r="DW86" s="110"/>
      <c r="GA86" s="210"/>
      <c r="GB86" s="210"/>
      <c r="GC86" s="210"/>
      <c r="GD86" s="210"/>
      <c r="GE86" s="210"/>
      <c r="GF86" s="210"/>
      <c r="GG86" s="210"/>
      <c r="GH86" s="210"/>
      <c r="GI86" s="211"/>
      <c r="GJ86" s="211"/>
      <c r="GK86" s="211"/>
      <c r="GL86" s="211"/>
      <c r="GM86" s="211"/>
      <c r="GN86" s="211"/>
      <c r="GO86" s="211"/>
      <c r="GP86" s="211"/>
      <c r="GQ86" s="210"/>
      <c r="GR86" s="210"/>
      <c r="GS86" s="210"/>
      <c r="GT86" s="210"/>
      <c r="GU86" s="210"/>
      <c r="GV86" s="210"/>
      <c r="GW86" s="210"/>
      <c r="GX86" s="210"/>
    </row>
    <row r="87" spans="1:206" ht="7.5" customHeight="1">
      <c r="B87" s="1476"/>
      <c r="C87" s="774"/>
      <c r="D87" s="774"/>
      <c r="E87" s="774"/>
      <c r="F87" s="774"/>
      <c r="G87" s="774"/>
      <c r="H87" s="774"/>
      <c r="I87" s="1750"/>
      <c r="J87" s="3326"/>
      <c r="K87" s="1338"/>
      <c r="L87" s="1338"/>
      <c r="M87" s="3533"/>
      <c r="N87" s="1344"/>
      <c r="O87" s="1344"/>
      <c r="P87" s="1344"/>
      <c r="Q87" s="1344"/>
      <c r="R87" s="3539"/>
      <c r="S87" s="1342"/>
      <c r="T87" s="1342"/>
      <c r="U87" s="3542"/>
      <c r="V87" s="1344"/>
      <c r="W87" s="1344"/>
      <c r="X87" s="1344"/>
      <c r="Y87" s="3539"/>
      <c r="Z87" s="1342"/>
      <c r="AA87" s="1342"/>
      <c r="AB87" s="1346"/>
      <c r="AC87" s="1346"/>
      <c r="AD87" s="1346"/>
      <c r="AE87" s="1348"/>
      <c r="AF87" s="1348"/>
      <c r="AG87" s="1348"/>
      <c r="AH87" s="1348"/>
      <c r="AI87" s="3518"/>
      <c r="AJ87" s="3519"/>
      <c r="AK87" s="3519"/>
      <c r="AL87" s="3519"/>
      <c r="AM87" s="3519"/>
      <c r="AN87" s="3519"/>
      <c r="AO87" s="3519"/>
      <c r="AP87" s="3519"/>
      <c r="AQ87" s="3519"/>
      <c r="AR87" s="3519"/>
      <c r="AS87" s="3519"/>
      <c r="AT87" s="3519"/>
      <c r="AU87" s="3519"/>
      <c r="AV87" s="3519"/>
      <c r="AW87" s="3519"/>
      <c r="AX87" s="3519"/>
      <c r="AY87" s="3519"/>
      <c r="AZ87" s="3519"/>
      <c r="BA87" s="3519"/>
      <c r="BB87" s="3519"/>
      <c r="BC87" s="3520"/>
      <c r="BD87" s="3504"/>
      <c r="BE87" s="3505"/>
      <c r="BF87" s="3505"/>
      <c r="BG87" s="3505"/>
      <c r="BH87" s="3505"/>
      <c r="BI87" s="3505"/>
      <c r="BJ87" s="3505"/>
      <c r="BK87" s="3505"/>
      <c r="BL87" s="3505"/>
      <c r="BM87" s="3505"/>
      <c r="BN87" s="3505"/>
      <c r="BO87" s="3429"/>
      <c r="BP87" s="3429"/>
      <c r="BQ87" s="3429"/>
      <c r="BR87" s="3429"/>
      <c r="BS87" s="3429"/>
      <c r="BT87" s="3429"/>
      <c r="BU87" s="3429"/>
      <c r="BV87" s="3429"/>
      <c r="BW87" s="3429"/>
      <c r="BX87" s="3429"/>
      <c r="BY87" s="3429"/>
      <c r="BZ87" s="3510"/>
      <c r="CA87" s="3434"/>
      <c r="CB87" s="3434"/>
      <c r="CC87" s="3434"/>
      <c r="CD87" s="3434"/>
      <c r="CE87" s="3434"/>
      <c r="CF87" s="3434"/>
      <c r="CG87" s="3434"/>
      <c r="CH87" s="3434"/>
      <c r="CI87" s="3434"/>
      <c r="CJ87" s="3434"/>
      <c r="CK87" s="3434"/>
      <c r="CL87" s="3434"/>
      <c r="CM87" s="3511"/>
      <c r="CN87" s="3428"/>
      <c r="CO87" s="3429"/>
      <c r="CP87" s="3429"/>
      <c r="CQ87" s="3429"/>
      <c r="CR87" s="3429"/>
      <c r="CS87" s="3434"/>
      <c r="CT87" s="3434"/>
      <c r="CU87" s="3434"/>
      <c r="CV87" s="3434"/>
      <c r="CW87" s="3434"/>
      <c r="CX87" s="3435"/>
      <c r="CY87" s="3428"/>
      <c r="CZ87" s="3429"/>
      <c r="DA87" s="3429"/>
      <c r="DB87" s="3429"/>
      <c r="DC87" s="3429"/>
      <c r="DD87" s="3434"/>
      <c r="DE87" s="3434"/>
      <c r="DF87" s="3434"/>
      <c r="DG87" s="3440"/>
      <c r="DH87" s="3440"/>
      <c r="DI87" s="3440"/>
      <c r="DJ87" s="3440"/>
      <c r="DK87" s="3440"/>
      <c r="DL87" s="3441"/>
      <c r="DM87" s="694"/>
      <c r="GA87" s="210"/>
      <c r="GB87" s="210"/>
      <c r="GC87" s="210"/>
      <c r="GD87" s="210"/>
      <c r="GE87" s="210"/>
      <c r="GF87" s="210"/>
      <c r="GG87" s="210"/>
      <c r="GH87" s="210"/>
      <c r="GI87" s="211"/>
      <c r="GJ87" s="211"/>
      <c r="GK87" s="211"/>
      <c r="GL87" s="211"/>
      <c r="GM87" s="211"/>
      <c r="GN87" s="211"/>
      <c r="GO87" s="211"/>
      <c r="GP87" s="211"/>
      <c r="GQ87" s="210"/>
      <c r="GR87" s="210"/>
      <c r="GS87" s="210"/>
      <c r="GT87" s="210"/>
      <c r="GU87" s="210"/>
      <c r="GV87" s="210"/>
      <c r="GW87" s="210"/>
      <c r="GX87" s="210"/>
    </row>
    <row r="88" spans="1:206" ht="7.5" customHeight="1">
      <c r="B88" s="1476"/>
      <c r="C88" s="774"/>
      <c r="D88" s="774"/>
      <c r="E88" s="774"/>
      <c r="F88" s="774"/>
      <c r="G88" s="774"/>
      <c r="H88" s="774"/>
      <c r="I88" s="1750"/>
      <c r="J88" s="3534"/>
      <c r="K88" s="1339"/>
      <c r="L88" s="1339"/>
      <c r="M88" s="3535"/>
      <c r="N88" s="1345"/>
      <c r="O88" s="1345"/>
      <c r="P88" s="1345"/>
      <c r="Q88" s="1345"/>
      <c r="R88" s="3540"/>
      <c r="S88" s="1343"/>
      <c r="T88" s="1343"/>
      <c r="U88" s="3543"/>
      <c r="V88" s="1345"/>
      <c r="W88" s="1345"/>
      <c r="X88" s="1345"/>
      <c r="Y88" s="3540"/>
      <c r="Z88" s="1343"/>
      <c r="AA88" s="1343"/>
      <c r="AB88" s="1848"/>
      <c r="AC88" s="1848"/>
      <c r="AD88" s="1848"/>
      <c r="AE88" s="1777"/>
      <c r="AF88" s="1777"/>
      <c r="AG88" s="1777"/>
      <c r="AH88" s="1777"/>
      <c r="AI88" s="3521"/>
      <c r="AJ88" s="3522"/>
      <c r="AK88" s="3522"/>
      <c r="AL88" s="3522"/>
      <c r="AM88" s="3522"/>
      <c r="AN88" s="3522"/>
      <c r="AO88" s="3522"/>
      <c r="AP88" s="3522"/>
      <c r="AQ88" s="3522"/>
      <c r="AR88" s="3522"/>
      <c r="AS88" s="3522"/>
      <c r="AT88" s="3522"/>
      <c r="AU88" s="3522"/>
      <c r="AV88" s="3522"/>
      <c r="AW88" s="3522"/>
      <c r="AX88" s="3522"/>
      <c r="AY88" s="3522"/>
      <c r="AZ88" s="3522"/>
      <c r="BA88" s="3522"/>
      <c r="BB88" s="3522"/>
      <c r="BC88" s="3523"/>
      <c r="BD88" s="3506"/>
      <c r="BE88" s="3507"/>
      <c r="BF88" s="3507"/>
      <c r="BG88" s="3507"/>
      <c r="BH88" s="3507"/>
      <c r="BI88" s="3507"/>
      <c r="BJ88" s="3507"/>
      <c r="BK88" s="3507"/>
      <c r="BL88" s="3507"/>
      <c r="BM88" s="3507"/>
      <c r="BN88" s="3507"/>
      <c r="BO88" s="3431"/>
      <c r="BP88" s="3431"/>
      <c r="BQ88" s="3431"/>
      <c r="BR88" s="3431"/>
      <c r="BS88" s="3431"/>
      <c r="BT88" s="3431"/>
      <c r="BU88" s="3431"/>
      <c r="BV88" s="3431"/>
      <c r="BW88" s="3431"/>
      <c r="BX88" s="3431"/>
      <c r="BY88" s="3431"/>
      <c r="BZ88" s="3512"/>
      <c r="CA88" s="3436"/>
      <c r="CB88" s="3436"/>
      <c r="CC88" s="3436"/>
      <c r="CD88" s="3436"/>
      <c r="CE88" s="3436"/>
      <c r="CF88" s="3436"/>
      <c r="CG88" s="3436"/>
      <c r="CH88" s="3436"/>
      <c r="CI88" s="3436"/>
      <c r="CJ88" s="3436"/>
      <c r="CK88" s="3436"/>
      <c r="CL88" s="3436"/>
      <c r="CM88" s="3513"/>
      <c r="CN88" s="3430"/>
      <c r="CO88" s="3431"/>
      <c r="CP88" s="3431"/>
      <c r="CQ88" s="3431"/>
      <c r="CR88" s="3431"/>
      <c r="CS88" s="3436"/>
      <c r="CT88" s="3436"/>
      <c r="CU88" s="3436"/>
      <c r="CV88" s="3436"/>
      <c r="CW88" s="3436"/>
      <c r="CX88" s="3437"/>
      <c r="CY88" s="3430"/>
      <c r="CZ88" s="3431"/>
      <c r="DA88" s="3431"/>
      <c r="DB88" s="3431"/>
      <c r="DC88" s="3431"/>
      <c r="DD88" s="3436"/>
      <c r="DE88" s="3436"/>
      <c r="DF88" s="3436"/>
      <c r="DG88" s="3442"/>
      <c r="DH88" s="3442"/>
      <c r="DI88" s="3442"/>
      <c r="DJ88" s="3442"/>
      <c r="DK88" s="3442"/>
      <c r="DL88" s="3443"/>
      <c r="DM88" s="694"/>
    </row>
    <row r="89" spans="1:206" ht="7.5" customHeight="1">
      <c r="B89" s="1475" t="s">
        <v>1368</v>
      </c>
      <c r="C89" s="1430"/>
      <c r="D89" s="1430"/>
      <c r="E89" s="1430"/>
      <c r="F89" s="1430"/>
      <c r="G89" s="1430"/>
      <c r="H89" s="1430"/>
      <c r="I89" s="3545"/>
      <c r="J89" s="3459" t="s">
        <v>1369</v>
      </c>
      <c r="K89" s="3460"/>
      <c r="L89" s="3460"/>
      <c r="M89" s="3460"/>
      <c r="N89" s="3460"/>
      <c r="O89" s="3460"/>
      <c r="P89" s="3460"/>
      <c r="Q89" s="3460"/>
      <c r="R89" s="3460"/>
      <c r="S89" s="3460"/>
      <c r="T89" s="3461"/>
      <c r="U89" s="3468"/>
      <c r="V89" s="3469"/>
      <c r="W89" s="3469"/>
      <c r="X89" s="3470"/>
      <c r="Y89" s="3447" t="s">
        <v>1370</v>
      </c>
      <c r="Z89" s="3448"/>
      <c r="AA89" s="3448"/>
      <c r="AB89" s="3448"/>
      <c r="AC89" s="3448"/>
      <c r="AD89" s="3448"/>
      <c r="AE89" s="3448"/>
      <c r="AF89" s="3448"/>
      <c r="AG89" s="3448"/>
      <c r="AH89" s="3448"/>
      <c r="AI89" s="3453"/>
      <c r="AJ89" s="3453"/>
      <c r="AK89" s="3453"/>
      <c r="AL89" s="3453"/>
      <c r="AM89" s="3453"/>
      <c r="AN89" s="3453"/>
      <c r="AO89" s="3453"/>
      <c r="AP89" s="3453"/>
      <c r="AQ89" s="3453"/>
      <c r="AR89" s="3453"/>
      <c r="AS89" s="3453"/>
      <c r="AT89" s="3453"/>
      <c r="AU89" s="3453"/>
      <c r="AV89" s="3453"/>
      <c r="AW89" s="3453"/>
      <c r="AX89" s="3453"/>
      <c r="AY89" s="3453"/>
      <c r="AZ89" s="3453"/>
      <c r="BA89" s="3453"/>
      <c r="BB89" s="3453"/>
      <c r="BC89" s="3453"/>
      <c r="BD89" s="3453"/>
      <c r="BE89" s="3453"/>
      <c r="BF89" s="3454"/>
      <c r="BG89" s="3459" t="s">
        <v>1371</v>
      </c>
      <c r="BH89" s="3460"/>
      <c r="BI89" s="3460"/>
      <c r="BJ89" s="3460"/>
      <c r="BK89" s="3460"/>
      <c r="BL89" s="3460"/>
      <c r="BM89" s="3460"/>
      <c r="BN89" s="3460"/>
      <c r="BO89" s="3460"/>
      <c r="BP89" s="3460"/>
      <c r="BQ89" s="3461"/>
      <c r="BR89" s="3468"/>
      <c r="BS89" s="3469"/>
      <c r="BT89" s="3469"/>
      <c r="BU89" s="3470"/>
      <c r="BV89" s="3447" t="s">
        <v>1370</v>
      </c>
      <c r="BW89" s="3448"/>
      <c r="BX89" s="3448"/>
      <c r="BY89" s="3448"/>
      <c r="BZ89" s="3448"/>
      <c r="CA89" s="3448"/>
      <c r="CB89" s="3448"/>
      <c r="CC89" s="3448"/>
      <c r="CD89" s="3448"/>
      <c r="CE89" s="3448"/>
      <c r="CF89" s="3453"/>
      <c r="CG89" s="3453"/>
      <c r="CH89" s="3453"/>
      <c r="CI89" s="3453"/>
      <c r="CJ89" s="3453"/>
      <c r="CK89" s="3453"/>
      <c r="CL89" s="3453"/>
      <c r="CM89" s="3453"/>
      <c r="CN89" s="3453"/>
      <c r="CO89" s="3453"/>
      <c r="CP89" s="3453"/>
      <c r="CQ89" s="3453"/>
      <c r="CR89" s="3453"/>
      <c r="CS89" s="3453"/>
      <c r="CT89" s="3453"/>
      <c r="CU89" s="3453"/>
      <c r="CV89" s="3453"/>
      <c r="CW89" s="3453"/>
      <c r="CX89" s="3453"/>
      <c r="CY89" s="3453"/>
      <c r="CZ89" s="3453"/>
      <c r="DA89" s="3453"/>
      <c r="DB89" s="3453"/>
      <c r="DC89" s="3453"/>
      <c r="DD89" s="3477"/>
      <c r="DE89" s="3477"/>
      <c r="DF89" s="3477"/>
      <c r="DG89" s="3477"/>
      <c r="DH89" s="3477"/>
      <c r="DI89" s="3477"/>
      <c r="DJ89" s="3477"/>
      <c r="DK89" s="3477"/>
      <c r="DL89" s="3478"/>
      <c r="DM89" s="694"/>
    </row>
    <row r="90" spans="1:206" ht="7.5" customHeight="1">
      <c r="B90" s="1476"/>
      <c r="C90" s="774"/>
      <c r="D90" s="774"/>
      <c r="E90" s="774"/>
      <c r="F90" s="774"/>
      <c r="G90" s="774"/>
      <c r="H90" s="774"/>
      <c r="I90" s="3546"/>
      <c r="J90" s="3462"/>
      <c r="K90" s="3463"/>
      <c r="L90" s="3463"/>
      <c r="M90" s="3463"/>
      <c r="N90" s="3463"/>
      <c r="O90" s="3463"/>
      <c r="P90" s="3463"/>
      <c r="Q90" s="3463"/>
      <c r="R90" s="3463"/>
      <c r="S90" s="3463"/>
      <c r="T90" s="3464"/>
      <c r="U90" s="3471"/>
      <c r="V90" s="3472"/>
      <c r="W90" s="3472"/>
      <c r="X90" s="3473"/>
      <c r="Y90" s="3449"/>
      <c r="Z90" s="3450"/>
      <c r="AA90" s="3450"/>
      <c r="AB90" s="3450"/>
      <c r="AC90" s="3450"/>
      <c r="AD90" s="3450"/>
      <c r="AE90" s="3450"/>
      <c r="AF90" s="3450"/>
      <c r="AG90" s="3450"/>
      <c r="AH90" s="3450"/>
      <c r="AI90" s="3455"/>
      <c r="AJ90" s="3455"/>
      <c r="AK90" s="3455"/>
      <c r="AL90" s="3455"/>
      <c r="AM90" s="3455"/>
      <c r="AN90" s="3455"/>
      <c r="AO90" s="3455"/>
      <c r="AP90" s="3455"/>
      <c r="AQ90" s="3455"/>
      <c r="AR90" s="3455"/>
      <c r="AS90" s="3455"/>
      <c r="AT90" s="3455"/>
      <c r="AU90" s="3455"/>
      <c r="AV90" s="3455"/>
      <c r="AW90" s="3455"/>
      <c r="AX90" s="3455"/>
      <c r="AY90" s="3455"/>
      <c r="AZ90" s="3455"/>
      <c r="BA90" s="3455"/>
      <c r="BB90" s="3455"/>
      <c r="BC90" s="3455"/>
      <c r="BD90" s="3455"/>
      <c r="BE90" s="3455"/>
      <c r="BF90" s="3456"/>
      <c r="BG90" s="3462"/>
      <c r="BH90" s="3463"/>
      <c r="BI90" s="3463"/>
      <c r="BJ90" s="3463"/>
      <c r="BK90" s="3463"/>
      <c r="BL90" s="3463"/>
      <c r="BM90" s="3463"/>
      <c r="BN90" s="3463"/>
      <c r="BO90" s="3463"/>
      <c r="BP90" s="3463"/>
      <c r="BQ90" s="3464"/>
      <c r="BR90" s="3471"/>
      <c r="BS90" s="3472"/>
      <c r="BT90" s="3472"/>
      <c r="BU90" s="3473"/>
      <c r="BV90" s="3449"/>
      <c r="BW90" s="3450"/>
      <c r="BX90" s="3450"/>
      <c r="BY90" s="3450"/>
      <c r="BZ90" s="3450"/>
      <c r="CA90" s="3450"/>
      <c r="CB90" s="3450"/>
      <c r="CC90" s="3450"/>
      <c r="CD90" s="3450"/>
      <c r="CE90" s="3450"/>
      <c r="CF90" s="3455"/>
      <c r="CG90" s="3455"/>
      <c r="CH90" s="3455"/>
      <c r="CI90" s="3455"/>
      <c r="CJ90" s="3455"/>
      <c r="CK90" s="3455"/>
      <c r="CL90" s="3455"/>
      <c r="CM90" s="3455"/>
      <c r="CN90" s="3455"/>
      <c r="CO90" s="3455"/>
      <c r="CP90" s="3455"/>
      <c r="CQ90" s="3455"/>
      <c r="CR90" s="3455"/>
      <c r="CS90" s="3455"/>
      <c r="CT90" s="3455"/>
      <c r="CU90" s="3455"/>
      <c r="CV90" s="3455"/>
      <c r="CW90" s="3455"/>
      <c r="CX90" s="3455"/>
      <c r="CY90" s="3455"/>
      <c r="CZ90" s="3455"/>
      <c r="DA90" s="3455"/>
      <c r="DB90" s="3455"/>
      <c r="DC90" s="3455"/>
      <c r="DD90" s="3348"/>
      <c r="DE90" s="3348"/>
      <c r="DF90" s="3348"/>
      <c r="DG90" s="3348"/>
      <c r="DH90" s="3348"/>
      <c r="DI90" s="3348"/>
      <c r="DJ90" s="3348"/>
      <c r="DK90" s="3348"/>
      <c r="DL90" s="3349"/>
      <c r="DM90" s="694"/>
    </row>
    <row r="91" spans="1:206" ht="7.5" customHeight="1" thickBot="1">
      <c r="B91" s="1654"/>
      <c r="C91" s="1647"/>
      <c r="D91" s="1647"/>
      <c r="E91" s="1647"/>
      <c r="F91" s="1647"/>
      <c r="G91" s="1647"/>
      <c r="H91" s="1647"/>
      <c r="I91" s="3547"/>
      <c r="J91" s="3465"/>
      <c r="K91" s="3466"/>
      <c r="L91" s="3466"/>
      <c r="M91" s="3466"/>
      <c r="N91" s="3466"/>
      <c r="O91" s="3466"/>
      <c r="P91" s="3466"/>
      <c r="Q91" s="3466"/>
      <c r="R91" s="3466"/>
      <c r="S91" s="3466"/>
      <c r="T91" s="3467"/>
      <c r="U91" s="3474"/>
      <c r="V91" s="3475"/>
      <c r="W91" s="3475"/>
      <c r="X91" s="3476"/>
      <c r="Y91" s="3451"/>
      <c r="Z91" s="3452"/>
      <c r="AA91" s="3452"/>
      <c r="AB91" s="3452"/>
      <c r="AC91" s="3452"/>
      <c r="AD91" s="3452"/>
      <c r="AE91" s="3452"/>
      <c r="AF91" s="3452"/>
      <c r="AG91" s="3452"/>
      <c r="AH91" s="3452"/>
      <c r="AI91" s="3457"/>
      <c r="AJ91" s="3457"/>
      <c r="AK91" s="3457"/>
      <c r="AL91" s="3457"/>
      <c r="AM91" s="3457"/>
      <c r="AN91" s="3457"/>
      <c r="AO91" s="3457"/>
      <c r="AP91" s="3457"/>
      <c r="AQ91" s="3457"/>
      <c r="AR91" s="3457"/>
      <c r="AS91" s="3457"/>
      <c r="AT91" s="3457"/>
      <c r="AU91" s="3457"/>
      <c r="AV91" s="3457"/>
      <c r="AW91" s="3457"/>
      <c r="AX91" s="3457"/>
      <c r="AY91" s="3457"/>
      <c r="AZ91" s="3457"/>
      <c r="BA91" s="3457"/>
      <c r="BB91" s="3457"/>
      <c r="BC91" s="3457"/>
      <c r="BD91" s="3457"/>
      <c r="BE91" s="3457"/>
      <c r="BF91" s="3458"/>
      <c r="BG91" s="3465"/>
      <c r="BH91" s="3466"/>
      <c r="BI91" s="3466"/>
      <c r="BJ91" s="3466"/>
      <c r="BK91" s="3466"/>
      <c r="BL91" s="3466"/>
      <c r="BM91" s="3466"/>
      <c r="BN91" s="3466"/>
      <c r="BO91" s="3466"/>
      <c r="BP91" s="3466"/>
      <c r="BQ91" s="3467"/>
      <c r="BR91" s="3474"/>
      <c r="BS91" s="3475"/>
      <c r="BT91" s="3475"/>
      <c r="BU91" s="3476"/>
      <c r="BV91" s="3451"/>
      <c r="BW91" s="3452"/>
      <c r="BX91" s="3452"/>
      <c r="BY91" s="3452"/>
      <c r="BZ91" s="3452"/>
      <c r="CA91" s="3452"/>
      <c r="CB91" s="3452"/>
      <c r="CC91" s="3452"/>
      <c r="CD91" s="3452"/>
      <c r="CE91" s="3452"/>
      <c r="CF91" s="3457"/>
      <c r="CG91" s="3457"/>
      <c r="CH91" s="3457"/>
      <c r="CI91" s="3457"/>
      <c r="CJ91" s="3457"/>
      <c r="CK91" s="3457"/>
      <c r="CL91" s="3457"/>
      <c r="CM91" s="3457"/>
      <c r="CN91" s="3457"/>
      <c r="CO91" s="3457"/>
      <c r="CP91" s="3457"/>
      <c r="CQ91" s="3457"/>
      <c r="CR91" s="3457"/>
      <c r="CS91" s="3457"/>
      <c r="CT91" s="3457"/>
      <c r="CU91" s="3457"/>
      <c r="CV91" s="3457"/>
      <c r="CW91" s="3457"/>
      <c r="CX91" s="3457"/>
      <c r="CY91" s="3457"/>
      <c r="CZ91" s="3457"/>
      <c r="DA91" s="3457"/>
      <c r="DB91" s="3457"/>
      <c r="DC91" s="3457"/>
      <c r="DD91" s="3479"/>
      <c r="DE91" s="3479"/>
      <c r="DF91" s="3479"/>
      <c r="DG91" s="3479"/>
      <c r="DH91" s="3479"/>
      <c r="DI91" s="3479"/>
      <c r="DJ91" s="3479"/>
      <c r="DK91" s="3479"/>
      <c r="DL91" s="3480"/>
      <c r="DM91" s="694"/>
    </row>
    <row r="92" spans="1:206" ht="4.5" customHeight="1" thickTop="1" thickBot="1">
      <c r="H92" s="618"/>
      <c r="AK92" s="618"/>
      <c r="BE92" s="618"/>
    </row>
    <row r="93" spans="1:206" s="200" customFormat="1" ht="11.25" customHeight="1" thickBot="1">
      <c r="A93" s="1592" t="s">
        <v>414</v>
      </c>
      <c r="B93" s="1593"/>
      <c r="C93" s="1593"/>
      <c r="D93" s="1593"/>
      <c r="E93" s="1593"/>
      <c r="F93" s="1593"/>
      <c r="G93" s="1593"/>
      <c r="H93" s="1593"/>
      <c r="I93" s="1593"/>
      <c r="J93" s="1593"/>
      <c r="K93" s="1593"/>
      <c r="L93" s="1593"/>
      <c r="M93" s="1593"/>
      <c r="N93" s="1593"/>
      <c r="O93" s="1593"/>
      <c r="P93" s="1593"/>
      <c r="Q93" s="1593"/>
      <c r="R93" s="1593"/>
      <c r="S93" s="1593"/>
      <c r="T93" s="1593"/>
      <c r="U93" s="1594"/>
      <c r="V93" s="1561" t="s">
        <v>415</v>
      </c>
      <c r="W93" s="1562"/>
      <c r="X93" s="1562"/>
      <c r="Y93" s="1562"/>
      <c r="Z93" s="1562"/>
      <c r="AA93" s="1562"/>
      <c r="AB93" s="1562"/>
      <c r="AC93" s="1562"/>
      <c r="AD93" s="1562"/>
      <c r="AE93" s="1562"/>
      <c r="AF93" s="1562"/>
      <c r="AG93" s="1562"/>
      <c r="AH93" s="1562"/>
      <c r="AI93" s="1562"/>
      <c r="AJ93" s="1562"/>
      <c r="AK93" s="1562"/>
      <c r="AL93" s="1562"/>
      <c r="AM93" s="1562"/>
      <c r="AN93" s="1562"/>
      <c r="AO93" s="1562"/>
      <c r="AP93" s="1562"/>
      <c r="AQ93" s="1562"/>
      <c r="AR93" s="1562"/>
      <c r="AS93" s="1562"/>
      <c r="AT93" s="1562"/>
      <c r="AU93" s="1562"/>
      <c r="AV93" s="1562"/>
      <c r="AW93" s="1562"/>
      <c r="AX93" s="1562"/>
      <c r="AY93" s="1562"/>
      <c r="AZ93" s="1562"/>
      <c r="BA93" s="1562"/>
      <c r="BB93" s="1562"/>
      <c r="BC93" s="1562"/>
      <c r="BD93" s="1562"/>
      <c r="BE93" s="1562"/>
      <c r="BF93" s="1562"/>
      <c r="BG93" s="1562"/>
      <c r="BH93" s="1562"/>
      <c r="BI93" s="1562"/>
      <c r="BJ93" s="1562"/>
      <c r="BK93" s="1562"/>
      <c r="BL93" s="1562"/>
      <c r="BM93" s="1562"/>
      <c r="BN93" s="1562"/>
      <c r="BO93" s="1562"/>
      <c r="BP93" s="1562"/>
      <c r="BQ93" s="1562"/>
      <c r="BR93" s="1562"/>
      <c r="BS93" s="1562"/>
      <c r="BT93" s="1562"/>
      <c r="BU93" s="1562"/>
      <c r="BV93" s="1562"/>
      <c r="BW93" s="1562"/>
      <c r="BX93" s="1562"/>
      <c r="BY93" s="1562"/>
      <c r="BZ93" s="1562"/>
      <c r="CA93" s="1562"/>
      <c r="CB93" s="1562"/>
      <c r="CC93" s="1562"/>
      <c r="CD93" s="1562"/>
      <c r="CE93" s="1562"/>
      <c r="CF93" s="1562"/>
      <c r="CG93" s="1562"/>
      <c r="CH93" s="1562"/>
      <c r="CI93" s="1562"/>
      <c r="CJ93" s="1562"/>
      <c r="CK93" s="1562"/>
      <c r="CL93" s="1562"/>
      <c r="CM93" s="1562"/>
      <c r="CN93" s="1562"/>
      <c r="CO93" s="1562"/>
      <c r="CP93" s="1562"/>
      <c r="CQ93" s="1562"/>
      <c r="CR93" s="1562"/>
      <c r="CS93" s="1562"/>
      <c r="CT93" s="1562"/>
      <c r="CU93" s="1562"/>
      <c r="CV93" s="1562"/>
      <c r="CW93" s="1562"/>
      <c r="CX93" s="1562"/>
      <c r="CY93" s="1562"/>
      <c r="CZ93" s="1562"/>
      <c r="DA93" s="1562"/>
      <c r="DB93" s="1562"/>
      <c r="DC93" s="1562"/>
      <c r="DD93" s="1562"/>
      <c r="DE93" s="1562"/>
      <c r="DF93" s="1562"/>
      <c r="DG93" s="1562"/>
      <c r="DH93" s="1562"/>
      <c r="DI93" s="1562"/>
      <c r="DJ93" s="1562"/>
      <c r="DK93" s="1562"/>
      <c r="DL93" s="1563"/>
      <c r="DM93" s="202"/>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row>
    <row r="94" spans="1:206" s="200" customFormat="1" ht="8.25" customHeight="1">
      <c r="A94" s="2073" t="s">
        <v>1514</v>
      </c>
      <c r="B94" s="2073"/>
      <c r="C94" s="2073"/>
      <c r="D94" s="2073"/>
      <c r="E94" s="2073"/>
      <c r="F94" s="2073"/>
      <c r="G94" s="2073"/>
      <c r="H94" s="2073"/>
      <c r="I94" s="2073"/>
      <c r="J94" s="2073"/>
      <c r="K94" s="2073"/>
      <c r="L94" s="2073"/>
      <c r="M94" s="2073"/>
      <c r="N94" s="2073"/>
      <c r="O94" s="2073"/>
      <c r="P94" s="2073"/>
      <c r="Q94" s="2073"/>
      <c r="R94" s="2073"/>
      <c r="S94" s="2073"/>
      <c r="T94" s="2073"/>
      <c r="U94" s="2073"/>
      <c r="V94" s="2073"/>
      <c r="W94" s="2073"/>
      <c r="X94" s="2073"/>
      <c r="Y94" s="2073"/>
      <c r="Z94" s="2073"/>
      <c r="AA94" s="2073"/>
      <c r="AB94" s="2073"/>
      <c r="AC94" s="2073"/>
      <c r="AD94" s="2073"/>
      <c r="AE94" s="2073"/>
      <c r="AF94" s="2073"/>
      <c r="AG94" s="2073"/>
      <c r="AH94" s="2073"/>
      <c r="AI94" s="2073"/>
      <c r="AJ94" s="2073"/>
      <c r="AK94" s="2073"/>
      <c r="AL94" s="2073"/>
      <c r="AM94" s="2073"/>
      <c r="AN94" s="2073"/>
      <c r="AO94" s="2073"/>
      <c r="AP94" s="2073"/>
      <c r="AQ94" s="2073"/>
      <c r="AR94" s="2073"/>
      <c r="AS94" s="2073"/>
      <c r="AT94" s="2073"/>
      <c r="AU94" s="2073"/>
      <c r="AV94" s="2073"/>
      <c r="AW94" s="2073"/>
      <c r="AX94" s="2073"/>
      <c r="AY94" s="2073"/>
      <c r="AZ94" s="2073"/>
      <c r="BA94" s="2073"/>
      <c r="BB94" s="2073"/>
      <c r="BC94" s="2073"/>
      <c r="BD94" s="2073"/>
      <c r="BE94" s="2073"/>
      <c r="BF94" s="2073"/>
      <c r="BG94" s="2073"/>
      <c r="BH94" s="2073"/>
      <c r="BI94" s="2073"/>
      <c r="BJ94" s="2073"/>
      <c r="BK94" s="2073"/>
      <c r="BL94" s="2073"/>
      <c r="BM94" s="2073"/>
      <c r="BN94" s="2073"/>
      <c r="BO94" s="2073"/>
      <c r="BP94" s="2073"/>
      <c r="BQ94" s="2073"/>
      <c r="BR94" s="2073"/>
      <c r="BS94" s="2073"/>
      <c r="BT94" s="2073"/>
      <c r="BU94" s="2073"/>
      <c r="BV94" s="2073"/>
      <c r="BW94" s="2073"/>
      <c r="BX94" s="2073"/>
      <c r="BY94" s="2073"/>
      <c r="BZ94" s="2073"/>
      <c r="CA94" s="2073"/>
      <c r="CB94" s="2073"/>
      <c r="CC94" s="2073"/>
      <c r="CD94" s="2073"/>
      <c r="CE94" s="2073"/>
      <c r="CF94" s="2073"/>
      <c r="CG94" s="2073"/>
      <c r="CH94" s="2073"/>
      <c r="CI94" s="2073"/>
      <c r="CJ94" s="2073"/>
      <c r="CK94" s="2073"/>
      <c r="CL94" s="2073"/>
      <c r="CM94" s="2073"/>
      <c r="CN94" s="2073"/>
      <c r="CO94" s="2073"/>
      <c r="CP94" s="2073"/>
      <c r="CQ94" s="2073"/>
      <c r="CR94" s="2073"/>
      <c r="CS94" s="2073"/>
      <c r="CT94" s="2073"/>
      <c r="CU94" s="2073"/>
      <c r="CV94" s="2073"/>
      <c r="CW94" s="2073"/>
      <c r="CX94" s="2073"/>
      <c r="CY94" s="2073"/>
      <c r="CZ94" s="2073"/>
      <c r="DA94" s="2073"/>
      <c r="DB94" s="2073"/>
      <c r="DC94" s="2073"/>
      <c r="DD94" s="2073"/>
      <c r="DE94" s="2073"/>
      <c r="DF94" s="2073"/>
      <c r="DG94" s="2073"/>
      <c r="DH94" s="2073"/>
      <c r="DI94" s="2073"/>
      <c r="DJ94" s="2073"/>
      <c r="DK94" s="2073"/>
      <c r="DL94" s="2073"/>
      <c r="DM94" s="199"/>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row>
    <row r="95" spans="1:206" ht="7.5" customHeight="1">
      <c r="A95" s="3425" t="s">
        <v>1515</v>
      </c>
      <c r="B95" s="2073"/>
      <c r="C95" s="2073"/>
      <c r="D95" s="2073"/>
      <c r="E95" s="2073"/>
      <c r="F95" s="2073"/>
      <c r="G95" s="2073"/>
      <c r="H95" s="2073"/>
      <c r="I95" s="2073"/>
      <c r="J95" s="2073"/>
      <c r="K95" s="2073"/>
      <c r="L95" s="2073"/>
      <c r="M95" s="2073"/>
      <c r="N95" s="2073"/>
      <c r="O95" s="2073"/>
      <c r="P95" s="2073"/>
      <c r="Q95" s="2073"/>
      <c r="R95" s="2073"/>
      <c r="S95" s="2073"/>
      <c r="T95" s="2073"/>
      <c r="U95" s="2073"/>
      <c r="V95" s="2073"/>
      <c r="W95" s="2073"/>
      <c r="X95" s="2073"/>
      <c r="Y95" s="2073"/>
      <c r="Z95" s="2073"/>
      <c r="AA95" s="2073"/>
      <c r="AB95" s="2073"/>
      <c r="AC95" s="2073"/>
      <c r="AD95" s="2073"/>
      <c r="AE95" s="2073"/>
      <c r="AF95" s="2073"/>
      <c r="AG95" s="2073"/>
      <c r="AH95" s="2073"/>
      <c r="AI95" s="2073"/>
      <c r="AJ95" s="2073"/>
      <c r="AK95" s="2073"/>
      <c r="AL95" s="2073"/>
      <c r="AM95" s="2073"/>
      <c r="AN95" s="2073"/>
      <c r="AO95" s="2073"/>
      <c r="AP95" s="2073"/>
      <c r="AQ95" s="2073"/>
      <c r="AR95" s="2073"/>
      <c r="AS95" s="2073"/>
      <c r="AT95" s="2073"/>
      <c r="AU95" s="2073"/>
      <c r="AV95" s="2073"/>
      <c r="AW95" s="2073"/>
      <c r="AX95" s="2073"/>
      <c r="AY95" s="2073"/>
      <c r="AZ95" s="2073"/>
      <c r="BA95" s="2073"/>
      <c r="BB95" s="2073"/>
      <c r="BC95" s="2073"/>
      <c r="BD95" s="2073"/>
      <c r="BE95" s="2073"/>
      <c r="BF95" s="2073"/>
      <c r="BG95" s="2073"/>
      <c r="BH95" s="2073"/>
      <c r="BI95" s="2073"/>
      <c r="BJ95" s="2073"/>
      <c r="BK95" s="2073"/>
      <c r="BL95" s="2073"/>
      <c r="BM95" s="2073"/>
      <c r="BN95" s="2073"/>
      <c r="BO95" s="2073"/>
      <c r="BP95" s="2073"/>
      <c r="BQ95" s="2073"/>
      <c r="BR95" s="2073"/>
      <c r="BS95" s="2073"/>
      <c r="BT95" s="2073"/>
      <c r="BU95" s="2073"/>
      <c r="BV95" s="2073"/>
      <c r="BW95" s="2073"/>
      <c r="BX95" s="2073"/>
      <c r="BY95" s="2073"/>
      <c r="BZ95" s="2073"/>
      <c r="CA95" s="2073"/>
      <c r="CB95" s="2073"/>
      <c r="CC95" s="2073"/>
      <c r="CD95" s="2073"/>
      <c r="CE95" s="2073"/>
      <c r="CF95" s="2073"/>
      <c r="CG95" s="2073"/>
      <c r="CH95" s="2073"/>
      <c r="CI95" s="2073"/>
      <c r="CJ95" s="2073"/>
      <c r="CK95" s="2073"/>
      <c r="CL95" s="2073"/>
      <c r="CM95" s="2073"/>
      <c r="CN95" s="2073"/>
      <c r="CO95" s="2073"/>
      <c r="CP95" s="2073"/>
      <c r="CQ95" s="2073"/>
      <c r="CR95" s="2073"/>
      <c r="CS95" s="2073"/>
      <c r="CT95" s="2073"/>
      <c r="CU95" s="2073"/>
      <c r="CV95" s="2073"/>
      <c r="CW95" s="2073"/>
      <c r="CX95" s="2073"/>
      <c r="CY95" s="2073"/>
      <c r="CZ95" s="2073"/>
      <c r="DA95" s="2073"/>
      <c r="DB95" s="2073"/>
      <c r="DC95" s="2073"/>
      <c r="DD95" s="2073"/>
      <c r="DE95" s="2073"/>
      <c r="DF95" s="2073"/>
      <c r="DG95" s="2073"/>
      <c r="DH95" s="2073"/>
      <c r="DI95" s="2073"/>
      <c r="DJ95" s="2073"/>
      <c r="DK95" s="2073"/>
      <c r="DL95" s="2073"/>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row>
    <row r="96" spans="1:206" ht="7.5" customHeight="1">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row>
    <row r="97" spans="118:165" ht="7.5" customHeight="1">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row>
    <row r="98" spans="118:165" ht="7.5" customHeight="1">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row>
    <row r="99" spans="118:165" ht="7.5" customHeight="1">
      <c r="DN99" s="125"/>
      <c r="DS99" s="109"/>
    </row>
    <row r="101" spans="118:165" ht="7.5" customHeight="1">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row>
    <row r="102" spans="118:165" ht="7.5" customHeight="1">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c r="FH102" s="49"/>
      <c r="FI102" s="49"/>
    </row>
    <row r="103" spans="118:165" ht="7.5" customHeight="1">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row>
  </sheetData>
  <sheetProtection algorithmName="SHA-512" hashValue="3n2oduCBVYRX8ZV7nkj29dMffl/BUQ8mtc8ufsgd9A4A1FJkSgvnc633bb3VeereRZmhDf9KeXbTz0nUsYW/Lg==" saltValue="1zPxsrhBo4UvT+O5KxfAiQ==" spinCount="100000" sheet="1" selectLockedCells="1"/>
  <mergeCells count="217">
    <mergeCell ref="A95:DL95"/>
    <mergeCell ref="CF89:DC91"/>
    <mergeCell ref="BR83:BY85"/>
    <mergeCell ref="BD86:BN88"/>
    <mergeCell ref="BO86:BY88"/>
    <mergeCell ref="BZ86:CM88"/>
    <mergeCell ref="A94:DL94"/>
    <mergeCell ref="AE86:AH88"/>
    <mergeCell ref="AI86:BC88"/>
    <mergeCell ref="A93:U93"/>
    <mergeCell ref="V93:DL93"/>
    <mergeCell ref="BZ83:CX85"/>
    <mergeCell ref="CY83:DF85"/>
    <mergeCell ref="DG83:DL85"/>
    <mergeCell ref="B86:I88"/>
    <mergeCell ref="J86:M88"/>
    <mergeCell ref="N86:Q88"/>
    <mergeCell ref="R86:T88"/>
    <mergeCell ref="U86:X88"/>
    <mergeCell ref="Y86:AA88"/>
    <mergeCell ref="AB86:AD88"/>
    <mergeCell ref="B89:I91"/>
    <mergeCell ref="J89:T91"/>
    <mergeCell ref="U89:X91"/>
    <mergeCell ref="Y89:AH91"/>
    <mergeCell ref="AI89:BF91"/>
    <mergeCell ref="BG89:BQ91"/>
    <mergeCell ref="BR89:BU91"/>
    <mergeCell ref="BV89:CE91"/>
    <mergeCell ref="DD89:DL91"/>
    <mergeCell ref="A65:BB66"/>
    <mergeCell ref="BC65:CT66"/>
    <mergeCell ref="B69:DL70"/>
    <mergeCell ref="B71:L73"/>
    <mergeCell ref="M71:P73"/>
    <mergeCell ref="Q71:DL73"/>
    <mergeCell ref="B81:DL82"/>
    <mergeCell ref="B83:I85"/>
    <mergeCell ref="J83:U85"/>
    <mergeCell ref="V83:AC85"/>
    <mergeCell ref="AD83:AR85"/>
    <mergeCell ref="AS83:AZ85"/>
    <mergeCell ref="BO83:BQ85"/>
    <mergeCell ref="BA83:BE85"/>
    <mergeCell ref="BF83:BN85"/>
    <mergeCell ref="B74:L76"/>
    <mergeCell ref="M74:AR76"/>
    <mergeCell ref="AS74:DL76"/>
    <mergeCell ref="B77:L79"/>
    <mergeCell ref="M77:AK79"/>
    <mergeCell ref="AL77:DL79"/>
    <mergeCell ref="DS53:DY54"/>
    <mergeCell ref="EU53:FA54"/>
    <mergeCell ref="G54:L55"/>
    <mergeCell ref="M54:AF55"/>
    <mergeCell ref="AG54:AL55"/>
    <mergeCell ref="AM54:BF55"/>
    <mergeCell ref="BI54:CE55"/>
    <mergeCell ref="CF54:DB55"/>
    <mergeCell ref="CF56:DB57"/>
    <mergeCell ref="AB57:AF58"/>
    <mergeCell ref="AG57:AS58"/>
    <mergeCell ref="AT57:BF58"/>
    <mergeCell ref="BI58:CE59"/>
    <mergeCell ref="CF58:DB59"/>
    <mergeCell ref="G56:AA58"/>
    <mergeCell ref="AB56:AF56"/>
    <mergeCell ref="AG56:AS56"/>
    <mergeCell ref="AT56:BF56"/>
    <mergeCell ref="BI56:CE57"/>
    <mergeCell ref="G59:AA60"/>
    <mergeCell ref="AB59:AF60"/>
    <mergeCell ref="AG59:BF60"/>
    <mergeCell ref="BI60:CE61"/>
    <mergeCell ref="CF60:DB61"/>
    <mergeCell ref="B52:F55"/>
    <mergeCell ref="G52:L53"/>
    <mergeCell ref="M52:W53"/>
    <mergeCell ref="X52:AC53"/>
    <mergeCell ref="AD52:AN53"/>
    <mergeCell ref="AO52:AT53"/>
    <mergeCell ref="AU52:BF53"/>
    <mergeCell ref="BI52:DB53"/>
    <mergeCell ref="DC52:DK63"/>
    <mergeCell ref="B56:F58"/>
    <mergeCell ref="B59:F60"/>
    <mergeCell ref="B61:F63"/>
    <mergeCell ref="G61:AY63"/>
    <mergeCell ref="AZ61:BF63"/>
    <mergeCell ref="BI62:CE63"/>
    <mergeCell ref="CF62:DB63"/>
    <mergeCell ref="B37:F39"/>
    <mergeCell ref="G37:AA39"/>
    <mergeCell ref="AB37:AF37"/>
    <mergeCell ref="AG37:AS37"/>
    <mergeCell ref="B45:BD46"/>
    <mergeCell ref="B47:AK48"/>
    <mergeCell ref="AL47:BF48"/>
    <mergeCell ref="BI48:DB49"/>
    <mergeCell ref="DC48:DK51"/>
    <mergeCell ref="B49:F49"/>
    <mergeCell ref="G49:BF49"/>
    <mergeCell ref="B50:F51"/>
    <mergeCell ref="G50:AN51"/>
    <mergeCell ref="AO50:AZ51"/>
    <mergeCell ref="BA50:BF51"/>
    <mergeCell ref="BI50:CE51"/>
    <mergeCell ref="BN39:BS40"/>
    <mergeCell ref="BT39:CM40"/>
    <mergeCell ref="CN39:CS40"/>
    <mergeCell ref="CT39:DK40"/>
    <mergeCell ref="CF50:DB51"/>
    <mergeCell ref="B40:F41"/>
    <mergeCell ref="G40:AA41"/>
    <mergeCell ref="AB40:AF41"/>
    <mergeCell ref="AG40:BF41"/>
    <mergeCell ref="BI41:BM42"/>
    <mergeCell ref="BN41:CJ42"/>
    <mergeCell ref="CK41:CO42"/>
    <mergeCell ref="CP41:CZ42"/>
    <mergeCell ref="DA41:DK42"/>
    <mergeCell ref="B42:F44"/>
    <mergeCell ref="G42:AY44"/>
    <mergeCell ref="AZ42:BF44"/>
    <mergeCell ref="BI43:BM44"/>
    <mergeCell ref="BN43:CJ44"/>
    <mergeCell ref="CK43:CO44"/>
    <mergeCell ref="CP43:DK44"/>
    <mergeCell ref="DE33:DK34"/>
    <mergeCell ref="G35:L36"/>
    <mergeCell ref="M35:AF36"/>
    <mergeCell ref="AG35:AL36"/>
    <mergeCell ref="AM35:BF36"/>
    <mergeCell ref="BI35:BM36"/>
    <mergeCell ref="BN35:DK36"/>
    <mergeCell ref="BN37:BS38"/>
    <mergeCell ref="BT37:CD38"/>
    <mergeCell ref="CE37:CJ38"/>
    <mergeCell ref="CK37:CU38"/>
    <mergeCell ref="CV37:DA38"/>
    <mergeCell ref="DB37:DK38"/>
    <mergeCell ref="B33:F36"/>
    <mergeCell ref="G33:L34"/>
    <mergeCell ref="M33:W34"/>
    <mergeCell ref="X33:AC34"/>
    <mergeCell ref="AD33:AN34"/>
    <mergeCell ref="AO33:AT34"/>
    <mergeCell ref="B30:F30"/>
    <mergeCell ref="G30:BF30"/>
    <mergeCell ref="BI30:BM31"/>
    <mergeCell ref="AU33:BF34"/>
    <mergeCell ref="BI33:CB34"/>
    <mergeCell ref="BN30:CJ31"/>
    <mergeCell ref="CC33:DD34"/>
    <mergeCell ref="B31:F32"/>
    <mergeCell ref="G31:P32"/>
    <mergeCell ref="Q31:AY32"/>
    <mergeCell ref="AZ31:BF32"/>
    <mergeCell ref="CN26:CS27"/>
    <mergeCell ref="CT26:DK27"/>
    <mergeCell ref="B28:AM29"/>
    <mergeCell ref="AN28:AQ29"/>
    <mergeCell ref="AR28:BF29"/>
    <mergeCell ref="BI28:BM29"/>
    <mergeCell ref="BN28:CJ29"/>
    <mergeCell ref="CK28:CO29"/>
    <mergeCell ref="CP28:CZ29"/>
    <mergeCell ref="DA28:DK29"/>
    <mergeCell ref="B25:F26"/>
    <mergeCell ref="G25:AD26"/>
    <mergeCell ref="AE25:AI26"/>
    <mergeCell ref="AJ25:BF26"/>
    <mergeCell ref="BI25:BM26"/>
    <mergeCell ref="BN26:BS27"/>
    <mergeCell ref="BT26:CM27"/>
    <mergeCell ref="B22:X24"/>
    <mergeCell ref="Z22:BF24"/>
    <mergeCell ref="BI22:BM23"/>
    <mergeCell ref="BN22:CU23"/>
    <mergeCell ref="BI24:BJ24"/>
    <mergeCell ref="BN24:BS25"/>
    <mergeCell ref="BT24:CD25"/>
    <mergeCell ref="CE24:CJ25"/>
    <mergeCell ref="A1:DM3"/>
    <mergeCell ref="A4:BC6"/>
    <mergeCell ref="BD4:BX6"/>
    <mergeCell ref="BY4:CS6"/>
    <mergeCell ref="B20:F21"/>
    <mergeCell ref="G20:I21"/>
    <mergeCell ref="J20:L21"/>
    <mergeCell ref="M20:O21"/>
    <mergeCell ref="P20:T21"/>
    <mergeCell ref="U20:W21"/>
    <mergeCell ref="CN86:CR88"/>
    <mergeCell ref="CS86:CX88"/>
    <mergeCell ref="CY86:DC88"/>
    <mergeCell ref="DD86:DF88"/>
    <mergeCell ref="DG86:DL88"/>
    <mergeCell ref="X20:AB21"/>
    <mergeCell ref="AC20:AE21"/>
    <mergeCell ref="AF20:BF21"/>
    <mergeCell ref="BI20:CB21"/>
    <mergeCell ref="CC20:DD21"/>
    <mergeCell ref="DE20:DK21"/>
    <mergeCell ref="CK24:CU25"/>
    <mergeCell ref="CV24:DA25"/>
    <mergeCell ref="DB24:DK25"/>
    <mergeCell ref="CV22:DE23"/>
    <mergeCell ref="DF22:DK23"/>
    <mergeCell ref="CK30:CO31"/>
    <mergeCell ref="CP30:DK31"/>
    <mergeCell ref="AT37:BF37"/>
    <mergeCell ref="BI37:BJ37"/>
    <mergeCell ref="AB38:AF39"/>
    <mergeCell ref="AG38:AS39"/>
    <mergeCell ref="AT38:BF39"/>
    <mergeCell ref="BI38:BM39"/>
  </mergeCells>
  <phoneticPr fontId="68"/>
  <conditionalFormatting sqref="B74:DL76">
    <cfRule type="expression" dxfId="797" priority="72">
      <formula>$BO$83="有"</formula>
    </cfRule>
  </conditionalFormatting>
  <conditionalFormatting sqref="B77:DL79">
    <cfRule type="expression" dxfId="796" priority="67">
      <formula>OR($M$71="",$M$71="無")</formula>
    </cfRule>
  </conditionalFormatting>
  <conditionalFormatting sqref="B83:DL85 B86:CN86 CS86 CY86 DD86 DG86 B87:CM88 B89:DL91">
    <cfRule type="expression" dxfId="795" priority="1">
      <formula>$M$71=""</formula>
    </cfRule>
  </conditionalFormatting>
  <conditionalFormatting sqref="G25">
    <cfRule type="notContainsBlanks" dxfId="794" priority="7" stopIfTrue="1">
      <formula>LEN(TRIM(G25))&gt;0</formula>
    </cfRule>
  </conditionalFormatting>
  <conditionalFormatting sqref="G30:G31 Q31 AZ31">
    <cfRule type="notContainsBlanks" dxfId="793" priority="19" stopIfTrue="1">
      <formula>LEN(TRIM(G30))&gt;0</formula>
    </cfRule>
  </conditionalFormatting>
  <conditionalFormatting sqref="G37 G40">
    <cfRule type="notContainsBlanks" dxfId="792" priority="15" stopIfTrue="1">
      <formula>LEN(TRIM(G37))&gt;0</formula>
    </cfRule>
  </conditionalFormatting>
  <conditionalFormatting sqref="G49:G50 AM54">
    <cfRule type="notContainsBlanks" dxfId="791" priority="44" stopIfTrue="1">
      <formula>LEN(TRIM(G49))&gt;0</formula>
    </cfRule>
  </conditionalFormatting>
  <conditionalFormatting sqref="G56 G59">
    <cfRule type="notContainsBlanks" dxfId="790" priority="13" stopIfTrue="1">
      <formula>LEN(TRIM(G56))&gt;0</formula>
    </cfRule>
  </conditionalFormatting>
  <conditionalFormatting sqref="J20 P20 X20">
    <cfRule type="notContainsBlanks" dxfId="789" priority="42" stopIfTrue="1">
      <formula>LEN(TRIM(J20))&gt;0</formula>
    </cfRule>
  </conditionalFormatting>
  <conditionalFormatting sqref="J83">
    <cfRule type="notContainsBlanks" dxfId="788" priority="56" stopIfTrue="1">
      <formula>LEN(TRIM(J83))&gt;0</formula>
    </cfRule>
    <cfRule type="expression" dxfId="787" priority="73">
      <formula>COUNTIF($BI$54:$CE$63,"StartIn")&gt;0</formula>
    </cfRule>
  </conditionalFormatting>
  <conditionalFormatting sqref="M33">
    <cfRule type="notContainsBlanks" dxfId="786" priority="18" stopIfTrue="1">
      <formula>LEN(TRIM(M33))&gt;0</formula>
    </cfRule>
  </conditionalFormatting>
  <conditionalFormatting sqref="M52">
    <cfRule type="notContainsBlanks" dxfId="785" priority="10" stopIfTrue="1">
      <formula>LEN(TRIM(M52))&gt;0</formula>
    </cfRule>
  </conditionalFormatting>
  <conditionalFormatting sqref="M54">
    <cfRule type="notContainsBlanks" dxfId="784" priority="11" stopIfTrue="1">
      <formula>LEN(TRIM(M54))&gt;0</formula>
    </cfRule>
  </conditionalFormatting>
  <conditionalFormatting sqref="M71">
    <cfRule type="containsBlanks" dxfId="783" priority="77">
      <formula>LEN(TRIM(M71))=0</formula>
    </cfRule>
  </conditionalFormatting>
  <conditionalFormatting sqref="M74 AS74 B74:L76">
    <cfRule type="expression" dxfId="782" priority="39">
      <formula>OR($M$71="",$M$71="有")</formula>
    </cfRule>
  </conditionalFormatting>
  <conditionalFormatting sqref="M74">
    <cfRule type="expression" dxfId="781" priority="86">
      <formula>AND($M$71="無",OR(AND(#REF!="新規",#REF!="無"),AND(#REF!="新規",#REF!="無"),AND(#REF!="新規",#REF!="無")))</formula>
    </cfRule>
    <cfRule type="notContainsBlanks" dxfId="780" priority="76" stopIfTrue="1">
      <formula>LEN(TRIM(M74))&gt;0</formula>
    </cfRule>
  </conditionalFormatting>
  <conditionalFormatting sqref="M77">
    <cfRule type="notContainsBlanks" dxfId="779" priority="68">
      <formula>LEN(TRIM(M77))&gt;0</formula>
    </cfRule>
  </conditionalFormatting>
  <conditionalFormatting sqref="M71:P73">
    <cfRule type="notContainsBlanks" dxfId="778" priority="74" stopIfTrue="1">
      <formula>LEN(TRIM(M71))&gt;0</formula>
    </cfRule>
  </conditionalFormatting>
  <conditionalFormatting sqref="M77:AK79">
    <cfRule type="expression" dxfId="777" priority="69">
      <formula>$M$71="有"</formula>
    </cfRule>
  </conditionalFormatting>
  <conditionalFormatting sqref="M74:AR76">
    <cfRule type="expression" dxfId="776" priority="88">
      <formula>AND(OR(J$83="標準(DigitalArts@Cloud同時購入)",$J$83="標準(弊社他製品利用)",$J$83="標準(Desk@Cloud単独購入/保有)"),$BO$83="無")</formula>
    </cfRule>
    <cfRule type="expression" dxfId="775" priority="87">
      <formula>$M$71="無"</formula>
    </cfRule>
  </conditionalFormatting>
  <conditionalFormatting sqref="U89 BO83 N86:Q88 U86:X88">
    <cfRule type="expression" dxfId="774" priority="83">
      <formula>$AD$83="新規"</formula>
    </cfRule>
  </conditionalFormatting>
  <conditionalFormatting sqref="U89:X91">
    <cfRule type="notContainsBlanks" dxfId="773" priority="82" stopIfTrue="1">
      <formula>LEN(TRIM(U89))&gt;0</formula>
    </cfRule>
  </conditionalFormatting>
  <conditionalFormatting sqref="Y89:BF91">
    <cfRule type="expression" dxfId="772" priority="24">
      <formula>NOT($U$89="有")</formula>
    </cfRule>
  </conditionalFormatting>
  <conditionalFormatting sqref="AD33">
    <cfRule type="notContainsBlanks" dxfId="771" priority="17" stopIfTrue="1">
      <formula>LEN(TRIM(AD33))&gt;0</formula>
    </cfRule>
  </conditionalFormatting>
  <conditionalFormatting sqref="AD52">
    <cfRule type="notContainsBlanks" dxfId="770" priority="9" stopIfTrue="1">
      <formula>LEN(TRIM(AD52))&gt;0</formula>
    </cfRule>
  </conditionalFormatting>
  <conditionalFormatting sqref="AD83 BA83 BO83 BZ83 N86 U86 BZ86 CS86 DD86">
    <cfRule type="notContainsBlanks" dxfId="769" priority="2">
      <formula>LEN(TRIM(N83))&gt;0</formula>
    </cfRule>
  </conditionalFormatting>
  <conditionalFormatting sqref="AD83">
    <cfRule type="expression" dxfId="768" priority="71">
      <formula>$J$83&lt;&gt;""</formula>
    </cfRule>
  </conditionalFormatting>
  <conditionalFormatting sqref="AG37:BF39 AG40">
    <cfRule type="notContainsBlanks" dxfId="767" priority="14" stopIfTrue="1">
      <formula>LEN(TRIM(AG37))&gt;0</formula>
    </cfRule>
  </conditionalFormatting>
  <conditionalFormatting sqref="AG56:BF58 AG59">
    <cfRule type="notContainsBlanks" dxfId="766" priority="12" stopIfTrue="1">
      <formula>LEN(TRIM(AG56))&gt;0</formula>
    </cfRule>
  </conditionalFormatting>
  <conditionalFormatting sqref="AI89:BF91">
    <cfRule type="notContainsBlanks" dxfId="765" priority="28" stopIfTrue="1">
      <formula>LEN(TRIM(AI89))&gt;0</formula>
    </cfRule>
    <cfRule type="expression" dxfId="764" priority="36">
      <formula>$U$89="有"</formula>
    </cfRule>
  </conditionalFormatting>
  <conditionalFormatting sqref="AJ25">
    <cfRule type="notContainsBlanks" dxfId="763" priority="46" stopIfTrue="1">
      <formula>LEN(TRIM(AJ25))&gt;0</formula>
    </cfRule>
  </conditionalFormatting>
  <conditionalFormatting sqref="AR28 M35 AM35">
    <cfRule type="notContainsBlanks" dxfId="762" priority="45" stopIfTrue="1">
      <formula>LEN(TRIM(M28))&gt;0</formula>
    </cfRule>
  </conditionalFormatting>
  <conditionalFormatting sqref="AR28:BF29">
    <cfRule type="expression" dxfId="761" priority="41" stopIfTrue="1">
      <formula>OR($AR$28="文教",$AR$28="官公庁／自治体",$AR$28="その他公共",$AR$28="企業")</formula>
    </cfRule>
  </conditionalFormatting>
  <conditionalFormatting sqref="AU33">
    <cfRule type="notContainsBlanks" dxfId="760" priority="16" stopIfTrue="1">
      <formula>LEN(TRIM(AU33))&gt;0</formula>
    </cfRule>
  </conditionalFormatting>
  <conditionalFormatting sqref="AU52">
    <cfRule type="notContainsBlanks" dxfId="759" priority="8" stopIfTrue="1">
      <formula>LEN(TRIM(AU52))&gt;0</formula>
    </cfRule>
  </conditionalFormatting>
  <conditionalFormatting sqref="AZ42:BF44">
    <cfRule type="expression" dxfId="758" priority="50">
      <formula>$AZ$42="いいえ"</formula>
    </cfRule>
    <cfRule type="expression" dxfId="757" priority="49">
      <formula>$AZ$42="はい"</formula>
    </cfRule>
  </conditionalFormatting>
  <conditionalFormatting sqref="AZ61:BF63">
    <cfRule type="expression" dxfId="756" priority="47">
      <formula>$AZ$61="いいえ"</formula>
    </cfRule>
    <cfRule type="expression" dxfId="755" priority="48">
      <formula>$AZ$61="はい"</formula>
    </cfRule>
  </conditionalFormatting>
  <conditionalFormatting sqref="BA83">
    <cfRule type="expression" dxfId="754" priority="85">
      <formula>$AD$83&lt;&gt;""</formula>
    </cfRule>
  </conditionalFormatting>
  <conditionalFormatting sqref="BD4:BX6">
    <cfRule type="expression" dxfId="753" priority="51">
      <formula>OR($DE$20="",AND($DE$20="異なる",$DE$33=""))</formula>
    </cfRule>
  </conditionalFormatting>
  <conditionalFormatting sqref="BF83 BA83 AS83">
    <cfRule type="expression" dxfId="752" priority="84" stopIfTrue="1">
      <formula>$AD$83="更新"</formula>
    </cfRule>
  </conditionalFormatting>
  <conditionalFormatting sqref="BG89">
    <cfRule type="expression" dxfId="751" priority="34">
      <formula>$M$71=""</formula>
    </cfRule>
    <cfRule type="expression" dxfId="750" priority="35">
      <formula>AND($AD$83&lt;&gt;"新規",$AD$83&lt;&gt;"")</formula>
    </cfRule>
  </conditionalFormatting>
  <conditionalFormatting sqref="BI50">
    <cfRule type="containsBlanks" dxfId="749" priority="66">
      <formula>LEN(TRIM(BI50))=0</formula>
    </cfRule>
  </conditionalFormatting>
  <conditionalFormatting sqref="BI22:BN22 BI23:BM23 BI33:DK34 BI35:BN35 BI36:BM36">
    <cfRule type="expression" dxfId="748" priority="60">
      <formula>$DE$20="同じ"</formula>
    </cfRule>
  </conditionalFormatting>
  <conditionalFormatting sqref="BI35:BN35 BI36:BM36">
    <cfRule type="expression" dxfId="747" priority="61">
      <formula>$DE$33="同じ"</formula>
    </cfRule>
  </conditionalFormatting>
  <conditionalFormatting sqref="BI54:CE63">
    <cfRule type="notContainsBlanks" dxfId="746" priority="65">
      <formula>LEN(TRIM(BI54))&gt;0</formula>
    </cfRule>
  </conditionalFormatting>
  <conditionalFormatting sqref="BI24:DK31">
    <cfRule type="expression" dxfId="745" priority="52">
      <formula>$DE$20="同じ"</formula>
    </cfRule>
  </conditionalFormatting>
  <conditionalFormatting sqref="BI37:DK44">
    <cfRule type="expression" dxfId="744" priority="54">
      <formula>$DE$33="同じ"</formula>
    </cfRule>
    <cfRule type="expression" dxfId="743" priority="40">
      <formula>$DE$20="同じ"</formula>
    </cfRule>
  </conditionalFormatting>
  <conditionalFormatting sqref="BN35 BN22 DE33 BT37 CK37 BT39 CT39 BN41:CJ44 CP41:DK44 BT24 CK24 BT26 CT26 BN28:CJ31 CP28:DK31 DE20">
    <cfRule type="notContainsBlanks" dxfId="742" priority="62" stopIfTrue="1">
      <formula>LEN(TRIM(BN20))&gt;0</formula>
    </cfRule>
  </conditionalFormatting>
  <conditionalFormatting sqref="BO83 J86:X88 BF83 B86 Y86:AI86 Y87:AH88 J89 U89 Y89">
    <cfRule type="expression" dxfId="741" priority="27">
      <formula>AND($AD$83&lt;&gt;"新規",$AD$83&lt;&gt;"")</formula>
    </cfRule>
  </conditionalFormatting>
  <conditionalFormatting sqref="BO86:CN86 CS86 DD86 CY86 DG86 BO87:CM88">
    <cfRule type="expression" dxfId="740" priority="4">
      <formula>OR($AD$83="更新",$AD$83="更新(減数)")</formula>
    </cfRule>
  </conditionalFormatting>
  <conditionalFormatting sqref="BR89">
    <cfRule type="expression" dxfId="739" priority="31">
      <formula>$AD$83="新規"</formula>
    </cfRule>
    <cfRule type="expression" dxfId="738" priority="29">
      <formula>AND($AD$83&lt;&gt;"新規",$AD$83&lt;&gt;"")</formula>
    </cfRule>
    <cfRule type="expression" dxfId="737" priority="23">
      <formula>$M$71=""</formula>
    </cfRule>
  </conditionalFormatting>
  <conditionalFormatting sqref="BR89:BU91">
    <cfRule type="notContainsBlanks" dxfId="736" priority="30" stopIfTrue="1">
      <formula>LEN(TRIM(BR89))&gt;0</formula>
    </cfRule>
  </conditionalFormatting>
  <conditionalFormatting sqref="BR83:CX85">
    <cfRule type="expression" dxfId="735" priority="79">
      <formula>AND($AD$83="新規",OR($BO$83="無",$BO$83=""))</formula>
    </cfRule>
  </conditionalFormatting>
  <conditionalFormatting sqref="BV89">
    <cfRule type="expression" dxfId="734" priority="20">
      <formula>$M$71=""</formula>
    </cfRule>
    <cfRule type="expression" dxfId="733" priority="21">
      <formula>AND($AD$83&lt;&gt;"新規",$AD$83&lt;&gt;"")</formula>
    </cfRule>
  </conditionalFormatting>
  <conditionalFormatting sqref="BV89:DC91">
    <cfRule type="expression" dxfId="732" priority="22">
      <formula>NOT($BR$89="有")</formula>
    </cfRule>
  </conditionalFormatting>
  <conditionalFormatting sqref="BY4">
    <cfRule type="expression" dxfId="731" priority="75">
      <formula>OR($M$71="",AND(#REF!="",#REF!="",#REF!="",$J$83=""))</formula>
    </cfRule>
  </conditionalFormatting>
  <conditionalFormatting sqref="BZ83">
    <cfRule type="expression" dxfId="730" priority="89">
      <formula>OR($BO$83="有",AND($AD$83&lt;&gt;"新規",$AD$83&lt;&gt;""))</formula>
    </cfRule>
  </conditionalFormatting>
  <conditionalFormatting sqref="CF58">
    <cfRule type="expression" dxfId="729" priority="63">
      <formula>AND(BI58&lt;&gt;"",CF58="")</formula>
    </cfRule>
  </conditionalFormatting>
  <conditionalFormatting sqref="CF60">
    <cfRule type="expression" dxfId="728" priority="58">
      <formula>AND(BI60&lt;&gt;"",CF60="")</formula>
    </cfRule>
  </conditionalFormatting>
  <conditionalFormatting sqref="CF62">
    <cfRule type="expression" dxfId="727" priority="57">
      <formula>AND(BI62&lt;&gt;"",CF62="")</formula>
    </cfRule>
  </conditionalFormatting>
  <conditionalFormatting sqref="CF54:DB55">
    <cfRule type="notContainsBlanks" dxfId="726" priority="59">
      <formula>LEN(TRIM(CF54))&gt;0</formula>
    </cfRule>
  </conditionalFormatting>
  <conditionalFormatting sqref="CF56:DB57">
    <cfRule type="expression" dxfId="725" priority="64">
      <formula>AND(BI56&lt;&gt;"",CF56="")</formula>
    </cfRule>
  </conditionalFormatting>
  <conditionalFormatting sqref="CF89:DC91">
    <cfRule type="expression" dxfId="724" priority="33">
      <formula>$BR$89="有"</formula>
    </cfRule>
    <cfRule type="notContainsBlanks" dxfId="723" priority="32" stopIfTrue="1">
      <formula>LEN(TRIM(CF89))&gt;0</formula>
    </cfRule>
  </conditionalFormatting>
  <conditionalFormatting sqref="CS86 BZ86:CM88">
    <cfRule type="expression" dxfId="722" priority="38">
      <formula>$AD$83&lt;&gt;""</formula>
    </cfRule>
  </conditionalFormatting>
  <conditionalFormatting sqref="CY83:DG83 CY84:DF85">
    <cfRule type="expression" dxfId="721" priority="80">
      <formula>AND($AD$83&lt;&gt;"",$AD$83&lt;&gt;"新規",COUNTIF($AD$83,"&lt;&gt;*更新*"))</formula>
    </cfRule>
  </conditionalFormatting>
  <conditionalFormatting sqref="DB24">
    <cfRule type="notContainsBlanks" dxfId="720" priority="53" stopIfTrue="1">
      <formula>LEN(TRIM(DB24))&gt;0</formula>
    </cfRule>
  </conditionalFormatting>
  <conditionalFormatting sqref="DB37">
    <cfRule type="notContainsBlanks" dxfId="719" priority="55" stopIfTrue="1">
      <formula>LEN(TRIM(DB37))&gt;0</formula>
    </cfRule>
  </conditionalFormatting>
  <conditionalFormatting sqref="DD86 CY86">
    <cfRule type="expression" dxfId="718" priority="5">
      <formula>OR($CS$86="無",$CS$86="")</formula>
    </cfRule>
  </conditionalFormatting>
  <conditionalFormatting sqref="DD86">
    <cfRule type="expression" dxfId="717" priority="26">
      <formula>NOT(OR($CS$86="無",$CS$86=""))</formula>
    </cfRule>
  </conditionalFormatting>
  <conditionalFormatting sqref="DG83">
    <cfRule type="expression" dxfId="716" priority="81">
      <formula>OR($AD$83="新規",COUNTIF($AD$83,"*更新*"))</formula>
    </cfRule>
    <cfRule type="notContainsBlanks" dxfId="715" priority="70" stopIfTrue="1">
      <formula>LEN(TRIM(DG83))&gt;0</formula>
    </cfRule>
  </conditionalFormatting>
  <dataValidations count="37">
    <dataValidation imeMode="on" allowBlank="1" showInputMessage="1" showErrorMessage="1" error="半角文字が入っている可能性があります。" sqref="BA50:BF51" xr:uid="{00000000-0002-0000-0600-000000000000}"/>
    <dataValidation type="custom" imeMode="on" allowBlank="1" showInputMessage="1" showErrorMessage="1" error="半角文字が入っている可能性があります。" sqref="AO50:AZ51" xr:uid="{00000000-0002-0000-0600-000001000000}">
      <formula1>AND(AO50=DBCS(AO50))</formula1>
    </dataValidation>
    <dataValidation type="custom" imeMode="disabled" allowBlank="1" showInputMessage="1" showErrorMessage="1" errorTitle="E-Mail形式ではないか、文字数がオーバーしています。" error="「,」「..」「/」「;」「:」「&lt;」「&gt;」のいずれかが含まれるか、「＠」がありません。_x000a__x000a_もしくは入力されたアドレスの文字数が65文字以上になっています。" sqref="M74:AR76" xr:uid="{00000000-0002-0000-0600-000002000000}">
      <formula1>AND(COUNTIF(M74,"*,*")+COUNTIF(M74,"*..*")+COUNTIF(M74,"*&lt;*")+COUNTIF(M74,"*&gt;*")+COUNTIF(M74,"*;*")+COUNTIF(M74,"*:*")+COUNTIF(M74,"*/*")+COUNTIF(M74,"&lt;&gt;*@*")=0,LEN(M74)&lt;65)</formula1>
    </dataValidation>
    <dataValidation type="custom" imeMode="fullKatakana" allowBlank="1" showInputMessage="1" showErrorMessage="1" error="全角カナで入力してください" prompt="全角カタカナで入力してください。" sqref="G30" xr:uid="{00000000-0002-0000-0600-000003000000}">
      <formula1>AND(G30=DBCS(G30))</formula1>
    </dataValidation>
    <dataValidation type="whole" imeMode="disabled" operator="greaterThanOrEqual" allowBlank="1" showInputMessage="1" showErrorMessage="1" error="・新規最低購入ライセンス数は10ライセンスです。_x000a_・「追加」のときは追加後の合計ライセンス数を入力してください。" prompt="・新規最低購入ライセンス数は10ライセンスです。_x000a_・「追加」のときは追加後の合計ライセンス数を入力してください。" sqref="BA83 BF83" xr:uid="{00000000-0002-0000-0600-000004000000}">
      <formula1>10</formula1>
    </dataValidation>
    <dataValidation type="list" allowBlank="1" showInputMessage="1" showErrorMessage="1" sqref="AD83" xr:uid="{00000000-0002-0000-0600-000005000000}">
      <formula1>DeskCloud_申請区分</formula1>
    </dataValidation>
    <dataValidation type="custom" imeMode="disabled" allowBlank="1" showInputMessage="1" showErrorMessage="1" errorTitle="E-Mail形式ではありません。" error="「,」「..」「/」「;」「:」「&lt;」「&gt;」のいずれかが含まれるか、「＠」がありません。" sqref="CP30:DO31 AG59:BF60 CP43:DO44 AJ25:BF26 AG40:BF41 G25:AD26" xr:uid="{00000000-0002-0000-0600-000006000000}">
      <formula1>COUNTIF(G25,"*,*")+COUNTIF(G25,"*..*")+COUNTIF(G25,"*&lt;*")+COUNTIF(G25,"*&gt;*")+COUNTIF(G25,"*;*")+COUNTIF(G25,"*:*")+COUNTIF(G25,"*/*")+COUNTIF(G25,"&lt;&gt;*@*")=0</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00000000-0002-0000-0600-000007000000}">
      <formula1>業種</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00000000-0002-0000-0600-000008000000}">
      <formula1>AND(Q31=DBCS(Q31))</formula1>
    </dataValidation>
    <dataValidation type="list" imeMode="hiragana" allowBlank="1" showInputMessage="1" showErrorMessage="1" error="半角文字が入っている可能性があります。" sqref="G31" xr:uid="{00000000-0002-0000-0600-000009000000}">
      <formula1>法人格_前</formula1>
    </dataValidation>
    <dataValidation type="list" imeMode="hiragana" allowBlank="1" showInputMessage="1" showErrorMessage="1" error="半角文字が入っている可能性があります。" sqref="AZ31" xr:uid="{00000000-0002-0000-0600-00000A000000}">
      <formula1>法人格_後</formula1>
    </dataValidation>
    <dataValidation type="whole" imeMode="disabled" operator="greaterThanOrEqual" allowBlank="1" showInputMessage="1" showErrorMessage="1" sqref="J20:L21" xr:uid="{00000000-0002-0000-0600-00000B000000}">
      <formula1>20</formula1>
    </dataValidation>
    <dataValidation type="whole" imeMode="disabled" allowBlank="1" showInputMessage="1" showErrorMessage="1" sqref="X20:AB21" xr:uid="{00000000-0002-0000-0600-00000C000000}">
      <formula1>1</formula1>
      <formula2>31</formula2>
    </dataValidation>
    <dataValidation imeMode="disabled" allowBlank="1" showInputMessage="1" showErrorMessage="1" sqref="CF56:DB61" xr:uid="{00000000-0002-0000-0600-00000D000000}"/>
    <dataValidation type="custom" imeMode="disabled" allowBlank="1" showInputMessage="1" showErrorMessage="1" promptTitle="入力方法" prompt="(例)03-1111-2222_x000a_のように半角数字で_x000a_ハイフンを入れて_x000a_入力してください" sqref="BN30:CJ31 BN43:CJ44 G40:AA41 G59:AA60" xr:uid="{00000000-0002-0000-0600-00000E000000}">
      <formula1>AND(COUNTIF(G30,"*-*"),LEN(G30)=LENB(G30),LEN(G30)&lt;14)</formula1>
    </dataValidation>
    <dataValidation type="custom" imeMode="disabled" allowBlank="1" showInputMessage="1" showErrorMessage="1" error="半角英数字で入力してください" sqref="BI50:DB51" xr:uid="{00000000-0002-0000-0600-00000F000000}">
      <formula1>LENB(BI50)=LEN(BI50)</formula1>
    </dataValidation>
    <dataValidation type="custom" imeMode="on" allowBlank="1" showInputMessage="1" showErrorMessage="1" error="半角文字が入っている可能性があります。" promptTitle="入力方法" prompt="番地も含めてすべて全角で入力してください。" sqref="BT26:CM27 BT39:CM40" xr:uid="{00000000-0002-0000-0600-000010000000}">
      <formula1>AND(BT26=DBCS(BT26))</formula1>
    </dataValidation>
    <dataValidation type="custom" imeMode="on" allowBlank="1" showInputMessage="1" showErrorMessage="1" error="半角文字が入っている可能性があります。" promptTitle="入力方法" prompt="階数なども含めてすべて全角で入力してください。" sqref="CT26:DK27 CT39:DK40 AM35:BF36 AM54:BF55" xr:uid="{00000000-0002-0000-0600-000011000000}">
      <formula1>AND(AM26=DBCS(AM26))</formula1>
    </dataValidation>
    <dataValidation type="custom" imeMode="on" allowBlank="1" showInputMessage="1" showErrorMessage="1" error="半角文字が入っている可能性があります。" prompt="番地も含めてすべて全角で入力してください。" sqref="M35:AF36 M54:AF55" xr:uid="{00000000-0002-0000-0600-000012000000}">
      <formula1>AND(M35=DBCS(M35))</formula1>
    </dataValidation>
    <dataValidation type="custom" imeMode="on" allowBlank="1" showInputMessage="1" showErrorMessage="1" error="半角文字が入っている可能性があります。" prompt="全角文字で入力してください。" sqref="CP28:DK29 CP41:DK42 BN22 BN28:CJ29 DB24:DK25 BN41:CJ42 BN35 DB37:DK38 G56:AA58 G50 AG57:BF58 AU33:BF34 G37:AA39 AG38:BF39 AU52:BF53" xr:uid="{00000000-0002-0000-0600-000013000000}">
      <formula1>AND(G22=DBCS(G22))</formula1>
    </dataValidation>
    <dataValidation type="list" allowBlank="1" showInputMessage="1" showErrorMessage="1" prompt="ご発注対象製品をプルダウンよりご選択ください。" sqref="BI54:CE63" xr:uid="{00000000-0002-0000-0600-000014000000}">
      <formula1>"f-FILTER"</formula1>
    </dataValidation>
    <dataValidation imeMode="disabled" allowBlank="1" showInputMessage="1" showErrorMessage="1" prompt="ご発注対象に対応するお見積番号をご入力ください。" sqref="CF54:DB55" xr:uid="{00000000-0002-0000-0600-000015000000}"/>
    <dataValidation type="list" imeMode="on" allowBlank="1" showInputMessage="1" showErrorMessage="1" sqref="AZ42:BF44 AZ61:BF63" xr:uid="{00000000-0002-0000-0600-000016000000}">
      <formula1>"はい,いいえ"</formula1>
    </dataValidation>
    <dataValidation type="custom" imeMode="disabled" operator="equal" allowBlank="1" showInputMessage="1" showErrorMessage="1" promptTitle="入力方法" prompt="半角数字でハイフンを入れて入力をしてください。" sqref="BT24:CD25 BT37:CD38 M33:W34 M52:W53" xr:uid="{00000000-0002-0000-0600-000017000000}">
      <formula1>AND(COUNTIF(M24,"*-*"),LEN(M24)=LENB(M24),LEN(M24)=8)</formula1>
    </dataValidation>
    <dataValidation type="custom" imeMode="fullKatakana" allowBlank="1" showInputMessage="1" showErrorMessage="1" error="全角カタカナで入力してください" prompt="全角カタカナで入力してください。" sqref="AG37:BF37 AG56:BF56 G49" xr:uid="{00000000-0002-0000-0600-000018000000}">
      <formula1>AND(G37=DBCS(G37))</formula1>
    </dataValidation>
    <dataValidation type="list" imeMode="on" allowBlank="1" showInputMessage="1" showErrorMessage="1" sqref="CK37:CU38 CK24:CU25 AD33:AN34 AD52:AN53" xr:uid="{00000000-0002-0000-0600-000019000000}">
      <formula1>都道府県</formula1>
    </dataValidation>
    <dataValidation type="list" allowBlank="1" showInputMessage="1" showErrorMessage="1" sqref="DE20:DK21 DE33:DK34" xr:uid="{00000000-0002-0000-0600-00001A000000}">
      <formula1>"同じ,異なる"</formula1>
    </dataValidation>
    <dataValidation type="whole" imeMode="disabled" operator="greaterThanOrEqual" allowBlank="1" showInputMessage="1" showErrorMessage="1" sqref="N86:Q88" xr:uid="{00000000-0002-0000-0600-00001B000000}">
      <formula1>19</formula1>
    </dataValidation>
    <dataValidation type="whole" imeMode="disabled" allowBlank="1" showInputMessage="1" showErrorMessage="1" sqref="P20:T21 U86:X88" xr:uid="{00000000-0002-0000-0600-00001C000000}">
      <formula1>1</formula1>
      <formula2>12</formula2>
    </dataValidation>
    <dataValidation imeMode="off" allowBlank="1" showInputMessage="1" showErrorMessage="1" sqref="BZ83" xr:uid="{00000000-0002-0000-0600-00001D000000}"/>
    <dataValidation type="list" allowBlank="1" showInputMessage="1" showErrorMessage="1" sqref="M71:P73 BO83" xr:uid="{00000000-0002-0000-0600-00001E000000}">
      <formula1>有無</formula1>
    </dataValidation>
    <dataValidation type="list" allowBlank="1" showInputMessage="1" showErrorMessage="1" sqref="DG83" xr:uid="{00000000-0002-0000-0600-00001F000000}">
      <formula1>契約期間</formula1>
    </dataValidation>
    <dataValidation type="list" allowBlank="1" showInputMessage="1" showErrorMessage="1" sqref="J83" xr:uid="{00000000-0002-0000-0600-000020000000}">
      <formula1>"標準"</formula1>
    </dataValidation>
    <dataValidation type="list" imeMode="disabled" allowBlank="1" showInputMessage="1" showErrorMessage="1" sqref="U89:X91 BR89:BU91" xr:uid="{00000000-0002-0000-0600-000021000000}">
      <formula1>"有,無"</formula1>
    </dataValidation>
    <dataValidation type="list" allowBlank="1" showInputMessage="1" showErrorMessage="1" sqref="BZ86:CM88" xr:uid="{0C965468-AF6C-4D26-9A04-2A259871CFDC}">
      <formula1>"有/1年,有/3年,有/5年,有/7年,有/10年,無"</formula1>
    </dataValidation>
    <dataValidation type="list" allowBlank="1" showInputMessage="1" showErrorMessage="1" sqref="CS86" xr:uid="{E553FC89-CC05-4C05-9752-E20245311B0D}">
      <formula1>"有/50GB,有/100GB,有/500GB,有/1TB,有/5TB,有/10TB,無"</formula1>
    </dataValidation>
    <dataValidation type="list" allowBlank="1" showInputMessage="1" showErrorMessage="1" sqref="DD86:DF88" xr:uid="{4CBBF2DD-5F72-45BB-85C5-58A95AF3417F}">
      <formula1>"有,無"</formula1>
    </dataValidation>
  </dataValidations>
  <hyperlinks>
    <hyperlink ref="A95" r:id="rId1" xr:uid="{AFAD9079-1132-4A5C-B292-E352BD9514DD}"/>
  </hyperlinks>
  <printOptions horizontalCentered="1"/>
  <pageMargins left="0.11811023622047245" right="0.11811023622047245" top="0.39370078740157483" bottom="0.19685039370078741" header="0.11811023622047245" footer="0.11811023622047245"/>
  <pageSetup paperSize="9" scale="69" orientation="portrait" horizontalDpi="300" verticalDpi="300" r:id="rId2"/>
  <headerFooter>
    <oddFooter>&amp;LDigital Arts Inc.&amp;C&amp;P ページ&amp;R&amp;D</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FA163"/>
  <sheetViews>
    <sheetView workbookViewId="0">
      <selection activeCell="J20" sqref="J20:L21"/>
    </sheetView>
  </sheetViews>
  <sheetFormatPr defaultColWidth="1.26953125" defaultRowHeight="7.5" customHeight="1"/>
  <cols>
    <col min="1" max="1" width="2.6328125" style="129" customWidth="1"/>
    <col min="2" max="6" width="1.26953125" style="129"/>
    <col min="7" max="7" width="1.26953125" style="129" customWidth="1"/>
    <col min="8" max="12" width="1.26953125" style="129"/>
    <col min="13" max="13" width="1.36328125" style="129" customWidth="1"/>
    <col min="14" max="57" width="1.26953125" style="129"/>
    <col min="58" max="58" width="1.26953125" style="129" customWidth="1"/>
    <col min="59" max="116" width="1.26953125" style="129"/>
    <col min="117" max="117" width="8.08984375" style="129" customWidth="1"/>
    <col min="118" max="156" width="1.26953125" style="129"/>
    <col min="157" max="158" width="1.26953125" style="129" customWidth="1"/>
    <col min="159" max="162" width="1.26953125" style="129"/>
    <col min="163" max="163" width="1.26953125" style="129" customWidth="1"/>
    <col min="164" max="16384" width="1.26953125" style="129"/>
  </cols>
  <sheetData>
    <row r="1" spans="1:157" s="270" customFormat="1" ht="7.5" customHeight="1">
      <c r="A1" s="2873" t="s">
        <v>1521</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3"/>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c r="BU1" s="2873"/>
      <c r="BV1" s="2873"/>
      <c r="BW1" s="2873"/>
      <c r="BX1" s="2873"/>
      <c r="BY1" s="2873"/>
      <c r="BZ1" s="2873"/>
      <c r="CA1" s="2873"/>
      <c r="CB1" s="2873"/>
      <c r="CC1" s="2873"/>
      <c r="CD1" s="2873"/>
      <c r="CE1" s="2873"/>
      <c r="CF1" s="2873"/>
      <c r="CG1" s="2873"/>
      <c r="CH1" s="2873"/>
      <c r="CI1" s="2873"/>
      <c r="CJ1" s="2873"/>
      <c r="CK1" s="2873"/>
      <c r="CL1" s="2873"/>
      <c r="CM1" s="2873"/>
      <c r="CN1" s="2873"/>
      <c r="CO1" s="2873"/>
      <c r="CP1" s="2873"/>
      <c r="CQ1" s="2873"/>
      <c r="CR1" s="2873"/>
      <c r="CS1" s="2873"/>
      <c r="CT1" s="2873"/>
      <c r="CU1" s="2873"/>
      <c r="CV1" s="2873"/>
      <c r="CW1" s="2873"/>
      <c r="CX1" s="2873"/>
      <c r="CY1" s="2873"/>
      <c r="CZ1" s="2873"/>
      <c r="DA1" s="2873"/>
      <c r="DB1" s="2873"/>
      <c r="DC1" s="2873"/>
      <c r="DD1" s="2873"/>
      <c r="DE1" s="2873"/>
      <c r="DF1" s="2873"/>
      <c r="DG1" s="2873"/>
      <c r="DH1" s="2873"/>
      <c r="DI1" s="2873"/>
      <c r="DJ1" s="2873"/>
      <c r="DK1" s="2873"/>
      <c r="DL1" s="2873"/>
      <c r="DM1" s="49"/>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row>
    <row r="2" spans="1:157" s="270" customFormat="1" ht="7.5" customHeight="1">
      <c r="A2" s="2873"/>
      <c r="B2" s="2873"/>
      <c r="C2" s="2873"/>
      <c r="D2" s="2873"/>
      <c r="E2" s="2873"/>
      <c r="F2" s="2873"/>
      <c r="G2" s="2873"/>
      <c r="H2" s="2873"/>
      <c r="I2" s="2873"/>
      <c r="J2" s="2873"/>
      <c r="K2" s="2873"/>
      <c r="L2" s="2873"/>
      <c r="M2" s="2873"/>
      <c r="N2" s="2873"/>
      <c r="O2" s="2873"/>
      <c r="P2" s="2873"/>
      <c r="Q2" s="2873"/>
      <c r="R2" s="2873"/>
      <c r="S2" s="2873"/>
      <c r="T2" s="2873"/>
      <c r="U2" s="2873"/>
      <c r="V2" s="2873"/>
      <c r="W2" s="2873"/>
      <c r="X2" s="2873"/>
      <c r="Y2" s="2873"/>
      <c r="Z2" s="2873"/>
      <c r="AA2" s="2873"/>
      <c r="AB2" s="2873"/>
      <c r="AC2" s="2873"/>
      <c r="AD2" s="2873"/>
      <c r="AE2" s="2873"/>
      <c r="AF2" s="2873"/>
      <c r="AG2" s="2873"/>
      <c r="AH2" s="2873"/>
      <c r="AI2" s="2873"/>
      <c r="AJ2" s="2873"/>
      <c r="AK2" s="2873"/>
      <c r="AL2" s="2873"/>
      <c r="AM2" s="2873"/>
      <c r="AN2" s="2873"/>
      <c r="AO2" s="2873"/>
      <c r="AP2" s="2873"/>
      <c r="AQ2" s="2873"/>
      <c r="AR2" s="2873"/>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c r="BP2" s="2873"/>
      <c r="BQ2" s="2873"/>
      <c r="BR2" s="2873"/>
      <c r="BS2" s="2873"/>
      <c r="BT2" s="2873"/>
      <c r="BU2" s="2873"/>
      <c r="BV2" s="2873"/>
      <c r="BW2" s="2873"/>
      <c r="BX2" s="2873"/>
      <c r="BY2" s="2873"/>
      <c r="BZ2" s="2873"/>
      <c r="CA2" s="2873"/>
      <c r="CB2" s="2873"/>
      <c r="CC2" s="2873"/>
      <c r="CD2" s="2873"/>
      <c r="CE2" s="2873"/>
      <c r="CF2" s="2873"/>
      <c r="CG2" s="2873"/>
      <c r="CH2" s="2873"/>
      <c r="CI2" s="2873"/>
      <c r="CJ2" s="2873"/>
      <c r="CK2" s="2873"/>
      <c r="CL2" s="2873"/>
      <c r="CM2" s="2873"/>
      <c r="CN2" s="2873"/>
      <c r="CO2" s="2873"/>
      <c r="CP2" s="2873"/>
      <c r="CQ2" s="2873"/>
      <c r="CR2" s="2873"/>
      <c r="CS2" s="2873"/>
      <c r="CT2" s="2873"/>
      <c r="CU2" s="2873"/>
      <c r="CV2" s="2873"/>
      <c r="CW2" s="2873"/>
      <c r="CX2" s="2873"/>
      <c r="CY2" s="2873"/>
      <c r="CZ2" s="2873"/>
      <c r="DA2" s="2873"/>
      <c r="DB2" s="2873"/>
      <c r="DC2" s="2873"/>
      <c r="DD2" s="2873"/>
      <c r="DE2" s="2873"/>
      <c r="DF2" s="2873"/>
      <c r="DG2" s="2873"/>
      <c r="DH2" s="2873"/>
      <c r="DI2" s="2873"/>
      <c r="DJ2" s="2873"/>
      <c r="DK2" s="2873"/>
      <c r="DL2" s="2873"/>
      <c r="DM2" s="49"/>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row>
    <row r="3" spans="1:157" s="270" customFormat="1" ht="7.5" customHeight="1">
      <c r="A3" s="2873"/>
      <c r="B3" s="2873"/>
      <c r="C3" s="2873"/>
      <c r="D3" s="2873"/>
      <c r="E3" s="2873"/>
      <c r="F3" s="2873"/>
      <c r="G3" s="2873"/>
      <c r="H3" s="2873"/>
      <c r="I3" s="2873"/>
      <c r="J3" s="2873"/>
      <c r="K3" s="2873"/>
      <c r="L3" s="2873"/>
      <c r="M3" s="2873"/>
      <c r="N3" s="2873"/>
      <c r="O3" s="2873"/>
      <c r="P3" s="2873"/>
      <c r="Q3" s="2873"/>
      <c r="R3" s="2873"/>
      <c r="S3" s="2873"/>
      <c r="T3" s="2873"/>
      <c r="U3" s="2873"/>
      <c r="V3" s="2873"/>
      <c r="W3" s="2873"/>
      <c r="X3" s="2873"/>
      <c r="Y3" s="2873"/>
      <c r="Z3" s="2873"/>
      <c r="AA3" s="2873"/>
      <c r="AB3" s="2873"/>
      <c r="AC3" s="2873"/>
      <c r="AD3" s="2873"/>
      <c r="AE3" s="2873"/>
      <c r="AF3" s="2873"/>
      <c r="AG3" s="2873"/>
      <c r="AH3" s="2873"/>
      <c r="AI3" s="2873"/>
      <c r="AJ3" s="2873"/>
      <c r="AK3" s="2873"/>
      <c r="AL3" s="2873"/>
      <c r="AM3" s="2873"/>
      <c r="AN3" s="2873"/>
      <c r="AO3" s="2873"/>
      <c r="AP3" s="2873"/>
      <c r="AQ3" s="2873"/>
      <c r="AR3" s="2873"/>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c r="BP3" s="2873"/>
      <c r="BQ3" s="2873"/>
      <c r="BR3" s="2873"/>
      <c r="BS3" s="2873"/>
      <c r="BT3" s="2873"/>
      <c r="BU3" s="2873"/>
      <c r="BV3" s="2873"/>
      <c r="BW3" s="2873"/>
      <c r="BX3" s="2873"/>
      <c r="BY3" s="2873"/>
      <c r="BZ3" s="2873"/>
      <c r="CA3" s="2873"/>
      <c r="CB3" s="2873"/>
      <c r="CC3" s="2873"/>
      <c r="CD3" s="2873"/>
      <c r="CE3" s="2873"/>
      <c r="CF3" s="2873"/>
      <c r="CG3" s="2873"/>
      <c r="CH3" s="2873"/>
      <c r="CI3" s="2873"/>
      <c r="CJ3" s="2873"/>
      <c r="CK3" s="2873"/>
      <c r="CL3" s="2873"/>
      <c r="CM3" s="2873"/>
      <c r="CN3" s="2873"/>
      <c r="CO3" s="2873"/>
      <c r="CP3" s="2873"/>
      <c r="CQ3" s="2873"/>
      <c r="CR3" s="2873"/>
      <c r="CS3" s="2873"/>
      <c r="CT3" s="2873"/>
      <c r="CU3" s="2873"/>
      <c r="CV3" s="2873"/>
      <c r="CW3" s="2873"/>
      <c r="CX3" s="2873"/>
      <c r="CY3" s="2873"/>
      <c r="CZ3" s="2873"/>
      <c r="DA3" s="2873"/>
      <c r="DB3" s="2873"/>
      <c r="DC3" s="2873"/>
      <c r="DD3" s="2873"/>
      <c r="DE3" s="2873"/>
      <c r="DF3" s="2873"/>
      <c r="DG3" s="2873"/>
      <c r="DH3" s="2873"/>
      <c r="DI3" s="2873"/>
      <c r="DJ3" s="2873"/>
      <c r="DK3" s="2873"/>
      <c r="DL3" s="2873"/>
      <c r="DM3" s="49"/>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row>
    <row r="4" spans="1:157" ht="7.5" customHeight="1">
      <c r="A4" s="3694" t="s">
        <v>828</v>
      </c>
      <c r="B4" s="3694"/>
      <c r="C4" s="3694"/>
      <c r="D4" s="3694"/>
      <c r="E4" s="3694"/>
      <c r="F4" s="3694"/>
      <c r="G4" s="3694"/>
      <c r="H4" s="3694"/>
      <c r="I4" s="3694"/>
      <c r="J4" s="3694"/>
      <c r="K4" s="3694"/>
      <c r="L4" s="3694"/>
      <c r="M4" s="3694"/>
      <c r="N4" s="3694"/>
      <c r="O4" s="3694"/>
      <c r="P4" s="3694"/>
      <c r="Q4" s="3694"/>
      <c r="R4" s="3694"/>
      <c r="S4" s="3694"/>
      <c r="T4" s="3694"/>
      <c r="U4" s="3694"/>
      <c r="V4" s="3694"/>
      <c r="W4" s="3694"/>
      <c r="X4" s="3694"/>
      <c r="Y4" s="3694"/>
      <c r="Z4" s="3694"/>
      <c r="AA4" s="3694"/>
      <c r="AB4" s="3694"/>
      <c r="AC4" s="3694"/>
      <c r="AD4" s="3694"/>
      <c r="AE4" s="3694"/>
      <c r="AF4" s="3694"/>
      <c r="AG4" s="3694"/>
      <c r="AH4" s="3694"/>
      <c r="AI4" s="3694"/>
      <c r="AJ4" s="3694"/>
      <c r="AK4" s="3694"/>
      <c r="AL4" s="3694"/>
      <c r="AM4" s="3694"/>
      <c r="AN4" s="3694"/>
      <c r="AO4" s="3694"/>
      <c r="AP4" s="3694"/>
      <c r="AQ4" s="3694"/>
      <c r="AR4" s="3694"/>
      <c r="AS4" s="3694"/>
      <c r="AT4" s="3694"/>
      <c r="AU4" s="3694"/>
      <c r="AV4" s="3694"/>
      <c r="BD4" s="3695" t="s">
        <v>671</v>
      </c>
      <c r="BE4" s="3695"/>
      <c r="BF4" s="3695"/>
      <c r="BG4" s="3695"/>
      <c r="BH4" s="3695"/>
      <c r="BI4" s="3695"/>
      <c r="BJ4" s="3695"/>
      <c r="BK4" s="3695"/>
      <c r="BL4" s="3695"/>
      <c r="BM4" s="3695"/>
      <c r="BN4" s="3695"/>
      <c r="BO4" s="3695"/>
      <c r="BP4" s="3695"/>
      <c r="BQ4" s="3695"/>
      <c r="BR4" s="3695"/>
      <c r="BS4" s="3695"/>
      <c r="BT4" s="3695"/>
      <c r="BU4" s="3695"/>
      <c r="BV4" s="3695"/>
      <c r="BW4" s="3695"/>
      <c r="BX4" s="3695"/>
      <c r="BY4" s="315"/>
      <c r="BZ4" s="315"/>
      <c r="CA4" s="315"/>
      <c r="CB4" s="315"/>
      <c r="CC4" s="315"/>
      <c r="CD4" s="315"/>
      <c r="CE4" s="315"/>
      <c r="CF4" s="315"/>
      <c r="CG4" s="315"/>
      <c r="CH4" s="31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row>
    <row r="5" spans="1:157" ht="7.5" customHeight="1">
      <c r="A5" s="3694"/>
      <c r="B5" s="3694"/>
      <c r="C5" s="3694"/>
      <c r="D5" s="3694"/>
      <c r="E5" s="3694"/>
      <c r="F5" s="3694"/>
      <c r="G5" s="3694"/>
      <c r="H5" s="3694"/>
      <c r="I5" s="3694"/>
      <c r="J5" s="3694"/>
      <c r="K5" s="3694"/>
      <c r="L5" s="3694"/>
      <c r="M5" s="3694"/>
      <c r="N5" s="3694"/>
      <c r="O5" s="3694"/>
      <c r="P5" s="3694"/>
      <c r="Q5" s="3694"/>
      <c r="R5" s="3694"/>
      <c r="S5" s="3694"/>
      <c r="T5" s="3694"/>
      <c r="U5" s="3694"/>
      <c r="V5" s="3694"/>
      <c r="W5" s="3694"/>
      <c r="X5" s="3694"/>
      <c r="Y5" s="3694"/>
      <c r="Z5" s="3694"/>
      <c r="AA5" s="3694"/>
      <c r="AB5" s="3694"/>
      <c r="AC5" s="3694"/>
      <c r="AD5" s="3694"/>
      <c r="AE5" s="3694"/>
      <c r="AF5" s="3694"/>
      <c r="AG5" s="3694"/>
      <c r="AH5" s="3694"/>
      <c r="AI5" s="3694"/>
      <c r="AJ5" s="3694"/>
      <c r="AK5" s="3694"/>
      <c r="AL5" s="3694"/>
      <c r="AM5" s="3694"/>
      <c r="AN5" s="3694"/>
      <c r="AO5" s="3694"/>
      <c r="AP5" s="3694"/>
      <c r="AQ5" s="3694"/>
      <c r="AR5" s="3694"/>
      <c r="AS5" s="3694"/>
      <c r="AT5" s="3694"/>
      <c r="AU5" s="3694"/>
      <c r="AV5" s="3694"/>
      <c r="BD5" s="3695"/>
      <c r="BE5" s="3695"/>
      <c r="BF5" s="3695"/>
      <c r="BG5" s="3695"/>
      <c r="BH5" s="3695"/>
      <c r="BI5" s="3695"/>
      <c r="BJ5" s="3695"/>
      <c r="BK5" s="3695"/>
      <c r="BL5" s="3695"/>
      <c r="BM5" s="3695"/>
      <c r="BN5" s="3695"/>
      <c r="BO5" s="3695"/>
      <c r="BP5" s="3695"/>
      <c r="BQ5" s="3695"/>
      <c r="BR5" s="3695"/>
      <c r="BS5" s="3695"/>
      <c r="BT5" s="3695"/>
      <c r="BU5" s="3695"/>
      <c r="BV5" s="3695"/>
      <c r="BW5" s="3695"/>
      <c r="BX5" s="3695"/>
      <c r="BY5" s="315"/>
      <c r="BZ5" s="315"/>
      <c r="CA5" s="315"/>
      <c r="CB5" s="315"/>
      <c r="CC5" s="315"/>
      <c r="CD5" s="315"/>
      <c r="CE5" s="315"/>
      <c r="CF5" s="315"/>
      <c r="CG5" s="315"/>
      <c r="CH5" s="315"/>
      <c r="DD5" s="128"/>
      <c r="DE5" s="128"/>
      <c r="DF5" s="128"/>
      <c r="DG5" s="128"/>
      <c r="DH5" s="128"/>
      <c r="DI5" s="128"/>
      <c r="DJ5" s="128"/>
      <c r="DK5" s="128"/>
      <c r="DL5" s="128"/>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row>
    <row r="6" spans="1:157" ht="7.5" customHeight="1">
      <c r="A6" s="3694"/>
      <c r="B6" s="3694"/>
      <c r="C6" s="3694"/>
      <c r="D6" s="3694"/>
      <c r="E6" s="3694"/>
      <c r="F6" s="3694"/>
      <c r="G6" s="3694"/>
      <c r="H6" s="3694"/>
      <c r="I6" s="3694"/>
      <c r="J6" s="3694"/>
      <c r="K6" s="3694"/>
      <c r="L6" s="3694"/>
      <c r="M6" s="3694"/>
      <c r="N6" s="3694"/>
      <c r="O6" s="3694"/>
      <c r="P6" s="3694"/>
      <c r="Q6" s="3694"/>
      <c r="R6" s="3694"/>
      <c r="S6" s="3694"/>
      <c r="T6" s="3694"/>
      <c r="U6" s="3694"/>
      <c r="V6" s="3694"/>
      <c r="W6" s="3694"/>
      <c r="X6" s="3694"/>
      <c r="Y6" s="3694"/>
      <c r="Z6" s="3694"/>
      <c r="AA6" s="3694"/>
      <c r="AB6" s="3694"/>
      <c r="AC6" s="3694"/>
      <c r="AD6" s="3694"/>
      <c r="AE6" s="3694"/>
      <c r="AF6" s="3694"/>
      <c r="AG6" s="3694"/>
      <c r="AH6" s="3694"/>
      <c r="AI6" s="3694"/>
      <c r="AJ6" s="3694"/>
      <c r="AK6" s="3694"/>
      <c r="AL6" s="3694"/>
      <c r="AM6" s="3694"/>
      <c r="AN6" s="3694"/>
      <c r="AO6" s="3694"/>
      <c r="AP6" s="3694"/>
      <c r="AQ6" s="3694"/>
      <c r="AR6" s="3694"/>
      <c r="AS6" s="3694"/>
      <c r="AT6" s="3694"/>
      <c r="AU6" s="3694"/>
      <c r="AV6" s="3694"/>
      <c r="BD6" s="3695"/>
      <c r="BE6" s="3695"/>
      <c r="BF6" s="3695"/>
      <c r="BG6" s="3695"/>
      <c r="BH6" s="3695"/>
      <c r="BI6" s="3695"/>
      <c r="BJ6" s="3695"/>
      <c r="BK6" s="3695"/>
      <c r="BL6" s="3695"/>
      <c r="BM6" s="3695"/>
      <c r="BN6" s="3695"/>
      <c r="BO6" s="3695"/>
      <c r="BP6" s="3695"/>
      <c r="BQ6" s="3695"/>
      <c r="BR6" s="3695"/>
      <c r="BS6" s="3695"/>
      <c r="BT6" s="3695"/>
      <c r="BU6" s="3695"/>
      <c r="BV6" s="3695"/>
      <c r="BW6" s="3695"/>
      <c r="BX6" s="3695"/>
      <c r="BY6" s="315"/>
      <c r="BZ6" s="315"/>
      <c r="CA6" s="315"/>
      <c r="CB6" s="315"/>
      <c r="CC6" s="315"/>
      <c r="CD6" s="315"/>
      <c r="CE6" s="315"/>
      <c r="CF6" s="315"/>
      <c r="CG6" s="315"/>
      <c r="CH6" s="315"/>
      <c r="DD6" s="128"/>
      <c r="DE6" s="128"/>
      <c r="DF6" s="128"/>
      <c r="DG6" s="128"/>
      <c r="DH6" s="128"/>
      <c r="DI6" s="128"/>
      <c r="DJ6" s="128"/>
      <c r="DK6" s="128"/>
      <c r="DL6" s="128"/>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row>
    <row r="7" spans="1:157" ht="7.5" customHeight="1">
      <c r="A7" s="128"/>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row>
    <row r="8" spans="1:157" ht="7.5" customHeight="1">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row>
    <row r="9" spans="1:157" ht="7.5" customHeight="1">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row>
    <row r="10" spans="1:157" ht="7.5" customHeight="1">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row>
    <row r="11" spans="1:157" ht="7.5" customHeight="1">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row>
    <row r="12" spans="1:157" ht="7.5" customHeight="1">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row>
    <row r="13" spans="1:157" ht="7.5" customHeight="1">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row>
    <row r="14" spans="1:157" ht="7.5" customHeight="1">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row>
    <row r="15" spans="1:157" ht="7.5" customHeight="1">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row>
    <row r="16" spans="1:157" ht="7.5" customHeight="1">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row>
    <row r="17" spans="1:157" ht="7.5" customHeight="1">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row>
    <row r="18" spans="1:157" ht="7.5" customHeight="1">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row>
    <row r="19" spans="1:157" ht="7.5" customHeight="1" thickBot="1">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row>
    <row r="20" spans="1:157" s="45" customFormat="1" ht="7.5" customHeight="1" thickTop="1">
      <c r="A20" s="44"/>
      <c r="B20" s="882" t="s">
        <v>71</v>
      </c>
      <c r="C20" s="883"/>
      <c r="D20" s="883"/>
      <c r="E20" s="883"/>
      <c r="F20" s="884"/>
      <c r="G20" s="888">
        <v>20</v>
      </c>
      <c r="H20" s="889"/>
      <c r="I20" s="889"/>
      <c r="J20" s="892"/>
      <c r="K20" s="892"/>
      <c r="L20" s="892"/>
      <c r="M20" s="894" t="s">
        <v>0</v>
      </c>
      <c r="N20" s="894"/>
      <c r="O20" s="894"/>
      <c r="P20" s="775"/>
      <c r="Q20" s="775"/>
      <c r="R20" s="775"/>
      <c r="S20" s="775"/>
      <c r="T20" s="775"/>
      <c r="U20" s="894" t="s">
        <v>1</v>
      </c>
      <c r="V20" s="894"/>
      <c r="W20" s="894"/>
      <c r="X20" s="775"/>
      <c r="Y20" s="775"/>
      <c r="Z20" s="775"/>
      <c r="AA20" s="775"/>
      <c r="AB20" s="775"/>
      <c r="AC20" s="777" t="s">
        <v>2</v>
      </c>
      <c r="AD20" s="777"/>
      <c r="AE20" s="778"/>
      <c r="AF20" s="781" t="s">
        <v>167</v>
      </c>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44"/>
      <c r="BH20" s="44"/>
      <c r="BI20" s="783" t="s">
        <v>564</v>
      </c>
      <c r="BJ20" s="784"/>
      <c r="BK20" s="784"/>
      <c r="BL20" s="784"/>
      <c r="BM20" s="784"/>
      <c r="BN20" s="784"/>
      <c r="BO20" s="784"/>
      <c r="BP20" s="784"/>
      <c r="BQ20" s="784"/>
      <c r="BR20" s="784"/>
      <c r="BS20" s="784"/>
      <c r="BT20" s="784"/>
      <c r="BU20" s="784"/>
      <c r="BV20" s="784"/>
      <c r="BW20" s="784"/>
      <c r="BX20" s="784"/>
      <c r="BY20" s="784"/>
      <c r="BZ20" s="784"/>
      <c r="CA20" s="784"/>
      <c r="CB20" s="784"/>
      <c r="CC20" s="787" t="s">
        <v>511</v>
      </c>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9"/>
      <c r="DE20" s="875"/>
      <c r="DF20" s="875"/>
      <c r="DG20" s="875"/>
      <c r="DH20" s="875"/>
      <c r="DI20" s="875"/>
      <c r="DJ20" s="875"/>
      <c r="DK20" s="876"/>
      <c r="DL20" s="46"/>
    </row>
    <row r="21" spans="1:157" s="45" customFormat="1" ht="7.5" customHeight="1" thickBot="1">
      <c r="A21" s="44"/>
      <c r="B21" s="885"/>
      <c r="C21" s="886"/>
      <c r="D21" s="886"/>
      <c r="E21" s="886"/>
      <c r="F21" s="887"/>
      <c r="G21" s="890"/>
      <c r="H21" s="891"/>
      <c r="I21" s="891"/>
      <c r="J21" s="893"/>
      <c r="K21" s="893"/>
      <c r="L21" s="893"/>
      <c r="M21" s="895"/>
      <c r="N21" s="895"/>
      <c r="O21" s="895"/>
      <c r="P21" s="776"/>
      <c r="Q21" s="776"/>
      <c r="R21" s="776"/>
      <c r="S21" s="776"/>
      <c r="T21" s="776"/>
      <c r="U21" s="895"/>
      <c r="V21" s="895"/>
      <c r="W21" s="895"/>
      <c r="X21" s="776"/>
      <c r="Y21" s="776"/>
      <c r="Z21" s="776"/>
      <c r="AA21" s="776"/>
      <c r="AB21" s="776"/>
      <c r="AC21" s="779"/>
      <c r="AD21" s="779"/>
      <c r="AE21" s="780"/>
      <c r="AF21" s="781"/>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44"/>
      <c r="BH21" s="44"/>
      <c r="BI21" s="785"/>
      <c r="BJ21" s="786"/>
      <c r="BK21" s="786"/>
      <c r="BL21" s="786"/>
      <c r="BM21" s="786"/>
      <c r="BN21" s="786"/>
      <c r="BO21" s="786"/>
      <c r="BP21" s="786"/>
      <c r="BQ21" s="786"/>
      <c r="BR21" s="786"/>
      <c r="BS21" s="786"/>
      <c r="BT21" s="786"/>
      <c r="BU21" s="786"/>
      <c r="BV21" s="786"/>
      <c r="BW21" s="786"/>
      <c r="BX21" s="786"/>
      <c r="BY21" s="786"/>
      <c r="BZ21" s="786"/>
      <c r="CA21" s="786"/>
      <c r="CB21" s="786"/>
      <c r="CC21" s="790"/>
      <c r="CD21" s="791"/>
      <c r="CE21" s="791"/>
      <c r="CF21" s="791"/>
      <c r="CG21" s="791"/>
      <c r="CH21" s="791"/>
      <c r="CI21" s="791"/>
      <c r="CJ21" s="791"/>
      <c r="CK21" s="791"/>
      <c r="CL21" s="791"/>
      <c r="CM21" s="791"/>
      <c r="CN21" s="791"/>
      <c r="CO21" s="791"/>
      <c r="CP21" s="791"/>
      <c r="CQ21" s="791"/>
      <c r="CR21" s="791"/>
      <c r="CS21" s="791"/>
      <c r="CT21" s="791"/>
      <c r="CU21" s="791"/>
      <c r="CV21" s="791"/>
      <c r="CW21" s="791"/>
      <c r="CX21" s="791"/>
      <c r="CY21" s="791"/>
      <c r="CZ21" s="791"/>
      <c r="DA21" s="791"/>
      <c r="DB21" s="791"/>
      <c r="DC21" s="791"/>
      <c r="DD21" s="792"/>
      <c r="DE21" s="877"/>
      <c r="DF21" s="877"/>
      <c r="DG21" s="877"/>
      <c r="DH21" s="877"/>
      <c r="DI21" s="877"/>
      <c r="DJ21" s="877"/>
      <c r="DK21" s="878"/>
      <c r="DL21" s="46"/>
    </row>
    <row r="22" spans="1:157" s="45" customFormat="1" ht="7.5" customHeight="1">
      <c r="A22" s="44"/>
      <c r="B22" s="827" t="s">
        <v>168</v>
      </c>
      <c r="C22" s="828"/>
      <c r="D22" s="828"/>
      <c r="E22" s="828"/>
      <c r="F22" s="828"/>
      <c r="G22" s="828"/>
      <c r="H22" s="828"/>
      <c r="I22" s="828"/>
      <c r="J22" s="828"/>
      <c r="K22" s="828"/>
      <c r="L22" s="828"/>
      <c r="M22" s="828"/>
      <c r="N22" s="828"/>
      <c r="O22" s="828"/>
      <c r="P22" s="828"/>
      <c r="Q22" s="828"/>
      <c r="R22" s="828"/>
      <c r="S22" s="828"/>
      <c r="T22" s="828"/>
      <c r="U22" s="828"/>
      <c r="V22" s="828"/>
      <c r="W22" s="828"/>
      <c r="X22" s="828"/>
      <c r="Y22" s="222"/>
      <c r="Z22" s="831" t="s">
        <v>169</v>
      </c>
      <c r="AA22" s="831"/>
      <c r="AB22" s="831"/>
      <c r="AC22" s="831"/>
      <c r="AD22" s="831"/>
      <c r="AE22" s="831"/>
      <c r="AF22" s="831"/>
      <c r="AG22" s="831"/>
      <c r="AH22" s="831"/>
      <c r="AI22" s="831"/>
      <c r="AJ22" s="831"/>
      <c r="AK22" s="831"/>
      <c r="AL22" s="831"/>
      <c r="AM22" s="831"/>
      <c r="AN22" s="831"/>
      <c r="AO22" s="831"/>
      <c r="AP22" s="831"/>
      <c r="AQ22" s="831"/>
      <c r="AR22" s="831"/>
      <c r="AS22" s="831"/>
      <c r="AT22" s="831"/>
      <c r="AU22" s="831"/>
      <c r="AV22" s="831"/>
      <c r="AW22" s="831"/>
      <c r="AX22" s="831"/>
      <c r="AY22" s="831"/>
      <c r="AZ22" s="831"/>
      <c r="BA22" s="831"/>
      <c r="BB22" s="831"/>
      <c r="BC22" s="831"/>
      <c r="BD22" s="831"/>
      <c r="BE22" s="831"/>
      <c r="BF22" s="832"/>
      <c r="BG22" s="44"/>
      <c r="BH22" s="44"/>
      <c r="BI22" s="835" t="s">
        <v>3</v>
      </c>
      <c r="BJ22" s="836"/>
      <c r="BK22" s="836"/>
      <c r="BL22" s="836"/>
      <c r="BM22" s="837"/>
      <c r="BN22" s="841"/>
      <c r="BO22" s="842"/>
      <c r="BP22" s="842"/>
      <c r="BQ22" s="842"/>
      <c r="BR22" s="842"/>
      <c r="BS22" s="842"/>
      <c r="BT22" s="842"/>
      <c r="BU22" s="842"/>
      <c r="BV22" s="842"/>
      <c r="BW22" s="842"/>
      <c r="BX22" s="842"/>
      <c r="BY22" s="842"/>
      <c r="BZ22" s="842"/>
      <c r="CA22" s="842"/>
      <c r="CB22" s="842"/>
      <c r="CC22" s="842"/>
      <c r="CD22" s="842"/>
      <c r="CE22" s="842"/>
      <c r="CF22" s="842"/>
      <c r="CG22" s="842"/>
      <c r="CH22" s="842"/>
      <c r="CI22" s="842"/>
      <c r="CJ22" s="842"/>
      <c r="CK22" s="842"/>
      <c r="CL22" s="842"/>
      <c r="CM22" s="842"/>
      <c r="CN22" s="842"/>
      <c r="CO22" s="842"/>
      <c r="CP22" s="842"/>
      <c r="CQ22" s="842"/>
      <c r="CR22" s="842"/>
      <c r="CS22" s="842"/>
      <c r="CT22" s="842"/>
      <c r="CU22" s="842"/>
      <c r="CV22" s="842"/>
      <c r="CW22" s="842"/>
      <c r="CX22" s="842"/>
      <c r="CY22" s="842"/>
      <c r="CZ22" s="842"/>
      <c r="DA22" s="842"/>
      <c r="DB22" s="842"/>
      <c r="DC22" s="842"/>
      <c r="DD22" s="842"/>
      <c r="DE22" s="842"/>
      <c r="DF22" s="842"/>
      <c r="DG22" s="842"/>
      <c r="DH22" s="842"/>
      <c r="DI22" s="842"/>
      <c r="DJ22" s="842"/>
      <c r="DK22" s="3698"/>
      <c r="DL22" s="47"/>
    </row>
    <row r="23" spans="1:157" s="45" customFormat="1" ht="7.5" customHeight="1">
      <c r="A23" s="44"/>
      <c r="B23" s="829"/>
      <c r="C23" s="830"/>
      <c r="D23" s="830"/>
      <c r="E23" s="830"/>
      <c r="F23" s="830"/>
      <c r="G23" s="830"/>
      <c r="H23" s="830"/>
      <c r="I23" s="830"/>
      <c r="J23" s="830"/>
      <c r="K23" s="830"/>
      <c r="L23" s="830"/>
      <c r="M23" s="830"/>
      <c r="N23" s="830"/>
      <c r="O23" s="830"/>
      <c r="P23" s="830"/>
      <c r="Q23" s="830"/>
      <c r="R23" s="830"/>
      <c r="S23" s="830"/>
      <c r="T23" s="830"/>
      <c r="U23" s="830"/>
      <c r="V23" s="830"/>
      <c r="W23" s="830"/>
      <c r="X23" s="830"/>
      <c r="Y23" s="22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4"/>
      <c r="BG23" s="44"/>
      <c r="BH23" s="44"/>
      <c r="BI23" s="838"/>
      <c r="BJ23" s="839"/>
      <c r="BK23" s="839"/>
      <c r="BL23" s="839"/>
      <c r="BM23" s="840"/>
      <c r="BN23" s="843"/>
      <c r="BO23" s="844"/>
      <c r="BP23" s="844"/>
      <c r="BQ23" s="844"/>
      <c r="BR23" s="844"/>
      <c r="BS23" s="844"/>
      <c r="BT23" s="844"/>
      <c r="BU23" s="844"/>
      <c r="BV23" s="844"/>
      <c r="BW23" s="844"/>
      <c r="BX23" s="844"/>
      <c r="BY23" s="844"/>
      <c r="BZ23" s="844"/>
      <c r="CA23" s="844"/>
      <c r="CB23" s="844"/>
      <c r="CC23" s="844"/>
      <c r="CD23" s="844"/>
      <c r="CE23" s="844"/>
      <c r="CF23" s="844"/>
      <c r="CG23" s="844"/>
      <c r="CH23" s="844"/>
      <c r="CI23" s="844"/>
      <c r="CJ23" s="844"/>
      <c r="CK23" s="844"/>
      <c r="CL23" s="844"/>
      <c r="CM23" s="844"/>
      <c r="CN23" s="844"/>
      <c r="CO23" s="844"/>
      <c r="CP23" s="844"/>
      <c r="CQ23" s="844"/>
      <c r="CR23" s="844"/>
      <c r="CS23" s="844"/>
      <c r="CT23" s="844"/>
      <c r="CU23" s="844"/>
      <c r="CV23" s="844"/>
      <c r="CW23" s="844"/>
      <c r="CX23" s="844"/>
      <c r="CY23" s="844"/>
      <c r="CZ23" s="844"/>
      <c r="DA23" s="844"/>
      <c r="DB23" s="844"/>
      <c r="DC23" s="844"/>
      <c r="DD23" s="844"/>
      <c r="DE23" s="844"/>
      <c r="DF23" s="844"/>
      <c r="DG23" s="844"/>
      <c r="DH23" s="844"/>
      <c r="DI23" s="844"/>
      <c r="DJ23" s="844"/>
      <c r="DK23" s="3699"/>
      <c r="DL23" s="47"/>
    </row>
    <row r="24" spans="1:157" s="45" customFormat="1" ht="7.5" customHeight="1" thickBot="1">
      <c r="A24" s="44"/>
      <c r="B24" s="829"/>
      <c r="C24" s="830"/>
      <c r="D24" s="830"/>
      <c r="E24" s="830"/>
      <c r="F24" s="830"/>
      <c r="G24" s="830"/>
      <c r="H24" s="830"/>
      <c r="I24" s="830"/>
      <c r="J24" s="830"/>
      <c r="K24" s="830"/>
      <c r="L24" s="830"/>
      <c r="M24" s="830"/>
      <c r="N24" s="830"/>
      <c r="O24" s="830"/>
      <c r="P24" s="830"/>
      <c r="Q24" s="830"/>
      <c r="R24" s="830"/>
      <c r="S24" s="830"/>
      <c r="T24" s="830"/>
      <c r="U24" s="830"/>
      <c r="V24" s="830"/>
      <c r="W24" s="830"/>
      <c r="X24" s="830"/>
      <c r="Y24" s="22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4"/>
      <c r="BG24" s="201"/>
      <c r="BH24" s="44"/>
      <c r="BI24" s="3696"/>
      <c r="BJ24" s="3697"/>
      <c r="BK24" s="541"/>
      <c r="BL24" s="541"/>
      <c r="BM24" s="542"/>
      <c r="BN24" s="799" t="s">
        <v>73</v>
      </c>
      <c r="BO24" s="800"/>
      <c r="BP24" s="800"/>
      <c r="BQ24" s="800"/>
      <c r="BR24" s="800"/>
      <c r="BS24" s="801"/>
      <c r="BT24" s="793"/>
      <c r="BU24" s="794"/>
      <c r="BV24" s="794"/>
      <c r="BW24" s="794"/>
      <c r="BX24" s="794"/>
      <c r="BY24" s="794"/>
      <c r="BZ24" s="794"/>
      <c r="CA24" s="794"/>
      <c r="CB24" s="794"/>
      <c r="CC24" s="794"/>
      <c r="CD24" s="795"/>
      <c r="CE24" s="799" t="s">
        <v>11</v>
      </c>
      <c r="CF24" s="800"/>
      <c r="CG24" s="800"/>
      <c r="CH24" s="800"/>
      <c r="CI24" s="800"/>
      <c r="CJ24" s="801"/>
      <c r="CK24" s="793"/>
      <c r="CL24" s="794"/>
      <c r="CM24" s="794"/>
      <c r="CN24" s="794"/>
      <c r="CO24" s="794"/>
      <c r="CP24" s="794"/>
      <c r="CQ24" s="794"/>
      <c r="CR24" s="794"/>
      <c r="CS24" s="794"/>
      <c r="CT24" s="794"/>
      <c r="CU24" s="795"/>
      <c r="CV24" s="799" t="s">
        <v>74</v>
      </c>
      <c r="CW24" s="800"/>
      <c r="CX24" s="800"/>
      <c r="CY24" s="800"/>
      <c r="CZ24" s="800"/>
      <c r="DA24" s="801"/>
      <c r="DB24" s="793"/>
      <c r="DC24" s="794"/>
      <c r="DD24" s="794"/>
      <c r="DE24" s="794"/>
      <c r="DF24" s="794"/>
      <c r="DG24" s="794"/>
      <c r="DH24" s="794"/>
      <c r="DI24" s="794"/>
      <c r="DJ24" s="794"/>
      <c r="DK24" s="805"/>
      <c r="DL24" s="47"/>
    </row>
    <row r="25" spans="1:157" s="45" customFormat="1" ht="7.5" customHeight="1" thickTop="1">
      <c r="A25" s="48"/>
      <c r="B25" s="807" t="s">
        <v>566</v>
      </c>
      <c r="C25" s="808"/>
      <c r="D25" s="808"/>
      <c r="E25" s="808"/>
      <c r="F25" s="809"/>
      <c r="G25" s="3121"/>
      <c r="H25" s="3122"/>
      <c r="I25" s="3122"/>
      <c r="J25" s="3122"/>
      <c r="K25" s="3122"/>
      <c r="L25" s="3122"/>
      <c r="M25" s="3122"/>
      <c r="N25" s="3122"/>
      <c r="O25" s="3122"/>
      <c r="P25" s="3122"/>
      <c r="Q25" s="3122"/>
      <c r="R25" s="3122"/>
      <c r="S25" s="3122"/>
      <c r="T25" s="3122"/>
      <c r="U25" s="3122"/>
      <c r="V25" s="3122"/>
      <c r="W25" s="3122"/>
      <c r="X25" s="3122"/>
      <c r="Y25" s="3122"/>
      <c r="Z25" s="3122"/>
      <c r="AA25" s="3122"/>
      <c r="AB25" s="3122"/>
      <c r="AC25" s="3122"/>
      <c r="AD25" s="3123"/>
      <c r="AE25" s="819" t="s">
        <v>170</v>
      </c>
      <c r="AF25" s="819"/>
      <c r="AG25" s="819"/>
      <c r="AH25" s="819"/>
      <c r="AI25" s="819"/>
      <c r="AJ25" s="821"/>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3"/>
      <c r="BG25" s="201"/>
      <c r="BH25" s="48"/>
      <c r="BI25" s="957" t="s">
        <v>75</v>
      </c>
      <c r="BJ25" s="958"/>
      <c r="BK25" s="958"/>
      <c r="BL25" s="958"/>
      <c r="BM25" s="959"/>
      <c r="BN25" s="802"/>
      <c r="BO25" s="803"/>
      <c r="BP25" s="803"/>
      <c r="BQ25" s="803"/>
      <c r="BR25" s="803"/>
      <c r="BS25" s="804"/>
      <c r="BT25" s="796"/>
      <c r="BU25" s="797"/>
      <c r="BV25" s="797"/>
      <c r="BW25" s="797"/>
      <c r="BX25" s="797"/>
      <c r="BY25" s="797"/>
      <c r="BZ25" s="797"/>
      <c r="CA25" s="797"/>
      <c r="CB25" s="797"/>
      <c r="CC25" s="797"/>
      <c r="CD25" s="798"/>
      <c r="CE25" s="802"/>
      <c r="CF25" s="803"/>
      <c r="CG25" s="803"/>
      <c r="CH25" s="803"/>
      <c r="CI25" s="803"/>
      <c r="CJ25" s="804"/>
      <c r="CK25" s="796"/>
      <c r="CL25" s="797"/>
      <c r="CM25" s="797"/>
      <c r="CN25" s="797"/>
      <c r="CO25" s="797"/>
      <c r="CP25" s="797"/>
      <c r="CQ25" s="797"/>
      <c r="CR25" s="797"/>
      <c r="CS25" s="797"/>
      <c r="CT25" s="797"/>
      <c r="CU25" s="798"/>
      <c r="CV25" s="802"/>
      <c r="CW25" s="803"/>
      <c r="CX25" s="803"/>
      <c r="CY25" s="803"/>
      <c r="CZ25" s="803"/>
      <c r="DA25" s="804"/>
      <c r="DB25" s="796"/>
      <c r="DC25" s="797"/>
      <c r="DD25" s="797"/>
      <c r="DE25" s="797"/>
      <c r="DF25" s="797"/>
      <c r="DG25" s="797"/>
      <c r="DH25" s="797"/>
      <c r="DI25" s="797"/>
      <c r="DJ25" s="797"/>
      <c r="DK25" s="806"/>
      <c r="DL25" s="44"/>
    </row>
    <row r="26" spans="1:157" s="45" customFormat="1" ht="7.5" customHeight="1" thickBot="1">
      <c r="A26" s="48"/>
      <c r="B26" s="810"/>
      <c r="C26" s="811"/>
      <c r="D26" s="811"/>
      <c r="E26" s="811"/>
      <c r="F26" s="812"/>
      <c r="G26" s="3124"/>
      <c r="H26" s="3125"/>
      <c r="I26" s="3125"/>
      <c r="J26" s="3125"/>
      <c r="K26" s="3125"/>
      <c r="L26" s="3125"/>
      <c r="M26" s="3125"/>
      <c r="N26" s="3125"/>
      <c r="O26" s="3125"/>
      <c r="P26" s="3125"/>
      <c r="Q26" s="3125"/>
      <c r="R26" s="3125"/>
      <c r="S26" s="3125"/>
      <c r="T26" s="3125"/>
      <c r="U26" s="3125"/>
      <c r="V26" s="3125"/>
      <c r="W26" s="3125"/>
      <c r="X26" s="3125"/>
      <c r="Y26" s="3125"/>
      <c r="Z26" s="3125"/>
      <c r="AA26" s="3125"/>
      <c r="AB26" s="3125"/>
      <c r="AC26" s="3125"/>
      <c r="AD26" s="3126"/>
      <c r="AE26" s="820"/>
      <c r="AF26" s="820"/>
      <c r="AG26" s="820"/>
      <c r="AH26" s="820"/>
      <c r="AI26" s="820"/>
      <c r="AJ26" s="824"/>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6"/>
      <c r="BG26" s="48"/>
      <c r="BH26" s="48"/>
      <c r="BI26" s="957"/>
      <c r="BJ26" s="958"/>
      <c r="BK26" s="958"/>
      <c r="BL26" s="958"/>
      <c r="BM26" s="959"/>
      <c r="BN26" s="799" t="s">
        <v>76</v>
      </c>
      <c r="BO26" s="800"/>
      <c r="BP26" s="800"/>
      <c r="BQ26" s="800"/>
      <c r="BR26" s="800"/>
      <c r="BS26" s="801"/>
      <c r="BT26" s="793"/>
      <c r="BU26" s="794"/>
      <c r="BV26" s="794"/>
      <c r="BW26" s="794"/>
      <c r="BX26" s="794"/>
      <c r="BY26" s="794"/>
      <c r="BZ26" s="794"/>
      <c r="CA26" s="794"/>
      <c r="CB26" s="794"/>
      <c r="CC26" s="794"/>
      <c r="CD26" s="794"/>
      <c r="CE26" s="794"/>
      <c r="CF26" s="794"/>
      <c r="CG26" s="794"/>
      <c r="CH26" s="794"/>
      <c r="CI26" s="794"/>
      <c r="CJ26" s="794"/>
      <c r="CK26" s="794"/>
      <c r="CL26" s="794"/>
      <c r="CM26" s="795"/>
      <c r="CN26" s="799" t="s">
        <v>77</v>
      </c>
      <c r="CO26" s="800"/>
      <c r="CP26" s="800"/>
      <c r="CQ26" s="800"/>
      <c r="CR26" s="800"/>
      <c r="CS26" s="801"/>
      <c r="CT26" s="928"/>
      <c r="CU26" s="929"/>
      <c r="CV26" s="929"/>
      <c r="CW26" s="929"/>
      <c r="CX26" s="929"/>
      <c r="CY26" s="929"/>
      <c r="CZ26" s="929"/>
      <c r="DA26" s="929"/>
      <c r="DB26" s="929"/>
      <c r="DC26" s="929"/>
      <c r="DD26" s="929"/>
      <c r="DE26" s="929"/>
      <c r="DF26" s="929"/>
      <c r="DG26" s="929"/>
      <c r="DH26" s="929"/>
      <c r="DI26" s="929"/>
      <c r="DJ26" s="929"/>
      <c r="DK26" s="930"/>
      <c r="DL26" s="44"/>
      <c r="DM26" s="49"/>
      <c r="DN26" s="49"/>
      <c r="DO26" s="49"/>
    </row>
    <row r="27" spans="1:157" s="45" customFormat="1" ht="7.5" customHeight="1" thickTop="1" thickBot="1">
      <c r="A27" s="48"/>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8"/>
      <c r="BH27" s="48"/>
      <c r="BI27" s="543"/>
      <c r="BJ27" s="544"/>
      <c r="BK27" s="544"/>
      <c r="BL27" s="544"/>
      <c r="BM27" s="545"/>
      <c r="BN27" s="802"/>
      <c r="BO27" s="803"/>
      <c r="BP27" s="803"/>
      <c r="BQ27" s="803"/>
      <c r="BR27" s="803"/>
      <c r="BS27" s="804"/>
      <c r="BT27" s="796"/>
      <c r="BU27" s="797"/>
      <c r="BV27" s="797"/>
      <c r="BW27" s="797"/>
      <c r="BX27" s="797"/>
      <c r="BY27" s="797"/>
      <c r="BZ27" s="797"/>
      <c r="CA27" s="797"/>
      <c r="CB27" s="797"/>
      <c r="CC27" s="797"/>
      <c r="CD27" s="797"/>
      <c r="CE27" s="797"/>
      <c r="CF27" s="797"/>
      <c r="CG27" s="797"/>
      <c r="CH27" s="797"/>
      <c r="CI27" s="797"/>
      <c r="CJ27" s="797"/>
      <c r="CK27" s="797"/>
      <c r="CL27" s="797"/>
      <c r="CM27" s="798"/>
      <c r="CN27" s="802"/>
      <c r="CO27" s="803"/>
      <c r="CP27" s="803"/>
      <c r="CQ27" s="803"/>
      <c r="CR27" s="803"/>
      <c r="CS27" s="804"/>
      <c r="CT27" s="931"/>
      <c r="CU27" s="932"/>
      <c r="CV27" s="932"/>
      <c r="CW27" s="932"/>
      <c r="CX27" s="932"/>
      <c r="CY27" s="932"/>
      <c r="CZ27" s="932"/>
      <c r="DA27" s="932"/>
      <c r="DB27" s="932"/>
      <c r="DC27" s="932"/>
      <c r="DD27" s="932"/>
      <c r="DE27" s="932"/>
      <c r="DF27" s="932"/>
      <c r="DG27" s="932"/>
      <c r="DH27" s="932"/>
      <c r="DI27" s="932"/>
      <c r="DJ27" s="932"/>
      <c r="DK27" s="933"/>
      <c r="DL27" s="44"/>
      <c r="DM27" s="49"/>
      <c r="DN27" s="49"/>
      <c r="DO27" s="49"/>
    </row>
    <row r="28" spans="1:157" s="45" customFormat="1" ht="7.5" customHeight="1" thickTop="1">
      <c r="A28" s="48"/>
      <c r="B28" s="934" t="s">
        <v>792</v>
      </c>
      <c r="C28" s="935"/>
      <c r="D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6"/>
      <c r="AN28" s="940" t="s">
        <v>1149</v>
      </c>
      <c r="AO28" s="941"/>
      <c r="AP28" s="941"/>
      <c r="AQ28" s="942"/>
      <c r="AR28" s="946"/>
      <c r="AS28" s="946"/>
      <c r="AT28" s="946"/>
      <c r="AU28" s="946"/>
      <c r="AV28" s="946"/>
      <c r="AW28" s="946"/>
      <c r="AX28" s="946"/>
      <c r="AY28" s="946"/>
      <c r="AZ28" s="946"/>
      <c r="BA28" s="946"/>
      <c r="BB28" s="946"/>
      <c r="BC28" s="946"/>
      <c r="BD28" s="946"/>
      <c r="BE28" s="946"/>
      <c r="BF28" s="947"/>
      <c r="BG28" s="48"/>
      <c r="BH28" s="48"/>
      <c r="BI28" s="835" t="s">
        <v>567</v>
      </c>
      <c r="BJ28" s="836"/>
      <c r="BK28" s="836"/>
      <c r="BL28" s="836"/>
      <c r="BM28" s="837"/>
      <c r="BN28" s="950"/>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2"/>
      <c r="CK28" s="902" t="s">
        <v>266</v>
      </c>
      <c r="CL28" s="836"/>
      <c r="CM28" s="836"/>
      <c r="CN28" s="836"/>
      <c r="CO28" s="837"/>
      <c r="CP28" s="954"/>
      <c r="CQ28" s="955"/>
      <c r="CR28" s="955"/>
      <c r="CS28" s="955"/>
      <c r="CT28" s="955"/>
      <c r="CU28" s="955"/>
      <c r="CV28" s="955"/>
      <c r="CW28" s="955"/>
      <c r="CX28" s="955"/>
      <c r="CY28" s="955"/>
      <c r="CZ28" s="955"/>
      <c r="DA28" s="955"/>
      <c r="DB28" s="955"/>
      <c r="DC28" s="955"/>
      <c r="DD28" s="955"/>
      <c r="DE28" s="955"/>
      <c r="DF28" s="955"/>
      <c r="DG28" s="955"/>
      <c r="DH28" s="955"/>
      <c r="DI28" s="955"/>
      <c r="DJ28" s="955"/>
      <c r="DK28" s="956"/>
      <c r="DL28" s="44"/>
      <c r="DM28" s="49"/>
      <c r="DN28" s="49"/>
      <c r="DO28" s="49"/>
    </row>
    <row r="29" spans="1:157" s="45" customFormat="1" ht="7.5" customHeight="1">
      <c r="A29" s="48"/>
      <c r="B29" s="937"/>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9"/>
      <c r="AN29" s="943"/>
      <c r="AO29" s="944"/>
      <c r="AP29" s="944"/>
      <c r="AQ29" s="945"/>
      <c r="AR29" s="948"/>
      <c r="AS29" s="948"/>
      <c r="AT29" s="948"/>
      <c r="AU29" s="948"/>
      <c r="AV29" s="948"/>
      <c r="AW29" s="948"/>
      <c r="AX29" s="948"/>
      <c r="AY29" s="948"/>
      <c r="AZ29" s="948"/>
      <c r="BA29" s="948"/>
      <c r="BB29" s="948"/>
      <c r="BC29" s="948"/>
      <c r="BD29" s="948"/>
      <c r="BE29" s="948"/>
      <c r="BF29" s="949"/>
      <c r="BG29" s="48"/>
      <c r="BH29" s="48"/>
      <c r="BI29" s="838"/>
      <c r="BJ29" s="839"/>
      <c r="BK29" s="839"/>
      <c r="BL29" s="839"/>
      <c r="BM29" s="840"/>
      <c r="BN29" s="950"/>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2"/>
      <c r="CK29" s="953"/>
      <c r="CL29" s="839"/>
      <c r="CM29" s="839"/>
      <c r="CN29" s="839"/>
      <c r="CO29" s="840"/>
      <c r="CP29" s="954"/>
      <c r="CQ29" s="955"/>
      <c r="CR29" s="955"/>
      <c r="CS29" s="955"/>
      <c r="CT29" s="955"/>
      <c r="CU29" s="955"/>
      <c r="CV29" s="955"/>
      <c r="CW29" s="955"/>
      <c r="CX29" s="955"/>
      <c r="CY29" s="955"/>
      <c r="CZ29" s="955"/>
      <c r="DA29" s="955"/>
      <c r="DB29" s="955"/>
      <c r="DC29" s="955"/>
      <c r="DD29" s="955"/>
      <c r="DE29" s="955"/>
      <c r="DF29" s="955"/>
      <c r="DG29" s="955"/>
      <c r="DH29" s="955"/>
      <c r="DI29" s="955"/>
      <c r="DJ29" s="955"/>
      <c r="DK29" s="956"/>
      <c r="DL29" s="44"/>
      <c r="DM29" s="49"/>
      <c r="DN29" s="49"/>
      <c r="DO29" s="49"/>
    </row>
    <row r="30" spans="1:157" s="45" customFormat="1" ht="7.5" customHeight="1">
      <c r="A30" s="48"/>
      <c r="B30" s="1090" t="s">
        <v>72</v>
      </c>
      <c r="C30" s="1091"/>
      <c r="D30" s="1091"/>
      <c r="E30" s="1091"/>
      <c r="F30" s="1092"/>
      <c r="G30" s="3139"/>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0"/>
      <c r="AK30" s="3140"/>
      <c r="AL30" s="3140"/>
      <c r="AM30" s="3140"/>
      <c r="AN30" s="3140"/>
      <c r="AO30" s="3140"/>
      <c r="AP30" s="3140"/>
      <c r="AQ30" s="3140"/>
      <c r="AR30" s="3140"/>
      <c r="AS30" s="3140"/>
      <c r="AT30" s="3140"/>
      <c r="AU30" s="3140"/>
      <c r="AV30" s="3140"/>
      <c r="AW30" s="3140"/>
      <c r="AX30" s="3140"/>
      <c r="AY30" s="3140"/>
      <c r="AZ30" s="3140"/>
      <c r="BA30" s="3140"/>
      <c r="BB30" s="3140"/>
      <c r="BC30" s="3140"/>
      <c r="BD30" s="3140"/>
      <c r="BE30" s="3140"/>
      <c r="BF30" s="3141"/>
      <c r="BG30" s="48"/>
      <c r="BH30" s="48"/>
      <c r="BI30" s="835" t="s">
        <v>570</v>
      </c>
      <c r="BJ30" s="836"/>
      <c r="BK30" s="836"/>
      <c r="BL30" s="836"/>
      <c r="BM30" s="837"/>
      <c r="BN30" s="896"/>
      <c r="BO30" s="897"/>
      <c r="BP30" s="897"/>
      <c r="BQ30" s="897"/>
      <c r="BR30" s="897"/>
      <c r="BS30" s="897"/>
      <c r="BT30" s="897"/>
      <c r="BU30" s="897"/>
      <c r="BV30" s="897"/>
      <c r="BW30" s="897"/>
      <c r="BX30" s="897"/>
      <c r="BY30" s="897"/>
      <c r="BZ30" s="897"/>
      <c r="CA30" s="897"/>
      <c r="CB30" s="897"/>
      <c r="CC30" s="897"/>
      <c r="CD30" s="897"/>
      <c r="CE30" s="897"/>
      <c r="CF30" s="897"/>
      <c r="CG30" s="897"/>
      <c r="CH30" s="897"/>
      <c r="CI30" s="897"/>
      <c r="CJ30" s="898"/>
      <c r="CK30" s="902" t="s">
        <v>569</v>
      </c>
      <c r="CL30" s="836"/>
      <c r="CM30" s="836"/>
      <c r="CN30" s="836"/>
      <c r="CO30" s="837"/>
      <c r="CP30" s="904"/>
      <c r="CQ30" s="905"/>
      <c r="CR30" s="905"/>
      <c r="CS30" s="905"/>
      <c r="CT30" s="905"/>
      <c r="CU30" s="905"/>
      <c r="CV30" s="905"/>
      <c r="CW30" s="905"/>
      <c r="CX30" s="905"/>
      <c r="CY30" s="905"/>
      <c r="CZ30" s="905"/>
      <c r="DA30" s="905"/>
      <c r="DB30" s="905"/>
      <c r="DC30" s="905"/>
      <c r="DD30" s="905"/>
      <c r="DE30" s="905"/>
      <c r="DF30" s="905"/>
      <c r="DG30" s="905"/>
      <c r="DH30" s="905"/>
      <c r="DI30" s="905"/>
      <c r="DJ30" s="905"/>
      <c r="DK30" s="906"/>
      <c r="DL30" s="50"/>
    </row>
    <row r="31" spans="1:157" s="45" customFormat="1" ht="7.5" customHeight="1" thickBot="1">
      <c r="A31" s="48"/>
      <c r="B31" s="1093" t="s">
        <v>794</v>
      </c>
      <c r="C31" s="1094"/>
      <c r="D31" s="1094"/>
      <c r="E31" s="1094"/>
      <c r="F31" s="1095"/>
      <c r="G31" s="916"/>
      <c r="H31" s="917"/>
      <c r="I31" s="917"/>
      <c r="J31" s="917"/>
      <c r="K31" s="917"/>
      <c r="L31" s="917"/>
      <c r="M31" s="917"/>
      <c r="N31" s="917"/>
      <c r="O31" s="917"/>
      <c r="P31" s="917"/>
      <c r="Q31" s="920"/>
      <c r="R31" s="920"/>
      <c r="S31" s="920"/>
      <c r="T31" s="920"/>
      <c r="U31" s="920"/>
      <c r="V31" s="920"/>
      <c r="W31" s="920"/>
      <c r="X31" s="920"/>
      <c r="Y31" s="920"/>
      <c r="Z31" s="920"/>
      <c r="AA31" s="920"/>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2"/>
      <c r="BA31" s="923"/>
      <c r="BB31" s="923"/>
      <c r="BC31" s="923"/>
      <c r="BD31" s="923"/>
      <c r="BE31" s="923"/>
      <c r="BF31" s="924"/>
      <c r="BG31" s="48"/>
      <c r="BH31" s="48"/>
      <c r="BI31" s="872"/>
      <c r="BJ31" s="873"/>
      <c r="BK31" s="873"/>
      <c r="BL31" s="873"/>
      <c r="BM31" s="874"/>
      <c r="BN31" s="899"/>
      <c r="BO31" s="900"/>
      <c r="BP31" s="900"/>
      <c r="BQ31" s="900"/>
      <c r="BR31" s="900"/>
      <c r="BS31" s="900"/>
      <c r="BT31" s="900"/>
      <c r="BU31" s="900"/>
      <c r="BV31" s="900"/>
      <c r="BW31" s="900"/>
      <c r="BX31" s="900"/>
      <c r="BY31" s="900"/>
      <c r="BZ31" s="900"/>
      <c r="CA31" s="900"/>
      <c r="CB31" s="900"/>
      <c r="CC31" s="900"/>
      <c r="CD31" s="900"/>
      <c r="CE31" s="900"/>
      <c r="CF31" s="900"/>
      <c r="CG31" s="900"/>
      <c r="CH31" s="900"/>
      <c r="CI31" s="900"/>
      <c r="CJ31" s="901"/>
      <c r="CK31" s="903"/>
      <c r="CL31" s="873"/>
      <c r="CM31" s="873"/>
      <c r="CN31" s="873"/>
      <c r="CO31" s="874"/>
      <c r="CP31" s="907"/>
      <c r="CQ31" s="908"/>
      <c r="CR31" s="908"/>
      <c r="CS31" s="908"/>
      <c r="CT31" s="908"/>
      <c r="CU31" s="908"/>
      <c r="CV31" s="908"/>
      <c r="CW31" s="908"/>
      <c r="CX31" s="908"/>
      <c r="CY31" s="908"/>
      <c r="CZ31" s="908"/>
      <c r="DA31" s="908"/>
      <c r="DB31" s="908"/>
      <c r="DC31" s="908"/>
      <c r="DD31" s="908"/>
      <c r="DE31" s="908"/>
      <c r="DF31" s="908"/>
      <c r="DG31" s="908"/>
      <c r="DH31" s="908"/>
      <c r="DI31" s="908"/>
      <c r="DJ31" s="908"/>
      <c r="DK31" s="909"/>
      <c r="DL31" s="50"/>
    </row>
    <row r="32" spans="1:157" s="45" customFormat="1" ht="7.5" customHeight="1" thickBot="1">
      <c r="A32" s="48"/>
      <c r="B32" s="1096"/>
      <c r="C32" s="1097"/>
      <c r="D32" s="1097"/>
      <c r="E32" s="1097"/>
      <c r="F32" s="1098"/>
      <c r="G32" s="918"/>
      <c r="H32" s="919"/>
      <c r="I32" s="919"/>
      <c r="J32" s="919"/>
      <c r="K32" s="919"/>
      <c r="L32" s="919"/>
      <c r="M32" s="919"/>
      <c r="N32" s="919"/>
      <c r="O32" s="919"/>
      <c r="P32" s="919"/>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21"/>
      <c r="AO32" s="921"/>
      <c r="AP32" s="921"/>
      <c r="AQ32" s="921"/>
      <c r="AR32" s="921"/>
      <c r="AS32" s="921"/>
      <c r="AT32" s="921"/>
      <c r="AU32" s="921"/>
      <c r="AV32" s="921"/>
      <c r="AW32" s="921"/>
      <c r="AX32" s="921"/>
      <c r="AY32" s="921"/>
      <c r="AZ32" s="925"/>
      <c r="BA32" s="926"/>
      <c r="BB32" s="926"/>
      <c r="BC32" s="926"/>
      <c r="BD32" s="926"/>
      <c r="BE32" s="926"/>
      <c r="BF32" s="927"/>
      <c r="BG32" s="48"/>
      <c r="BH32" s="48"/>
      <c r="BI32" s="391"/>
      <c r="DK32" s="392"/>
      <c r="DL32" s="51"/>
    </row>
    <row r="33" spans="1:116" s="45" customFormat="1" ht="7.5" customHeight="1">
      <c r="A33" s="48"/>
      <c r="B33" s="1117" t="s">
        <v>75</v>
      </c>
      <c r="C33" s="1118"/>
      <c r="D33" s="1118"/>
      <c r="E33" s="1118"/>
      <c r="F33" s="1119"/>
      <c r="G33" s="3127" t="s">
        <v>73</v>
      </c>
      <c r="H33" s="3128"/>
      <c r="I33" s="3128"/>
      <c r="J33" s="3128"/>
      <c r="K33" s="3128"/>
      <c r="L33" s="3129"/>
      <c r="M33" s="3133"/>
      <c r="N33" s="3134"/>
      <c r="O33" s="3134"/>
      <c r="P33" s="3134"/>
      <c r="Q33" s="3134"/>
      <c r="R33" s="3134"/>
      <c r="S33" s="3134"/>
      <c r="T33" s="3134"/>
      <c r="U33" s="3134"/>
      <c r="V33" s="3134"/>
      <c r="W33" s="3135"/>
      <c r="X33" s="3127" t="s">
        <v>11</v>
      </c>
      <c r="Y33" s="3128"/>
      <c r="Z33" s="3128"/>
      <c r="AA33" s="3128"/>
      <c r="AB33" s="3128"/>
      <c r="AC33" s="3129"/>
      <c r="AD33" s="3133"/>
      <c r="AE33" s="3134"/>
      <c r="AF33" s="3134"/>
      <c r="AG33" s="3134"/>
      <c r="AH33" s="3134"/>
      <c r="AI33" s="3134"/>
      <c r="AJ33" s="3134"/>
      <c r="AK33" s="3134"/>
      <c r="AL33" s="3134"/>
      <c r="AM33" s="3134"/>
      <c r="AN33" s="3135"/>
      <c r="AO33" s="3127" t="s">
        <v>74</v>
      </c>
      <c r="AP33" s="3128"/>
      <c r="AQ33" s="3128"/>
      <c r="AR33" s="3128"/>
      <c r="AS33" s="3128"/>
      <c r="AT33" s="3129"/>
      <c r="AU33" s="3133"/>
      <c r="AV33" s="3134"/>
      <c r="AW33" s="3134"/>
      <c r="AX33" s="3134"/>
      <c r="AY33" s="3134"/>
      <c r="AZ33" s="3134"/>
      <c r="BA33" s="3134"/>
      <c r="BB33" s="3134"/>
      <c r="BC33" s="3134"/>
      <c r="BD33" s="3134"/>
      <c r="BE33" s="3134"/>
      <c r="BF33" s="3142"/>
      <c r="BG33" s="48"/>
      <c r="BH33" s="48"/>
      <c r="BI33" s="975" t="s">
        <v>565</v>
      </c>
      <c r="BJ33" s="976"/>
      <c r="BK33" s="976"/>
      <c r="BL33" s="976"/>
      <c r="BM33" s="976"/>
      <c r="BN33" s="976"/>
      <c r="BO33" s="976"/>
      <c r="BP33" s="976"/>
      <c r="BQ33" s="976"/>
      <c r="BR33" s="976"/>
      <c r="BS33" s="976"/>
      <c r="BT33" s="976"/>
      <c r="BU33" s="976"/>
      <c r="BV33" s="976"/>
      <c r="BW33" s="976"/>
      <c r="BX33" s="976"/>
      <c r="BY33" s="976"/>
      <c r="BZ33" s="976"/>
      <c r="CA33" s="976"/>
      <c r="CB33" s="976"/>
      <c r="CC33" s="977" t="s">
        <v>511</v>
      </c>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9"/>
      <c r="DE33" s="980"/>
      <c r="DF33" s="980"/>
      <c r="DG33" s="980"/>
      <c r="DH33" s="980"/>
      <c r="DI33" s="980"/>
      <c r="DJ33" s="980"/>
      <c r="DK33" s="981"/>
      <c r="DL33" s="51"/>
    </row>
    <row r="34" spans="1:116" s="45" customFormat="1" ht="7.5" customHeight="1">
      <c r="A34" s="48"/>
      <c r="B34" s="1120"/>
      <c r="C34" s="1121"/>
      <c r="D34" s="1121"/>
      <c r="E34" s="1121"/>
      <c r="F34" s="1122"/>
      <c r="G34" s="3130"/>
      <c r="H34" s="3131"/>
      <c r="I34" s="3131"/>
      <c r="J34" s="3131"/>
      <c r="K34" s="3131"/>
      <c r="L34" s="3132"/>
      <c r="M34" s="3136"/>
      <c r="N34" s="3137"/>
      <c r="O34" s="3137"/>
      <c r="P34" s="3137"/>
      <c r="Q34" s="3137"/>
      <c r="R34" s="3137"/>
      <c r="S34" s="3137"/>
      <c r="T34" s="3137"/>
      <c r="U34" s="3137"/>
      <c r="V34" s="3137"/>
      <c r="W34" s="3138"/>
      <c r="X34" s="3130"/>
      <c r="Y34" s="3131"/>
      <c r="Z34" s="3131"/>
      <c r="AA34" s="3131"/>
      <c r="AB34" s="3131"/>
      <c r="AC34" s="3132"/>
      <c r="AD34" s="3136"/>
      <c r="AE34" s="3137"/>
      <c r="AF34" s="3137"/>
      <c r="AG34" s="3137"/>
      <c r="AH34" s="3137"/>
      <c r="AI34" s="3137"/>
      <c r="AJ34" s="3137"/>
      <c r="AK34" s="3137"/>
      <c r="AL34" s="3137"/>
      <c r="AM34" s="3137"/>
      <c r="AN34" s="3138"/>
      <c r="AO34" s="3130"/>
      <c r="AP34" s="3131"/>
      <c r="AQ34" s="3131"/>
      <c r="AR34" s="3131"/>
      <c r="AS34" s="3131"/>
      <c r="AT34" s="3132"/>
      <c r="AU34" s="3136"/>
      <c r="AV34" s="3137"/>
      <c r="AW34" s="3137"/>
      <c r="AX34" s="3137"/>
      <c r="AY34" s="3137"/>
      <c r="AZ34" s="3137"/>
      <c r="BA34" s="3137"/>
      <c r="BB34" s="3137"/>
      <c r="BC34" s="3137"/>
      <c r="BD34" s="3137"/>
      <c r="BE34" s="3137"/>
      <c r="BF34" s="3143"/>
      <c r="BG34" s="48"/>
      <c r="BH34" s="48"/>
      <c r="BI34" s="785"/>
      <c r="BJ34" s="786"/>
      <c r="BK34" s="786"/>
      <c r="BL34" s="786"/>
      <c r="BM34" s="786"/>
      <c r="BN34" s="786"/>
      <c r="BO34" s="786"/>
      <c r="BP34" s="786"/>
      <c r="BQ34" s="786"/>
      <c r="BR34" s="786"/>
      <c r="BS34" s="786"/>
      <c r="BT34" s="786"/>
      <c r="BU34" s="786"/>
      <c r="BV34" s="786"/>
      <c r="BW34" s="786"/>
      <c r="BX34" s="786"/>
      <c r="BY34" s="786"/>
      <c r="BZ34" s="786"/>
      <c r="CA34" s="786"/>
      <c r="CB34" s="786"/>
      <c r="CC34" s="790"/>
      <c r="CD34" s="791"/>
      <c r="CE34" s="791"/>
      <c r="CF34" s="791"/>
      <c r="CG34" s="791"/>
      <c r="CH34" s="791"/>
      <c r="CI34" s="791"/>
      <c r="CJ34" s="791"/>
      <c r="CK34" s="791"/>
      <c r="CL34" s="791"/>
      <c r="CM34" s="791"/>
      <c r="CN34" s="791"/>
      <c r="CO34" s="791"/>
      <c r="CP34" s="791"/>
      <c r="CQ34" s="791"/>
      <c r="CR34" s="791"/>
      <c r="CS34" s="791"/>
      <c r="CT34" s="791"/>
      <c r="CU34" s="791"/>
      <c r="CV34" s="791"/>
      <c r="CW34" s="791"/>
      <c r="CX34" s="791"/>
      <c r="CY34" s="791"/>
      <c r="CZ34" s="791"/>
      <c r="DA34" s="791"/>
      <c r="DB34" s="791"/>
      <c r="DC34" s="791"/>
      <c r="DD34" s="792"/>
      <c r="DE34" s="877"/>
      <c r="DF34" s="877"/>
      <c r="DG34" s="877"/>
      <c r="DH34" s="877"/>
      <c r="DI34" s="877"/>
      <c r="DJ34" s="877"/>
      <c r="DK34" s="878"/>
      <c r="DL34" s="51"/>
    </row>
    <row r="35" spans="1:116" s="45" customFormat="1" ht="7.5" customHeight="1">
      <c r="A35" s="48"/>
      <c r="B35" s="1120"/>
      <c r="C35" s="1121"/>
      <c r="D35" s="1121"/>
      <c r="E35" s="1121"/>
      <c r="F35" s="1122"/>
      <c r="G35" s="3127" t="s">
        <v>76</v>
      </c>
      <c r="H35" s="3128"/>
      <c r="I35" s="3128"/>
      <c r="J35" s="3128"/>
      <c r="K35" s="3128"/>
      <c r="L35" s="3129"/>
      <c r="M35" s="793"/>
      <c r="N35" s="794"/>
      <c r="O35" s="794"/>
      <c r="P35" s="794"/>
      <c r="Q35" s="794"/>
      <c r="R35" s="794"/>
      <c r="S35" s="794"/>
      <c r="T35" s="794"/>
      <c r="U35" s="794"/>
      <c r="V35" s="794"/>
      <c r="W35" s="794"/>
      <c r="X35" s="794"/>
      <c r="Y35" s="794"/>
      <c r="Z35" s="794"/>
      <c r="AA35" s="794"/>
      <c r="AB35" s="794"/>
      <c r="AC35" s="794"/>
      <c r="AD35" s="794"/>
      <c r="AE35" s="794"/>
      <c r="AF35" s="795"/>
      <c r="AG35" s="3127" t="s">
        <v>77</v>
      </c>
      <c r="AH35" s="3128"/>
      <c r="AI35" s="3128"/>
      <c r="AJ35" s="3128"/>
      <c r="AK35" s="3128"/>
      <c r="AL35" s="3129"/>
      <c r="AM35" s="928"/>
      <c r="AN35" s="929"/>
      <c r="AO35" s="929"/>
      <c r="AP35" s="929"/>
      <c r="AQ35" s="929"/>
      <c r="AR35" s="929"/>
      <c r="AS35" s="929"/>
      <c r="AT35" s="929"/>
      <c r="AU35" s="929"/>
      <c r="AV35" s="929"/>
      <c r="AW35" s="929"/>
      <c r="AX35" s="929"/>
      <c r="AY35" s="929"/>
      <c r="AZ35" s="929"/>
      <c r="BA35" s="929"/>
      <c r="BB35" s="929"/>
      <c r="BC35" s="929"/>
      <c r="BD35" s="929"/>
      <c r="BE35" s="929"/>
      <c r="BF35" s="930"/>
      <c r="BG35" s="48"/>
      <c r="BH35" s="48"/>
      <c r="BI35" s="960" t="s">
        <v>568</v>
      </c>
      <c r="BJ35" s="961"/>
      <c r="BK35" s="961"/>
      <c r="BL35" s="961"/>
      <c r="BM35" s="962"/>
      <c r="BN35" s="963"/>
      <c r="BO35" s="964"/>
      <c r="BP35" s="964"/>
      <c r="BQ35" s="964"/>
      <c r="BR35" s="964"/>
      <c r="BS35" s="964"/>
      <c r="BT35" s="964"/>
      <c r="BU35" s="964"/>
      <c r="BV35" s="964"/>
      <c r="BW35" s="964"/>
      <c r="BX35" s="964"/>
      <c r="BY35" s="964"/>
      <c r="BZ35" s="964"/>
      <c r="CA35" s="964"/>
      <c r="CB35" s="964"/>
      <c r="CC35" s="964"/>
      <c r="CD35" s="964"/>
      <c r="CE35" s="964"/>
      <c r="CF35" s="964"/>
      <c r="CG35" s="964"/>
      <c r="CH35" s="964"/>
      <c r="CI35" s="964"/>
      <c r="CJ35" s="964"/>
      <c r="CK35" s="964"/>
      <c r="CL35" s="964"/>
      <c r="CM35" s="964"/>
      <c r="CN35" s="964"/>
      <c r="CO35" s="964"/>
      <c r="CP35" s="964"/>
      <c r="CQ35" s="964"/>
      <c r="CR35" s="964"/>
      <c r="CS35" s="964"/>
      <c r="CT35" s="964"/>
      <c r="CU35" s="964"/>
      <c r="CV35" s="964"/>
      <c r="CW35" s="964"/>
      <c r="CX35" s="964"/>
      <c r="CY35" s="964"/>
      <c r="CZ35" s="964"/>
      <c r="DA35" s="964"/>
      <c r="DB35" s="964"/>
      <c r="DC35" s="964"/>
      <c r="DD35" s="964"/>
      <c r="DE35" s="964"/>
      <c r="DF35" s="964"/>
      <c r="DG35" s="964"/>
      <c r="DH35" s="964"/>
      <c r="DI35" s="964"/>
      <c r="DJ35" s="964"/>
      <c r="DK35" s="965"/>
      <c r="DL35" s="48"/>
    </row>
    <row r="36" spans="1:116" s="45" customFormat="1" ht="7.5" customHeight="1">
      <c r="A36" s="48"/>
      <c r="B36" s="1123"/>
      <c r="C36" s="1124"/>
      <c r="D36" s="1124"/>
      <c r="E36" s="1124"/>
      <c r="F36" s="1125"/>
      <c r="G36" s="3130"/>
      <c r="H36" s="3131"/>
      <c r="I36" s="3131"/>
      <c r="J36" s="3131"/>
      <c r="K36" s="3131"/>
      <c r="L36" s="3132"/>
      <c r="M36" s="796"/>
      <c r="N36" s="797"/>
      <c r="O36" s="797"/>
      <c r="P36" s="797"/>
      <c r="Q36" s="797"/>
      <c r="R36" s="797"/>
      <c r="S36" s="797"/>
      <c r="T36" s="797"/>
      <c r="U36" s="797"/>
      <c r="V36" s="797"/>
      <c r="W36" s="797"/>
      <c r="X36" s="797"/>
      <c r="Y36" s="797"/>
      <c r="Z36" s="797"/>
      <c r="AA36" s="797"/>
      <c r="AB36" s="797"/>
      <c r="AC36" s="797"/>
      <c r="AD36" s="797"/>
      <c r="AE36" s="797"/>
      <c r="AF36" s="798"/>
      <c r="AG36" s="3130"/>
      <c r="AH36" s="3131"/>
      <c r="AI36" s="3131"/>
      <c r="AJ36" s="3131"/>
      <c r="AK36" s="3131"/>
      <c r="AL36" s="3132"/>
      <c r="AM36" s="931"/>
      <c r="AN36" s="932"/>
      <c r="AO36" s="932"/>
      <c r="AP36" s="932"/>
      <c r="AQ36" s="932"/>
      <c r="AR36" s="932"/>
      <c r="AS36" s="932"/>
      <c r="AT36" s="932"/>
      <c r="AU36" s="932"/>
      <c r="AV36" s="932"/>
      <c r="AW36" s="932"/>
      <c r="AX36" s="932"/>
      <c r="AY36" s="932"/>
      <c r="AZ36" s="932"/>
      <c r="BA36" s="932"/>
      <c r="BB36" s="932"/>
      <c r="BC36" s="932"/>
      <c r="BD36" s="932"/>
      <c r="BE36" s="932"/>
      <c r="BF36" s="933"/>
      <c r="BG36" s="48"/>
      <c r="BH36" s="48"/>
      <c r="BI36" s="960"/>
      <c r="BJ36" s="961"/>
      <c r="BK36" s="961"/>
      <c r="BL36" s="961"/>
      <c r="BM36" s="962"/>
      <c r="BN36" s="966"/>
      <c r="BO36" s="967"/>
      <c r="BP36" s="967"/>
      <c r="BQ36" s="967"/>
      <c r="BR36" s="967"/>
      <c r="BS36" s="967"/>
      <c r="BT36" s="967"/>
      <c r="BU36" s="967"/>
      <c r="BV36" s="967"/>
      <c r="BW36" s="967"/>
      <c r="BX36" s="967"/>
      <c r="BY36" s="967"/>
      <c r="BZ36" s="967"/>
      <c r="CA36" s="967"/>
      <c r="CB36" s="967"/>
      <c r="CC36" s="967"/>
      <c r="CD36" s="967"/>
      <c r="CE36" s="967"/>
      <c r="CF36" s="967"/>
      <c r="CG36" s="967"/>
      <c r="CH36" s="967"/>
      <c r="CI36" s="967"/>
      <c r="CJ36" s="967"/>
      <c r="CK36" s="967"/>
      <c r="CL36" s="967"/>
      <c r="CM36" s="967"/>
      <c r="CN36" s="967"/>
      <c r="CO36" s="967"/>
      <c r="CP36" s="967"/>
      <c r="CQ36" s="967"/>
      <c r="CR36" s="967"/>
      <c r="CS36" s="967"/>
      <c r="CT36" s="967"/>
      <c r="CU36" s="967"/>
      <c r="CV36" s="967"/>
      <c r="CW36" s="967"/>
      <c r="CX36" s="967"/>
      <c r="CY36" s="967"/>
      <c r="CZ36" s="967"/>
      <c r="DA36" s="967"/>
      <c r="DB36" s="967"/>
      <c r="DC36" s="967"/>
      <c r="DD36" s="967"/>
      <c r="DE36" s="967"/>
      <c r="DF36" s="967"/>
      <c r="DG36" s="967"/>
      <c r="DH36" s="967"/>
      <c r="DI36" s="967"/>
      <c r="DJ36" s="967"/>
      <c r="DK36" s="968"/>
      <c r="DL36" s="44"/>
    </row>
    <row r="37" spans="1:116" s="45" customFormat="1" ht="7.5" customHeight="1">
      <c r="A37" s="48"/>
      <c r="B37" s="1138" t="s">
        <v>795</v>
      </c>
      <c r="C37" s="1139"/>
      <c r="D37" s="1139"/>
      <c r="E37" s="1139"/>
      <c r="F37" s="1140"/>
      <c r="G37" s="1021"/>
      <c r="H37" s="1022"/>
      <c r="I37" s="1022"/>
      <c r="J37" s="1022"/>
      <c r="K37" s="1022"/>
      <c r="L37" s="1022"/>
      <c r="M37" s="1022"/>
      <c r="N37" s="1022"/>
      <c r="O37" s="1022"/>
      <c r="P37" s="1022"/>
      <c r="Q37" s="1022"/>
      <c r="R37" s="1022"/>
      <c r="S37" s="1022"/>
      <c r="T37" s="1022"/>
      <c r="U37" s="1022"/>
      <c r="V37" s="1022"/>
      <c r="W37" s="1022"/>
      <c r="X37" s="1022"/>
      <c r="Y37" s="1022"/>
      <c r="Z37" s="1022"/>
      <c r="AA37" s="1023"/>
      <c r="AB37" s="3162" t="s">
        <v>72</v>
      </c>
      <c r="AC37" s="3162"/>
      <c r="AD37" s="3162"/>
      <c r="AE37" s="3162"/>
      <c r="AF37" s="3163"/>
      <c r="AG37" s="3164"/>
      <c r="AH37" s="3145"/>
      <c r="AI37" s="3145"/>
      <c r="AJ37" s="3145"/>
      <c r="AK37" s="3145"/>
      <c r="AL37" s="3145"/>
      <c r="AM37" s="3145"/>
      <c r="AN37" s="3145"/>
      <c r="AO37" s="3145"/>
      <c r="AP37" s="3145"/>
      <c r="AQ37" s="3145"/>
      <c r="AR37" s="3145"/>
      <c r="AS37" s="3145"/>
      <c r="AT37" s="3144"/>
      <c r="AU37" s="3145"/>
      <c r="AV37" s="3145"/>
      <c r="AW37" s="3145"/>
      <c r="AX37" s="3145"/>
      <c r="AY37" s="3145"/>
      <c r="AZ37" s="3145"/>
      <c r="BA37" s="3145"/>
      <c r="BB37" s="3145"/>
      <c r="BC37" s="3145"/>
      <c r="BD37" s="3145"/>
      <c r="BE37" s="3145"/>
      <c r="BF37" s="3146"/>
      <c r="BG37" s="48"/>
      <c r="BH37" s="48"/>
      <c r="BI37" s="3696"/>
      <c r="BJ37" s="3697"/>
      <c r="BK37" s="541"/>
      <c r="BL37" s="541"/>
      <c r="BM37" s="542"/>
      <c r="BN37" s="799" t="s">
        <v>73</v>
      </c>
      <c r="BO37" s="800"/>
      <c r="BP37" s="800"/>
      <c r="BQ37" s="800"/>
      <c r="BR37" s="800"/>
      <c r="BS37" s="801"/>
      <c r="BT37" s="793"/>
      <c r="BU37" s="794"/>
      <c r="BV37" s="794"/>
      <c r="BW37" s="794"/>
      <c r="BX37" s="794"/>
      <c r="BY37" s="794"/>
      <c r="BZ37" s="794"/>
      <c r="CA37" s="794"/>
      <c r="CB37" s="794"/>
      <c r="CC37" s="794"/>
      <c r="CD37" s="795"/>
      <c r="CE37" s="799" t="s">
        <v>11</v>
      </c>
      <c r="CF37" s="800"/>
      <c r="CG37" s="800"/>
      <c r="CH37" s="800"/>
      <c r="CI37" s="800"/>
      <c r="CJ37" s="801"/>
      <c r="CK37" s="793"/>
      <c r="CL37" s="794"/>
      <c r="CM37" s="794"/>
      <c r="CN37" s="794"/>
      <c r="CO37" s="794"/>
      <c r="CP37" s="794"/>
      <c r="CQ37" s="794"/>
      <c r="CR37" s="794"/>
      <c r="CS37" s="794"/>
      <c r="CT37" s="794"/>
      <c r="CU37" s="795"/>
      <c r="CV37" s="799" t="s">
        <v>74</v>
      </c>
      <c r="CW37" s="800"/>
      <c r="CX37" s="800"/>
      <c r="CY37" s="800"/>
      <c r="CZ37" s="800"/>
      <c r="DA37" s="801"/>
      <c r="DB37" s="793"/>
      <c r="DC37" s="794"/>
      <c r="DD37" s="794"/>
      <c r="DE37" s="794"/>
      <c r="DF37" s="794"/>
      <c r="DG37" s="794"/>
      <c r="DH37" s="794"/>
      <c r="DI37" s="794"/>
      <c r="DJ37" s="794"/>
      <c r="DK37" s="805"/>
      <c r="DL37" s="44"/>
    </row>
    <row r="38" spans="1:116" s="45" customFormat="1" ht="7.5" customHeight="1">
      <c r="A38" s="48"/>
      <c r="B38" s="1141"/>
      <c r="C38" s="1142"/>
      <c r="D38" s="1142"/>
      <c r="E38" s="1142"/>
      <c r="F38" s="1143"/>
      <c r="G38" s="1024"/>
      <c r="H38" s="1025"/>
      <c r="I38" s="1025"/>
      <c r="J38" s="1025"/>
      <c r="K38" s="1025"/>
      <c r="L38" s="1025"/>
      <c r="M38" s="1025"/>
      <c r="N38" s="1025"/>
      <c r="O38" s="1025"/>
      <c r="P38" s="1025"/>
      <c r="Q38" s="1025"/>
      <c r="R38" s="1025"/>
      <c r="S38" s="1025"/>
      <c r="T38" s="1025"/>
      <c r="U38" s="1025"/>
      <c r="V38" s="1025"/>
      <c r="W38" s="1025"/>
      <c r="X38" s="1025"/>
      <c r="Y38" s="1025"/>
      <c r="Z38" s="1025"/>
      <c r="AA38" s="1026"/>
      <c r="AB38" s="3147" t="s">
        <v>797</v>
      </c>
      <c r="AC38" s="3148"/>
      <c r="AD38" s="3148"/>
      <c r="AE38" s="3148"/>
      <c r="AF38" s="3149"/>
      <c r="AG38" s="3151"/>
      <c r="AH38" s="3152"/>
      <c r="AI38" s="3152"/>
      <c r="AJ38" s="3152"/>
      <c r="AK38" s="3152"/>
      <c r="AL38" s="3152"/>
      <c r="AM38" s="3152"/>
      <c r="AN38" s="3152"/>
      <c r="AO38" s="3152"/>
      <c r="AP38" s="3152"/>
      <c r="AQ38" s="3152"/>
      <c r="AR38" s="3152"/>
      <c r="AS38" s="3152"/>
      <c r="AT38" s="3155"/>
      <c r="AU38" s="3156"/>
      <c r="AV38" s="3156"/>
      <c r="AW38" s="3156"/>
      <c r="AX38" s="3156"/>
      <c r="AY38" s="3156"/>
      <c r="AZ38" s="3156"/>
      <c r="BA38" s="3156"/>
      <c r="BB38" s="3156"/>
      <c r="BC38" s="3156"/>
      <c r="BD38" s="3156"/>
      <c r="BE38" s="3156"/>
      <c r="BF38" s="3157"/>
      <c r="BG38" s="48"/>
      <c r="BH38" s="48"/>
      <c r="BI38" s="957" t="s">
        <v>75</v>
      </c>
      <c r="BJ38" s="958"/>
      <c r="BK38" s="958"/>
      <c r="BL38" s="958"/>
      <c r="BM38" s="959"/>
      <c r="BN38" s="802"/>
      <c r="BO38" s="803"/>
      <c r="BP38" s="803"/>
      <c r="BQ38" s="803"/>
      <c r="BR38" s="803"/>
      <c r="BS38" s="804"/>
      <c r="BT38" s="796"/>
      <c r="BU38" s="797"/>
      <c r="BV38" s="797"/>
      <c r="BW38" s="797"/>
      <c r="BX38" s="797"/>
      <c r="BY38" s="797"/>
      <c r="BZ38" s="797"/>
      <c r="CA38" s="797"/>
      <c r="CB38" s="797"/>
      <c r="CC38" s="797"/>
      <c r="CD38" s="798"/>
      <c r="CE38" s="802"/>
      <c r="CF38" s="803"/>
      <c r="CG38" s="803"/>
      <c r="CH38" s="803"/>
      <c r="CI38" s="803"/>
      <c r="CJ38" s="804"/>
      <c r="CK38" s="796"/>
      <c r="CL38" s="797"/>
      <c r="CM38" s="797"/>
      <c r="CN38" s="797"/>
      <c r="CO38" s="797"/>
      <c r="CP38" s="797"/>
      <c r="CQ38" s="797"/>
      <c r="CR38" s="797"/>
      <c r="CS38" s="797"/>
      <c r="CT38" s="797"/>
      <c r="CU38" s="798"/>
      <c r="CV38" s="802"/>
      <c r="CW38" s="803"/>
      <c r="CX38" s="803"/>
      <c r="CY38" s="803"/>
      <c r="CZ38" s="803"/>
      <c r="DA38" s="804"/>
      <c r="DB38" s="796"/>
      <c r="DC38" s="797"/>
      <c r="DD38" s="797"/>
      <c r="DE38" s="797"/>
      <c r="DF38" s="797"/>
      <c r="DG38" s="797"/>
      <c r="DH38" s="797"/>
      <c r="DI38" s="797"/>
      <c r="DJ38" s="797"/>
      <c r="DK38" s="806"/>
      <c r="DL38" s="44"/>
    </row>
    <row r="39" spans="1:116" s="45" customFormat="1" ht="7.5" customHeight="1">
      <c r="A39" s="48"/>
      <c r="B39" s="1144"/>
      <c r="C39" s="1145"/>
      <c r="D39" s="1145"/>
      <c r="E39" s="1145"/>
      <c r="F39" s="1146"/>
      <c r="G39" s="1027"/>
      <c r="H39" s="1028"/>
      <c r="I39" s="1028"/>
      <c r="J39" s="1028"/>
      <c r="K39" s="1028"/>
      <c r="L39" s="1028"/>
      <c r="M39" s="1028"/>
      <c r="N39" s="1028"/>
      <c r="O39" s="1028"/>
      <c r="P39" s="1028"/>
      <c r="Q39" s="1028"/>
      <c r="R39" s="1028"/>
      <c r="S39" s="1028"/>
      <c r="T39" s="1028"/>
      <c r="U39" s="1028"/>
      <c r="V39" s="1028"/>
      <c r="W39" s="1028"/>
      <c r="X39" s="1028"/>
      <c r="Y39" s="1028"/>
      <c r="Z39" s="1028"/>
      <c r="AA39" s="1029"/>
      <c r="AB39" s="3150"/>
      <c r="AC39" s="1145"/>
      <c r="AD39" s="1145"/>
      <c r="AE39" s="1145"/>
      <c r="AF39" s="1146"/>
      <c r="AG39" s="3153"/>
      <c r="AH39" s="3154"/>
      <c r="AI39" s="3154"/>
      <c r="AJ39" s="3154"/>
      <c r="AK39" s="3154"/>
      <c r="AL39" s="3154"/>
      <c r="AM39" s="3154"/>
      <c r="AN39" s="3154"/>
      <c r="AO39" s="3154"/>
      <c r="AP39" s="3154"/>
      <c r="AQ39" s="3154"/>
      <c r="AR39" s="3154"/>
      <c r="AS39" s="3154"/>
      <c r="AT39" s="3158"/>
      <c r="AU39" s="3154"/>
      <c r="AV39" s="3154"/>
      <c r="AW39" s="3154"/>
      <c r="AX39" s="3154"/>
      <c r="AY39" s="3154"/>
      <c r="AZ39" s="3154"/>
      <c r="BA39" s="3154"/>
      <c r="BB39" s="3154"/>
      <c r="BC39" s="3154"/>
      <c r="BD39" s="3154"/>
      <c r="BE39" s="3154"/>
      <c r="BF39" s="3159"/>
      <c r="BG39" s="48"/>
      <c r="BH39" s="48"/>
      <c r="BI39" s="957"/>
      <c r="BJ39" s="958"/>
      <c r="BK39" s="958"/>
      <c r="BL39" s="958"/>
      <c r="BM39" s="959"/>
      <c r="BN39" s="799" t="s">
        <v>76</v>
      </c>
      <c r="BO39" s="800"/>
      <c r="BP39" s="800"/>
      <c r="BQ39" s="800"/>
      <c r="BR39" s="800"/>
      <c r="BS39" s="801"/>
      <c r="BT39" s="793"/>
      <c r="BU39" s="794"/>
      <c r="BV39" s="794"/>
      <c r="BW39" s="794"/>
      <c r="BX39" s="794"/>
      <c r="BY39" s="794"/>
      <c r="BZ39" s="794"/>
      <c r="CA39" s="794"/>
      <c r="CB39" s="794"/>
      <c r="CC39" s="794"/>
      <c r="CD39" s="794"/>
      <c r="CE39" s="794"/>
      <c r="CF39" s="794"/>
      <c r="CG39" s="794"/>
      <c r="CH39" s="794"/>
      <c r="CI39" s="794"/>
      <c r="CJ39" s="794"/>
      <c r="CK39" s="794"/>
      <c r="CL39" s="794"/>
      <c r="CM39" s="795"/>
      <c r="CN39" s="799" t="s">
        <v>77</v>
      </c>
      <c r="CO39" s="800"/>
      <c r="CP39" s="800"/>
      <c r="CQ39" s="800"/>
      <c r="CR39" s="800"/>
      <c r="CS39" s="801"/>
      <c r="CT39" s="928"/>
      <c r="CU39" s="929"/>
      <c r="CV39" s="929"/>
      <c r="CW39" s="929"/>
      <c r="CX39" s="929"/>
      <c r="CY39" s="929"/>
      <c r="CZ39" s="929"/>
      <c r="DA39" s="929"/>
      <c r="DB39" s="929"/>
      <c r="DC39" s="929"/>
      <c r="DD39" s="929"/>
      <c r="DE39" s="929"/>
      <c r="DF39" s="929"/>
      <c r="DG39" s="929"/>
      <c r="DH39" s="929"/>
      <c r="DI39" s="929"/>
      <c r="DJ39" s="929"/>
      <c r="DK39" s="930"/>
      <c r="DL39" s="44"/>
    </row>
    <row r="40" spans="1:116" s="45" customFormat="1" ht="7.5" customHeight="1">
      <c r="A40" s="48"/>
      <c r="B40" s="1138" t="s">
        <v>570</v>
      </c>
      <c r="C40" s="1139"/>
      <c r="D40" s="1139"/>
      <c r="E40" s="1139"/>
      <c r="F40" s="1140"/>
      <c r="G40" s="3165"/>
      <c r="H40" s="3166"/>
      <c r="I40" s="3166"/>
      <c r="J40" s="3166"/>
      <c r="K40" s="3166"/>
      <c r="L40" s="3166"/>
      <c r="M40" s="3166"/>
      <c r="N40" s="3166"/>
      <c r="O40" s="3166"/>
      <c r="P40" s="3166"/>
      <c r="Q40" s="3166"/>
      <c r="R40" s="3166"/>
      <c r="S40" s="3166"/>
      <c r="T40" s="3166"/>
      <c r="U40" s="3166"/>
      <c r="V40" s="3166"/>
      <c r="W40" s="3166"/>
      <c r="X40" s="3166"/>
      <c r="Y40" s="3166"/>
      <c r="Z40" s="3166"/>
      <c r="AA40" s="3167"/>
      <c r="AB40" s="3127" t="s">
        <v>569</v>
      </c>
      <c r="AC40" s="1139"/>
      <c r="AD40" s="1139"/>
      <c r="AE40" s="1139"/>
      <c r="AF40" s="1140"/>
      <c r="AG40" s="3172"/>
      <c r="AH40" s="3173"/>
      <c r="AI40" s="3173"/>
      <c r="AJ40" s="3173"/>
      <c r="AK40" s="3173"/>
      <c r="AL40" s="3173"/>
      <c r="AM40" s="3173"/>
      <c r="AN40" s="3173"/>
      <c r="AO40" s="3173"/>
      <c r="AP40" s="3173"/>
      <c r="AQ40" s="3173"/>
      <c r="AR40" s="3173"/>
      <c r="AS40" s="3173"/>
      <c r="AT40" s="3173"/>
      <c r="AU40" s="3173"/>
      <c r="AV40" s="3173"/>
      <c r="AW40" s="3173"/>
      <c r="AX40" s="3173"/>
      <c r="AY40" s="3173"/>
      <c r="AZ40" s="3173"/>
      <c r="BA40" s="3173"/>
      <c r="BB40" s="3173"/>
      <c r="BC40" s="3173"/>
      <c r="BD40" s="3173"/>
      <c r="BE40" s="3173"/>
      <c r="BF40" s="3174"/>
      <c r="BG40" s="48"/>
      <c r="BH40" s="48"/>
      <c r="BI40" s="543"/>
      <c r="BJ40" s="544"/>
      <c r="BK40" s="544"/>
      <c r="BL40" s="544"/>
      <c r="BM40" s="545"/>
      <c r="BN40" s="802"/>
      <c r="BO40" s="803"/>
      <c r="BP40" s="803"/>
      <c r="BQ40" s="803"/>
      <c r="BR40" s="803"/>
      <c r="BS40" s="804"/>
      <c r="BT40" s="796"/>
      <c r="BU40" s="797"/>
      <c r="BV40" s="797"/>
      <c r="BW40" s="797"/>
      <c r="BX40" s="797"/>
      <c r="BY40" s="797"/>
      <c r="BZ40" s="797"/>
      <c r="CA40" s="797"/>
      <c r="CB40" s="797"/>
      <c r="CC40" s="797"/>
      <c r="CD40" s="797"/>
      <c r="CE40" s="797"/>
      <c r="CF40" s="797"/>
      <c r="CG40" s="797"/>
      <c r="CH40" s="797"/>
      <c r="CI40" s="797"/>
      <c r="CJ40" s="797"/>
      <c r="CK40" s="797"/>
      <c r="CL40" s="797"/>
      <c r="CM40" s="798"/>
      <c r="CN40" s="802"/>
      <c r="CO40" s="803"/>
      <c r="CP40" s="803"/>
      <c r="CQ40" s="803"/>
      <c r="CR40" s="803"/>
      <c r="CS40" s="804"/>
      <c r="CT40" s="931"/>
      <c r="CU40" s="932"/>
      <c r="CV40" s="932"/>
      <c r="CW40" s="932"/>
      <c r="CX40" s="932"/>
      <c r="CY40" s="932"/>
      <c r="CZ40" s="932"/>
      <c r="DA40" s="932"/>
      <c r="DB40" s="932"/>
      <c r="DC40" s="932"/>
      <c r="DD40" s="932"/>
      <c r="DE40" s="932"/>
      <c r="DF40" s="932"/>
      <c r="DG40" s="932"/>
      <c r="DH40" s="932"/>
      <c r="DI40" s="932"/>
      <c r="DJ40" s="932"/>
      <c r="DK40" s="933"/>
      <c r="DL40" s="44"/>
    </row>
    <row r="41" spans="1:116" s="45" customFormat="1" ht="7.5" customHeight="1" thickBot="1">
      <c r="A41" s="48"/>
      <c r="B41" s="1147"/>
      <c r="C41" s="1148"/>
      <c r="D41" s="1148"/>
      <c r="E41" s="1148"/>
      <c r="F41" s="1149"/>
      <c r="G41" s="3168"/>
      <c r="H41" s="3169"/>
      <c r="I41" s="3169"/>
      <c r="J41" s="3169"/>
      <c r="K41" s="3169"/>
      <c r="L41" s="3169"/>
      <c r="M41" s="3169"/>
      <c r="N41" s="3169"/>
      <c r="O41" s="3169"/>
      <c r="P41" s="3169"/>
      <c r="Q41" s="3169"/>
      <c r="R41" s="3169"/>
      <c r="S41" s="3169"/>
      <c r="T41" s="3169"/>
      <c r="U41" s="3169"/>
      <c r="V41" s="3169"/>
      <c r="W41" s="3169"/>
      <c r="X41" s="3169"/>
      <c r="Y41" s="3169"/>
      <c r="Z41" s="3169"/>
      <c r="AA41" s="3170"/>
      <c r="AB41" s="3171"/>
      <c r="AC41" s="1148"/>
      <c r="AD41" s="1148"/>
      <c r="AE41" s="1148"/>
      <c r="AF41" s="1149"/>
      <c r="AG41" s="3175"/>
      <c r="AH41" s="3176"/>
      <c r="AI41" s="3176"/>
      <c r="AJ41" s="3176"/>
      <c r="AK41" s="3176"/>
      <c r="AL41" s="3176"/>
      <c r="AM41" s="3176"/>
      <c r="AN41" s="3176"/>
      <c r="AO41" s="3176"/>
      <c r="AP41" s="3176"/>
      <c r="AQ41" s="3176"/>
      <c r="AR41" s="3176"/>
      <c r="AS41" s="3176"/>
      <c r="AT41" s="3176"/>
      <c r="AU41" s="3176"/>
      <c r="AV41" s="3176"/>
      <c r="AW41" s="3176"/>
      <c r="AX41" s="3176"/>
      <c r="AY41" s="3176"/>
      <c r="AZ41" s="3176"/>
      <c r="BA41" s="3176"/>
      <c r="BB41" s="3176"/>
      <c r="BC41" s="3176"/>
      <c r="BD41" s="3176"/>
      <c r="BE41" s="3176"/>
      <c r="BF41" s="3177"/>
      <c r="BG41" s="48"/>
      <c r="BH41" s="48"/>
      <c r="BI41" s="3693" t="s">
        <v>567</v>
      </c>
      <c r="BJ41" s="3691"/>
      <c r="BK41" s="3691"/>
      <c r="BL41" s="3691"/>
      <c r="BM41" s="3692"/>
      <c r="BN41" s="950"/>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3690" t="s">
        <v>266</v>
      </c>
      <c r="CL41" s="3691"/>
      <c r="CM41" s="3691"/>
      <c r="CN41" s="3691"/>
      <c r="CO41" s="3692"/>
      <c r="CP41" s="954"/>
      <c r="CQ41" s="955"/>
      <c r="CR41" s="955"/>
      <c r="CS41" s="955"/>
      <c r="CT41" s="955"/>
      <c r="CU41" s="955"/>
      <c r="CV41" s="955"/>
      <c r="CW41" s="955"/>
      <c r="CX41" s="955"/>
      <c r="CY41" s="955"/>
      <c r="CZ41" s="955"/>
      <c r="DA41" s="955"/>
      <c r="DB41" s="955"/>
      <c r="DC41" s="955"/>
      <c r="DD41" s="955"/>
      <c r="DE41" s="955"/>
      <c r="DF41" s="955"/>
      <c r="DG41" s="955"/>
      <c r="DH41" s="955"/>
      <c r="DI41" s="955"/>
      <c r="DJ41" s="955"/>
      <c r="DK41" s="956"/>
      <c r="DL41" s="50"/>
    </row>
    <row r="42" spans="1:116" s="45" customFormat="1" ht="7.5" customHeight="1" thickTop="1">
      <c r="A42" s="48"/>
      <c r="B42" s="1150" t="s">
        <v>78</v>
      </c>
      <c r="C42" s="1151"/>
      <c r="D42" s="1151"/>
      <c r="E42" s="1151"/>
      <c r="F42" s="1152"/>
      <c r="G42" s="1159" t="s">
        <v>749</v>
      </c>
      <c r="H42" s="1160"/>
      <c r="I42" s="1160"/>
      <c r="J42" s="1160"/>
      <c r="K42" s="1160"/>
      <c r="L42" s="1160"/>
      <c r="M42" s="1160"/>
      <c r="N42" s="1160"/>
      <c r="O42" s="1160"/>
      <c r="P42" s="1160"/>
      <c r="Q42" s="1160"/>
      <c r="R42" s="1160"/>
      <c r="S42" s="1160"/>
      <c r="T42" s="1160"/>
      <c r="U42" s="1160"/>
      <c r="V42" s="1160"/>
      <c r="W42" s="1160"/>
      <c r="X42" s="1160"/>
      <c r="Y42" s="1160"/>
      <c r="Z42" s="1160"/>
      <c r="AA42" s="1160"/>
      <c r="AB42" s="1160"/>
      <c r="AC42" s="1160"/>
      <c r="AD42" s="1160"/>
      <c r="AE42" s="1160"/>
      <c r="AF42" s="1160"/>
      <c r="AG42" s="1160"/>
      <c r="AH42" s="1160"/>
      <c r="AI42" s="1160"/>
      <c r="AJ42" s="1160"/>
      <c r="AK42" s="1160"/>
      <c r="AL42" s="1160"/>
      <c r="AM42" s="1160"/>
      <c r="AN42" s="1160"/>
      <c r="AO42" s="1160"/>
      <c r="AP42" s="1160"/>
      <c r="AQ42" s="1160"/>
      <c r="AR42" s="1160"/>
      <c r="AS42" s="1160"/>
      <c r="AT42" s="1160"/>
      <c r="AU42" s="1160"/>
      <c r="AV42" s="1160"/>
      <c r="AW42" s="1160"/>
      <c r="AX42" s="1160"/>
      <c r="AY42" s="1161"/>
      <c r="AZ42" s="1168" t="s">
        <v>79</v>
      </c>
      <c r="BA42" s="1169"/>
      <c r="BB42" s="1169"/>
      <c r="BC42" s="1169"/>
      <c r="BD42" s="1169"/>
      <c r="BE42" s="1169"/>
      <c r="BF42" s="1170"/>
      <c r="BG42" s="48"/>
      <c r="BH42" s="48"/>
      <c r="BI42" s="3693"/>
      <c r="BJ42" s="3691"/>
      <c r="BK42" s="3691"/>
      <c r="BL42" s="3691"/>
      <c r="BM42" s="3692"/>
      <c r="BN42" s="950"/>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3690"/>
      <c r="CL42" s="3691"/>
      <c r="CM42" s="3691"/>
      <c r="CN42" s="3691"/>
      <c r="CO42" s="3692"/>
      <c r="CP42" s="954"/>
      <c r="CQ42" s="955"/>
      <c r="CR42" s="955"/>
      <c r="CS42" s="955"/>
      <c r="CT42" s="955"/>
      <c r="CU42" s="955"/>
      <c r="CV42" s="955"/>
      <c r="CW42" s="955"/>
      <c r="CX42" s="955"/>
      <c r="CY42" s="955"/>
      <c r="CZ42" s="955"/>
      <c r="DA42" s="955"/>
      <c r="DB42" s="955"/>
      <c r="DC42" s="955"/>
      <c r="DD42" s="955"/>
      <c r="DE42" s="955"/>
      <c r="DF42" s="955"/>
      <c r="DG42" s="955"/>
      <c r="DH42" s="955"/>
      <c r="DI42" s="955"/>
      <c r="DJ42" s="955"/>
      <c r="DK42" s="956"/>
      <c r="DL42" s="50"/>
    </row>
    <row r="43" spans="1:116" s="45" customFormat="1" ht="7.5" customHeight="1">
      <c r="A43" s="48"/>
      <c r="B43" s="1153"/>
      <c r="C43" s="1154"/>
      <c r="D43" s="1154"/>
      <c r="E43" s="1154"/>
      <c r="F43" s="1155"/>
      <c r="G43" s="1162"/>
      <c r="H43" s="1163"/>
      <c r="I43" s="1163"/>
      <c r="J43" s="1163"/>
      <c r="K43" s="1163"/>
      <c r="L43" s="1163"/>
      <c r="M43" s="1163"/>
      <c r="N43" s="1163"/>
      <c r="O43" s="1163"/>
      <c r="P43" s="1163"/>
      <c r="Q43" s="1163"/>
      <c r="R43" s="1163"/>
      <c r="S43" s="1163"/>
      <c r="T43" s="1163"/>
      <c r="U43" s="1163"/>
      <c r="V43" s="1163"/>
      <c r="W43" s="1163"/>
      <c r="X43" s="1163"/>
      <c r="Y43" s="1163"/>
      <c r="Z43" s="1163"/>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4"/>
      <c r="AZ43" s="1171"/>
      <c r="BA43" s="1172"/>
      <c r="BB43" s="1172"/>
      <c r="BC43" s="1172"/>
      <c r="BD43" s="1172"/>
      <c r="BE43" s="1172"/>
      <c r="BF43" s="1173"/>
      <c r="BG43" s="48"/>
      <c r="BH43" s="48"/>
      <c r="BI43" s="1012" t="s">
        <v>570</v>
      </c>
      <c r="BJ43" s="800"/>
      <c r="BK43" s="800"/>
      <c r="BL43" s="800"/>
      <c r="BM43" s="3685"/>
      <c r="BN43" s="989"/>
      <c r="BO43" s="990"/>
      <c r="BP43" s="990"/>
      <c r="BQ43" s="990"/>
      <c r="BR43" s="990"/>
      <c r="BS43" s="990"/>
      <c r="BT43" s="990"/>
      <c r="BU43" s="990"/>
      <c r="BV43" s="990"/>
      <c r="BW43" s="990"/>
      <c r="BX43" s="990"/>
      <c r="BY43" s="990"/>
      <c r="BZ43" s="990"/>
      <c r="CA43" s="990"/>
      <c r="CB43" s="990"/>
      <c r="CC43" s="990"/>
      <c r="CD43" s="990"/>
      <c r="CE43" s="990"/>
      <c r="CF43" s="990"/>
      <c r="CG43" s="990"/>
      <c r="CH43" s="990"/>
      <c r="CI43" s="990"/>
      <c r="CJ43" s="991"/>
      <c r="CK43" s="799" t="s">
        <v>569</v>
      </c>
      <c r="CL43" s="800"/>
      <c r="CM43" s="800"/>
      <c r="CN43" s="800"/>
      <c r="CO43" s="3685"/>
      <c r="CP43" s="996"/>
      <c r="CQ43" s="997"/>
      <c r="CR43" s="997"/>
      <c r="CS43" s="997"/>
      <c r="CT43" s="997"/>
      <c r="CU43" s="997"/>
      <c r="CV43" s="997"/>
      <c r="CW43" s="997"/>
      <c r="CX43" s="997"/>
      <c r="CY43" s="997"/>
      <c r="CZ43" s="997"/>
      <c r="DA43" s="997"/>
      <c r="DB43" s="997"/>
      <c r="DC43" s="997"/>
      <c r="DD43" s="997"/>
      <c r="DE43" s="997"/>
      <c r="DF43" s="997"/>
      <c r="DG43" s="997"/>
      <c r="DH43" s="997"/>
      <c r="DI43" s="997"/>
      <c r="DJ43" s="997"/>
      <c r="DK43" s="998"/>
      <c r="DL43" s="52"/>
    </row>
    <row r="44" spans="1:116" s="45" customFormat="1" ht="7.5" customHeight="1" thickBot="1">
      <c r="A44" s="44"/>
      <c r="B44" s="1156"/>
      <c r="C44" s="1157"/>
      <c r="D44" s="1157"/>
      <c r="E44" s="1157"/>
      <c r="F44" s="1158"/>
      <c r="G44" s="1165"/>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7"/>
      <c r="AZ44" s="1174"/>
      <c r="BA44" s="1175"/>
      <c r="BB44" s="1175"/>
      <c r="BC44" s="1175"/>
      <c r="BD44" s="1175"/>
      <c r="BE44" s="1175"/>
      <c r="BF44" s="1176"/>
      <c r="BI44" s="3689"/>
      <c r="BJ44" s="3687"/>
      <c r="BK44" s="3687"/>
      <c r="BL44" s="3687"/>
      <c r="BM44" s="3688"/>
      <c r="BN44" s="992"/>
      <c r="BO44" s="993"/>
      <c r="BP44" s="993"/>
      <c r="BQ44" s="993"/>
      <c r="BR44" s="993"/>
      <c r="BS44" s="993"/>
      <c r="BT44" s="993"/>
      <c r="BU44" s="993"/>
      <c r="BV44" s="993"/>
      <c r="BW44" s="993"/>
      <c r="BX44" s="993"/>
      <c r="BY44" s="993"/>
      <c r="BZ44" s="993"/>
      <c r="CA44" s="993"/>
      <c r="CB44" s="993"/>
      <c r="CC44" s="993"/>
      <c r="CD44" s="993"/>
      <c r="CE44" s="993"/>
      <c r="CF44" s="993"/>
      <c r="CG44" s="993"/>
      <c r="CH44" s="993"/>
      <c r="CI44" s="993"/>
      <c r="CJ44" s="994"/>
      <c r="CK44" s="3686"/>
      <c r="CL44" s="3687"/>
      <c r="CM44" s="3687"/>
      <c r="CN44" s="3687"/>
      <c r="CO44" s="3688"/>
      <c r="CP44" s="999"/>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1"/>
      <c r="DL44" s="44"/>
    </row>
    <row r="45" spans="1:116" s="45" customFormat="1" ht="7.5" customHeight="1" thickTop="1">
      <c r="A45" s="48"/>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c r="AS45" s="2298"/>
      <c r="AT45" s="2298"/>
      <c r="AU45" s="2298"/>
      <c r="AV45" s="2298"/>
      <c r="AW45" s="2298"/>
      <c r="AX45" s="2298"/>
      <c r="AY45" s="2298"/>
      <c r="AZ45" s="2298"/>
      <c r="BA45" s="2298"/>
      <c r="BB45" s="2298"/>
      <c r="BC45" s="2298"/>
      <c r="BD45" s="2298"/>
      <c r="BG45" s="48"/>
      <c r="BH45" s="48"/>
      <c r="DC45" s="334"/>
      <c r="DD45" s="334"/>
      <c r="DE45" s="334"/>
      <c r="DF45" s="334"/>
      <c r="DG45" s="334"/>
      <c r="DH45" s="334"/>
      <c r="DI45" s="334"/>
      <c r="DJ45" s="334"/>
      <c r="DK45" s="334"/>
      <c r="DL45" s="52"/>
    </row>
    <row r="46" spans="1:116" s="45" customFormat="1" ht="7.5" customHeight="1" thickBot="1">
      <c r="A46" s="48"/>
      <c r="B46" s="2298"/>
      <c r="C46" s="2298"/>
      <c r="D46" s="2298"/>
      <c r="E46" s="2298"/>
      <c r="F46" s="2298"/>
      <c r="G46" s="2298"/>
      <c r="H46" s="2298"/>
      <c r="I46" s="2298"/>
      <c r="J46" s="2298"/>
      <c r="K46" s="2298"/>
      <c r="L46" s="2298"/>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c r="AS46" s="2298"/>
      <c r="AT46" s="2298"/>
      <c r="AU46" s="2298"/>
      <c r="AV46" s="2298"/>
      <c r="AW46" s="2298"/>
      <c r="AX46" s="2298"/>
      <c r="AY46" s="2298"/>
      <c r="AZ46" s="2298"/>
      <c r="BA46" s="2298"/>
      <c r="BB46" s="2298"/>
      <c r="BC46" s="2298"/>
      <c r="BD46" s="2298"/>
      <c r="BG46" s="48"/>
      <c r="BH46" s="48"/>
      <c r="DC46" s="334"/>
      <c r="DD46" s="334"/>
      <c r="DE46" s="334"/>
      <c r="DF46" s="334"/>
      <c r="DG46" s="334"/>
      <c r="DH46" s="334"/>
      <c r="DI46" s="334"/>
      <c r="DJ46" s="334"/>
      <c r="DK46" s="334"/>
      <c r="DL46" s="52"/>
    </row>
    <row r="47" spans="1:116" s="45" customFormat="1" ht="7.5" customHeight="1" thickTop="1" thickBot="1">
      <c r="A47" s="48"/>
      <c r="B47" s="934" t="s">
        <v>793</v>
      </c>
      <c r="C47" s="935"/>
      <c r="D47" s="935"/>
      <c r="E47" s="935"/>
      <c r="F47" s="935"/>
      <c r="G47" s="935"/>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1069"/>
      <c r="AM47" s="1070"/>
      <c r="AN47" s="1070"/>
      <c r="AO47" s="1070"/>
      <c r="AP47" s="1070"/>
      <c r="AQ47" s="1070"/>
      <c r="AR47" s="1070"/>
      <c r="AS47" s="1070"/>
      <c r="AT47" s="1070"/>
      <c r="AU47" s="1070"/>
      <c r="AV47" s="1070"/>
      <c r="AW47" s="1070"/>
      <c r="AX47" s="1070"/>
      <c r="AY47" s="1070"/>
      <c r="AZ47" s="1070"/>
      <c r="BA47" s="1070"/>
      <c r="BB47" s="1070"/>
      <c r="BC47" s="1070"/>
      <c r="BD47" s="1070"/>
      <c r="BE47" s="1070"/>
      <c r="BF47" s="1071"/>
      <c r="BG47" s="48"/>
      <c r="BH47" s="48"/>
      <c r="DC47" s="334"/>
      <c r="DD47" s="334"/>
      <c r="DE47" s="334"/>
      <c r="DF47" s="334"/>
      <c r="DG47" s="334"/>
      <c r="DH47" s="334"/>
      <c r="DI47" s="334"/>
      <c r="DJ47" s="334"/>
      <c r="DK47" s="334"/>
      <c r="DL47" s="44"/>
    </row>
    <row r="48" spans="1:116" s="45" customFormat="1" ht="7.5" customHeight="1" thickTop="1">
      <c r="A48" s="48"/>
      <c r="B48" s="937"/>
      <c r="C48" s="938"/>
      <c r="D48" s="938"/>
      <c r="E48" s="938"/>
      <c r="F48" s="938"/>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1072"/>
      <c r="AM48" s="1073"/>
      <c r="AN48" s="1073"/>
      <c r="AO48" s="1073"/>
      <c r="AP48" s="1073"/>
      <c r="AQ48" s="1073"/>
      <c r="AR48" s="1073"/>
      <c r="AS48" s="1073"/>
      <c r="AT48" s="1073"/>
      <c r="AU48" s="1073"/>
      <c r="AV48" s="1073"/>
      <c r="AW48" s="1073"/>
      <c r="AX48" s="1073"/>
      <c r="AY48" s="1073"/>
      <c r="AZ48" s="1073"/>
      <c r="BA48" s="1073"/>
      <c r="BB48" s="1073"/>
      <c r="BC48" s="1073"/>
      <c r="BD48" s="1073"/>
      <c r="BE48" s="1073"/>
      <c r="BF48" s="1074"/>
      <c r="BG48" s="48"/>
      <c r="BH48" s="48"/>
      <c r="BI48" s="1075" t="s">
        <v>572</v>
      </c>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7"/>
      <c r="DC48" s="1081" t="s">
        <v>263</v>
      </c>
      <c r="DD48" s="1082"/>
      <c r="DE48" s="1082"/>
      <c r="DF48" s="1082"/>
      <c r="DG48" s="1082"/>
      <c r="DH48" s="1082"/>
      <c r="DI48" s="1082"/>
      <c r="DJ48" s="1082"/>
      <c r="DK48" s="1083"/>
      <c r="DL48" s="44"/>
    </row>
    <row r="49" spans="1:149" s="45" customFormat="1" ht="7.5" customHeight="1">
      <c r="A49" s="48"/>
      <c r="B49" s="1090" t="s">
        <v>72</v>
      </c>
      <c r="C49" s="1091"/>
      <c r="D49" s="1091"/>
      <c r="E49" s="1091"/>
      <c r="F49" s="1092"/>
      <c r="G49" s="3139"/>
      <c r="H49" s="3140"/>
      <c r="I49" s="3140"/>
      <c r="J49" s="3140"/>
      <c r="K49" s="3140"/>
      <c r="L49" s="3140"/>
      <c r="M49" s="3140"/>
      <c r="N49" s="3140"/>
      <c r="O49" s="3140"/>
      <c r="P49" s="3140"/>
      <c r="Q49" s="3140"/>
      <c r="R49" s="3140"/>
      <c r="S49" s="3140"/>
      <c r="T49" s="3140"/>
      <c r="U49" s="3140"/>
      <c r="V49" s="3140"/>
      <c r="W49" s="3140"/>
      <c r="X49" s="3140"/>
      <c r="Y49" s="3140"/>
      <c r="Z49" s="3140"/>
      <c r="AA49" s="3140"/>
      <c r="AB49" s="3140"/>
      <c r="AC49" s="3140"/>
      <c r="AD49" s="3140"/>
      <c r="AE49" s="3140"/>
      <c r="AF49" s="3140"/>
      <c r="AG49" s="3140"/>
      <c r="AH49" s="3140"/>
      <c r="AI49" s="3140"/>
      <c r="AJ49" s="3140"/>
      <c r="AK49" s="3140"/>
      <c r="AL49" s="3140"/>
      <c r="AM49" s="3140"/>
      <c r="AN49" s="3140"/>
      <c r="AO49" s="3140"/>
      <c r="AP49" s="3140"/>
      <c r="AQ49" s="3140"/>
      <c r="AR49" s="3140"/>
      <c r="AS49" s="3140"/>
      <c r="AT49" s="3140"/>
      <c r="AU49" s="3140"/>
      <c r="AV49" s="3140"/>
      <c r="AW49" s="3140"/>
      <c r="AX49" s="3140"/>
      <c r="AY49" s="3140"/>
      <c r="AZ49" s="3140"/>
      <c r="BA49" s="3140"/>
      <c r="BB49" s="3140"/>
      <c r="BC49" s="3140"/>
      <c r="BD49" s="3140"/>
      <c r="BE49" s="3140"/>
      <c r="BF49" s="3141"/>
      <c r="BG49" s="48"/>
      <c r="BH49" s="48"/>
      <c r="BI49" s="1078"/>
      <c r="BJ49" s="1079"/>
      <c r="BK49" s="1079"/>
      <c r="BL49" s="1079"/>
      <c r="BM49" s="1079"/>
      <c r="BN49" s="1079"/>
      <c r="BO49" s="1079"/>
      <c r="BP49" s="1079"/>
      <c r="BQ49" s="1079"/>
      <c r="BR49" s="1079"/>
      <c r="BS49" s="1079"/>
      <c r="BT49" s="1079"/>
      <c r="BU49" s="1079"/>
      <c r="BV49" s="1079"/>
      <c r="BW49" s="1079"/>
      <c r="BX49" s="1079"/>
      <c r="BY49" s="1079"/>
      <c r="BZ49" s="1079"/>
      <c r="CA49" s="1079"/>
      <c r="CB49" s="1079"/>
      <c r="CC49" s="1079"/>
      <c r="CD49" s="1079"/>
      <c r="CE49" s="1079"/>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80"/>
      <c r="DC49" s="1084"/>
      <c r="DD49" s="1085"/>
      <c r="DE49" s="1085"/>
      <c r="DF49" s="1085"/>
      <c r="DG49" s="1085"/>
      <c r="DH49" s="1085"/>
      <c r="DI49" s="1085"/>
      <c r="DJ49" s="1085"/>
      <c r="DK49" s="1086"/>
      <c r="DL49" s="44"/>
    </row>
    <row r="50" spans="1:149" s="45" customFormat="1" ht="7.5" customHeight="1">
      <c r="A50" s="48"/>
      <c r="B50" s="1093" t="s">
        <v>794</v>
      </c>
      <c r="C50" s="1094"/>
      <c r="D50" s="1094"/>
      <c r="E50" s="1094"/>
      <c r="F50" s="1095"/>
      <c r="G50" s="1099" t="s">
        <v>1605</v>
      </c>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3160" t="s">
        <v>1356</v>
      </c>
      <c r="AP50" s="1103"/>
      <c r="AQ50" s="1103"/>
      <c r="AR50" s="1103"/>
      <c r="AS50" s="1103"/>
      <c r="AT50" s="1103"/>
      <c r="AU50" s="1103"/>
      <c r="AV50" s="1103"/>
      <c r="AW50" s="1103"/>
      <c r="AX50" s="1103"/>
      <c r="AY50" s="1103"/>
      <c r="AZ50" s="1104"/>
      <c r="BA50" s="1107"/>
      <c r="BB50" s="1107"/>
      <c r="BC50" s="1107"/>
      <c r="BD50" s="1107"/>
      <c r="BE50" s="1107"/>
      <c r="BF50" s="1108"/>
      <c r="BG50" s="48"/>
      <c r="BH50" s="48"/>
      <c r="BI50" s="1111"/>
      <c r="BJ50" s="1112"/>
      <c r="BK50" s="1112"/>
      <c r="BL50" s="1112"/>
      <c r="BM50" s="1112"/>
      <c r="BN50" s="1112"/>
      <c r="BO50" s="1112"/>
      <c r="BP50" s="1112"/>
      <c r="BQ50" s="1112"/>
      <c r="BR50" s="1112"/>
      <c r="BS50" s="1112"/>
      <c r="BT50" s="1112"/>
      <c r="BU50" s="1112"/>
      <c r="BV50" s="1112"/>
      <c r="BW50" s="1112"/>
      <c r="BX50" s="1112"/>
      <c r="BY50" s="1112"/>
      <c r="BZ50" s="1112"/>
      <c r="CA50" s="1112"/>
      <c r="CB50" s="1112"/>
      <c r="CC50" s="1112"/>
      <c r="CD50" s="1112"/>
      <c r="CE50" s="1112"/>
      <c r="CF50" s="1112"/>
      <c r="CG50" s="1112"/>
      <c r="CH50" s="1112"/>
      <c r="CI50" s="1112"/>
      <c r="CJ50" s="1112"/>
      <c r="CK50" s="1112"/>
      <c r="CL50" s="1112"/>
      <c r="CM50" s="1112"/>
      <c r="CN50" s="1112"/>
      <c r="CO50" s="1112"/>
      <c r="CP50" s="1112"/>
      <c r="CQ50" s="1112"/>
      <c r="CR50" s="1112"/>
      <c r="CS50" s="1112"/>
      <c r="CT50" s="1112"/>
      <c r="CU50" s="1112"/>
      <c r="CV50" s="1112"/>
      <c r="CW50" s="1112"/>
      <c r="CX50" s="1112"/>
      <c r="CY50" s="1112"/>
      <c r="CZ50" s="1112"/>
      <c r="DA50" s="1112"/>
      <c r="DB50" s="1115"/>
      <c r="DC50" s="1084"/>
      <c r="DD50" s="1085"/>
      <c r="DE50" s="1085"/>
      <c r="DF50" s="1085"/>
      <c r="DG50" s="1085"/>
      <c r="DH50" s="1085"/>
      <c r="DI50" s="1085"/>
      <c r="DJ50" s="1085"/>
      <c r="DK50" s="1086"/>
      <c r="DL50" s="44"/>
      <c r="DM50" s="49"/>
      <c r="DN50" s="49"/>
      <c r="DO50" s="274"/>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row>
    <row r="51" spans="1:149" s="45" customFormat="1" ht="7.5" customHeight="1" thickBot="1">
      <c r="A51" s="48"/>
      <c r="B51" s="1096"/>
      <c r="C51" s="1097"/>
      <c r="D51" s="1097"/>
      <c r="E51" s="1097"/>
      <c r="F51" s="1098"/>
      <c r="G51" s="1101"/>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3161"/>
      <c r="AP51" s="1105"/>
      <c r="AQ51" s="1105"/>
      <c r="AR51" s="1105"/>
      <c r="AS51" s="1105"/>
      <c r="AT51" s="1105"/>
      <c r="AU51" s="1105"/>
      <c r="AV51" s="1105"/>
      <c r="AW51" s="1105"/>
      <c r="AX51" s="1105"/>
      <c r="AY51" s="1105"/>
      <c r="AZ51" s="1106"/>
      <c r="BA51" s="1109"/>
      <c r="BB51" s="1109"/>
      <c r="BC51" s="1109"/>
      <c r="BD51" s="1109"/>
      <c r="BE51" s="1109"/>
      <c r="BF51" s="1110"/>
      <c r="BG51" s="48"/>
      <c r="BH51" s="48"/>
      <c r="BI51" s="1113"/>
      <c r="BJ51" s="1114"/>
      <c r="BK51" s="1114"/>
      <c r="BL51" s="1114"/>
      <c r="BM51" s="1114"/>
      <c r="BN51" s="1114"/>
      <c r="BO51" s="1114"/>
      <c r="BP51" s="1114"/>
      <c r="BQ51" s="1114"/>
      <c r="BR51" s="1114"/>
      <c r="BS51" s="1114"/>
      <c r="BT51" s="1114"/>
      <c r="BU51" s="1114"/>
      <c r="BV51" s="1114"/>
      <c r="BW51" s="1114"/>
      <c r="BX51" s="1114"/>
      <c r="BY51" s="1114"/>
      <c r="BZ51" s="1114"/>
      <c r="CA51" s="1114"/>
      <c r="CB51" s="1114"/>
      <c r="CC51" s="1114"/>
      <c r="CD51" s="1114"/>
      <c r="CE51" s="1114"/>
      <c r="CF51" s="1114"/>
      <c r="CG51" s="1114"/>
      <c r="CH51" s="1114"/>
      <c r="CI51" s="1114"/>
      <c r="CJ51" s="1114"/>
      <c r="CK51" s="1114"/>
      <c r="CL51" s="1114"/>
      <c r="CM51" s="1114"/>
      <c r="CN51" s="1114"/>
      <c r="CO51" s="1114"/>
      <c r="CP51" s="1114"/>
      <c r="CQ51" s="1114"/>
      <c r="CR51" s="1114"/>
      <c r="CS51" s="1114"/>
      <c r="CT51" s="1114"/>
      <c r="CU51" s="1114"/>
      <c r="CV51" s="1114"/>
      <c r="CW51" s="1114"/>
      <c r="CX51" s="1114"/>
      <c r="CY51" s="1114"/>
      <c r="CZ51" s="1114"/>
      <c r="DA51" s="1114"/>
      <c r="DB51" s="1116"/>
      <c r="DC51" s="1087"/>
      <c r="DD51" s="1088"/>
      <c r="DE51" s="1088"/>
      <c r="DF51" s="1088"/>
      <c r="DG51" s="1088"/>
      <c r="DH51" s="1088"/>
      <c r="DI51" s="1088"/>
      <c r="DJ51" s="1088"/>
      <c r="DK51" s="1089"/>
      <c r="DL51" s="44"/>
      <c r="DM51" s="49"/>
      <c r="DN51" s="49"/>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row>
    <row r="52" spans="1:149" s="45" customFormat="1" ht="7.5" customHeight="1">
      <c r="A52" s="48"/>
      <c r="B52" s="1117" t="s">
        <v>75</v>
      </c>
      <c r="C52" s="1118"/>
      <c r="D52" s="1118"/>
      <c r="E52" s="1118"/>
      <c r="F52" s="1119"/>
      <c r="G52" s="3127" t="s">
        <v>73</v>
      </c>
      <c r="H52" s="3128"/>
      <c r="I52" s="3128"/>
      <c r="J52" s="3128"/>
      <c r="K52" s="3128"/>
      <c r="L52" s="3129"/>
      <c r="M52" s="3133" t="s">
        <v>1607</v>
      </c>
      <c r="N52" s="3134"/>
      <c r="O52" s="3134"/>
      <c r="P52" s="3134"/>
      <c r="Q52" s="3134"/>
      <c r="R52" s="3134"/>
      <c r="S52" s="3134"/>
      <c r="T52" s="3134"/>
      <c r="U52" s="3134"/>
      <c r="V52" s="3134"/>
      <c r="W52" s="3135"/>
      <c r="X52" s="3127" t="s">
        <v>11</v>
      </c>
      <c r="Y52" s="3128"/>
      <c r="Z52" s="3128"/>
      <c r="AA52" s="3128"/>
      <c r="AB52" s="3128"/>
      <c r="AC52" s="3129"/>
      <c r="AD52" s="3133" t="s">
        <v>313</v>
      </c>
      <c r="AE52" s="3134"/>
      <c r="AF52" s="3134"/>
      <c r="AG52" s="3134"/>
      <c r="AH52" s="3134"/>
      <c r="AI52" s="3134"/>
      <c r="AJ52" s="3134"/>
      <c r="AK52" s="3134"/>
      <c r="AL52" s="3134"/>
      <c r="AM52" s="3134"/>
      <c r="AN52" s="3135"/>
      <c r="AO52" s="3127" t="s">
        <v>74</v>
      </c>
      <c r="AP52" s="3128"/>
      <c r="AQ52" s="3128"/>
      <c r="AR52" s="3128"/>
      <c r="AS52" s="3128"/>
      <c r="AT52" s="3129"/>
      <c r="AU52" s="3133" t="s">
        <v>1609</v>
      </c>
      <c r="AV52" s="3134"/>
      <c r="AW52" s="3134"/>
      <c r="AX52" s="3134"/>
      <c r="AY52" s="3134"/>
      <c r="AZ52" s="3134"/>
      <c r="BA52" s="3134"/>
      <c r="BB52" s="3134"/>
      <c r="BC52" s="3134"/>
      <c r="BD52" s="3134"/>
      <c r="BE52" s="3134"/>
      <c r="BF52" s="3142"/>
      <c r="BG52" s="48"/>
      <c r="BH52" s="48"/>
      <c r="BI52" s="1126" t="s">
        <v>664</v>
      </c>
      <c r="BJ52" s="1127"/>
      <c r="BK52" s="1127"/>
      <c r="BL52" s="1127"/>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c r="CK52" s="1127"/>
      <c r="CL52" s="1127"/>
      <c r="CM52" s="1127"/>
      <c r="CN52" s="1127"/>
      <c r="CO52" s="1127"/>
      <c r="CP52" s="1127"/>
      <c r="CQ52" s="1127"/>
      <c r="CR52" s="1127"/>
      <c r="CS52" s="1127"/>
      <c r="CT52" s="1127"/>
      <c r="CU52" s="1127"/>
      <c r="CV52" s="1127"/>
      <c r="CW52" s="1127"/>
      <c r="CX52" s="1127"/>
      <c r="CY52" s="1127"/>
      <c r="CZ52" s="1127"/>
      <c r="DA52" s="1127"/>
      <c r="DB52" s="1128"/>
      <c r="DC52" s="1132"/>
      <c r="DD52" s="1133"/>
      <c r="DE52" s="1133"/>
      <c r="DF52" s="1133"/>
      <c r="DG52" s="1133"/>
      <c r="DH52" s="1133"/>
      <c r="DI52" s="1133"/>
      <c r="DJ52" s="1133"/>
      <c r="DK52" s="1134"/>
      <c r="DL52" s="50"/>
      <c r="DM52" s="49"/>
      <c r="DN52" s="49"/>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row>
    <row r="53" spans="1:149" s="45" customFormat="1" ht="7.5" customHeight="1">
      <c r="A53" s="48"/>
      <c r="B53" s="1120"/>
      <c r="C53" s="1121"/>
      <c r="D53" s="1121"/>
      <c r="E53" s="1121"/>
      <c r="F53" s="1122"/>
      <c r="G53" s="3130"/>
      <c r="H53" s="3131"/>
      <c r="I53" s="3131"/>
      <c r="J53" s="3131"/>
      <c r="K53" s="3131"/>
      <c r="L53" s="3132"/>
      <c r="M53" s="3136"/>
      <c r="N53" s="3137"/>
      <c r="O53" s="3137"/>
      <c r="P53" s="3137"/>
      <c r="Q53" s="3137"/>
      <c r="R53" s="3137"/>
      <c r="S53" s="3137"/>
      <c r="T53" s="3137"/>
      <c r="U53" s="3137"/>
      <c r="V53" s="3137"/>
      <c r="W53" s="3138"/>
      <c r="X53" s="3130"/>
      <c r="Y53" s="3131"/>
      <c r="Z53" s="3131"/>
      <c r="AA53" s="3131"/>
      <c r="AB53" s="3131"/>
      <c r="AC53" s="3132"/>
      <c r="AD53" s="3136"/>
      <c r="AE53" s="3137"/>
      <c r="AF53" s="3137"/>
      <c r="AG53" s="3137"/>
      <c r="AH53" s="3137"/>
      <c r="AI53" s="3137"/>
      <c r="AJ53" s="3137"/>
      <c r="AK53" s="3137"/>
      <c r="AL53" s="3137"/>
      <c r="AM53" s="3137"/>
      <c r="AN53" s="3138"/>
      <c r="AO53" s="3130"/>
      <c r="AP53" s="3131"/>
      <c r="AQ53" s="3131"/>
      <c r="AR53" s="3131"/>
      <c r="AS53" s="3131"/>
      <c r="AT53" s="3132"/>
      <c r="AU53" s="3136"/>
      <c r="AV53" s="3137"/>
      <c r="AW53" s="3137"/>
      <c r="AX53" s="3137"/>
      <c r="AY53" s="3137"/>
      <c r="AZ53" s="3137"/>
      <c r="BA53" s="3137"/>
      <c r="BB53" s="3137"/>
      <c r="BC53" s="3137"/>
      <c r="BD53" s="3137"/>
      <c r="BE53" s="3137"/>
      <c r="BF53" s="3143"/>
      <c r="BG53" s="48"/>
      <c r="BH53" s="48"/>
      <c r="BI53" s="1129"/>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c r="CK53" s="1130"/>
      <c r="CL53" s="1130"/>
      <c r="CM53" s="1130"/>
      <c r="CN53" s="1130"/>
      <c r="CO53" s="1130"/>
      <c r="CP53" s="1130"/>
      <c r="CQ53" s="1130"/>
      <c r="CR53" s="1130"/>
      <c r="CS53" s="1130"/>
      <c r="CT53" s="1130"/>
      <c r="CU53" s="1130"/>
      <c r="CV53" s="1130"/>
      <c r="CW53" s="1130"/>
      <c r="CX53" s="1130"/>
      <c r="CY53" s="1130"/>
      <c r="CZ53" s="1130"/>
      <c r="DA53" s="1130"/>
      <c r="DB53" s="1131"/>
      <c r="DC53" s="1132"/>
      <c r="DD53" s="1133"/>
      <c r="DE53" s="1133"/>
      <c r="DF53" s="1133"/>
      <c r="DG53" s="1133"/>
      <c r="DH53" s="1133"/>
      <c r="DI53" s="1133"/>
      <c r="DJ53" s="1133"/>
      <c r="DK53" s="1134"/>
      <c r="DL53" s="50"/>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row>
    <row r="54" spans="1:149" s="45" customFormat="1" ht="7.5" customHeight="1">
      <c r="A54" s="48"/>
      <c r="B54" s="1120"/>
      <c r="C54" s="1121"/>
      <c r="D54" s="1121"/>
      <c r="E54" s="1121"/>
      <c r="F54" s="1122"/>
      <c r="G54" s="3127" t="s">
        <v>76</v>
      </c>
      <c r="H54" s="3128"/>
      <c r="I54" s="3128"/>
      <c r="J54" s="3128"/>
      <c r="K54" s="3128"/>
      <c r="L54" s="3129"/>
      <c r="M54" s="793" t="s">
        <v>1611</v>
      </c>
      <c r="N54" s="794"/>
      <c r="O54" s="794"/>
      <c r="P54" s="794"/>
      <c r="Q54" s="794"/>
      <c r="R54" s="794"/>
      <c r="S54" s="794"/>
      <c r="T54" s="794"/>
      <c r="U54" s="794"/>
      <c r="V54" s="794"/>
      <c r="W54" s="794"/>
      <c r="X54" s="794"/>
      <c r="Y54" s="794"/>
      <c r="Z54" s="794"/>
      <c r="AA54" s="794"/>
      <c r="AB54" s="794"/>
      <c r="AC54" s="794"/>
      <c r="AD54" s="794"/>
      <c r="AE54" s="794"/>
      <c r="AF54" s="795"/>
      <c r="AG54" s="3127" t="s">
        <v>77</v>
      </c>
      <c r="AH54" s="3128"/>
      <c r="AI54" s="3128"/>
      <c r="AJ54" s="3128"/>
      <c r="AK54" s="3128"/>
      <c r="AL54" s="3129"/>
      <c r="AM54" s="928" t="s">
        <v>1613</v>
      </c>
      <c r="AN54" s="929"/>
      <c r="AO54" s="929"/>
      <c r="AP54" s="929"/>
      <c r="AQ54" s="929"/>
      <c r="AR54" s="929"/>
      <c r="AS54" s="929"/>
      <c r="AT54" s="929"/>
      <c r="AU54" s="929"/>
      <c r="AV54" s="929"/>
      <c r="AW54" s="929"/>
      <c r="AX54" s="929"/>
      <c r="AY54" s="929"/>
      <c r="AZ54" s="929"/>
      <c r="BA54" s="929"/>
      <c r="BB54" s="929"/>
      <c r="BC54" s="929"/>
      <c r="BD54" s="929"/>
      <c r="BE54" s="929"/>
      <c r="BF54" s="930"/>
      <c r="BG54" s="48"/>
      <c r="BH54" s="48"/>
      <c r="BI54" s="1184"/>
      <c r="BJ54" s="1185"/>
      <c r="BK54" s="1185"/>
      <c r="BL54" s="1185"/>
      <c r="BM54" s="1185"/>
      <c r="BN54" s="1185"/>
      <c r="BO54" s="1185"/>
      <c r="BP54" s="1185"/>
      <c r="BQ54" s="1185"/>
      <c r="BR54" s="1185"/>
      <c r="BS54" s="1185"/>
      <c r="BT54" s="1185"/>
      <c r="BU54" s="1185"/>
      <c r="BV54" s="1185"/>
      <c r="BW54" s="1185"/>
      <c r="BX54" s="1185"/>
      <c r="BY54" s="1185"/>
      <c r="BZ54" s="1185"/>
      <c r="CA54" s="1185"/>
      <c r="CB54" s="1185"/>
      <c r="CC54" s="1185"/>
      <c r="CD54" s="1185"/>
      <c r="CE54" s="1185"/>
      <c r="CF54" s="2871"/>
      <c r="CG54" s="2871"/>
      <c r="CH54" s="2871"/>
      <c r="CI54" s="2871"/>
      <c r="CJ54" s="2871"/>
      <c r="CK54" s="2871"/>
      <c r="CL54" s="2871"/>
      <c r="CM54" s="2871"/>
      <c r="CN54" s="2871"/>
      <c r="CO54" s="2871"/>
      <c r="CP54" s="2871"/>
      <c r="CQ54" s="2871"/>
      <c r="CR54" s="2871"/>
      <c r="CS54" s="2871"/>
      <c r="CT54" s="2871"/>
      <c r="CU54" s="2871"/>
      <c r="CV54" s="2871"/>
      <c r="CW54" s="2871"/>
      <c r="CX54" s="2871"/>
      <c r="CY54" s="2871"/>
      <c r="CZ54" s="2871"/>
      <c r="DA54" s="2871"/>
      <c r="DB54" s="2872"/>
      <c r="DC54" s="1132"/>
      <c r="DD54" s="1133"/>
      <c r="DE54" s="1133"/>
      <c r="DF54" s="1133"/>
      <c r="DG54" s="1133"/>
      <c r="DH54" s="1133"/>
      <c r="DI54" s="1133"/>
      <c r="DJ54" s="1133"/>
      <c r="DK54" s="1134"/>
      <c r="DL54" s="52"/>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row>
    <row r="55" spans="1:149" s="45" customFormat="1" ht="7.5" customHeight="1">
      <c r="A55" s="48"/>
      <c r="B55" s="1123"/>
      <c r="C55" s="1124"/>
      <c r="D55" s="1124"/>
      <c r="E55" s="1124"/>
      <c r="F55" s="1125"/>
      <c r="G55" s="3130"/>
      <c r="H55" s="3131"/>
      <c r="I55" s="3131"/>
      <c r="J55" s="3131"/>
      <c r="K55" s="3131"/>
      <c r="L55" s="3132"/>
      <c r="M55" s="796"/>
      <c r="N55" s="797"/>
      <c r="O55" s="797"/>
      <c r="P55" s="797"/>
      <c r="Q55" s="797"/>
      <c r="R55" s="797"/>
      <c r="S55" s="797"/>
      <c r="T55" s="797"/>
      <c r="U55" s="797"/>
      <c r="V55" s="797"/>
      <c r="W55" s="797"/>
      <c r="X55" s="797"/>
      <c r="Y55" s="797"/>
      <c r="Z55" s="797"/>
      <c r="AA55" s="797"/>
      <c r="AB55" s="797"/>
      <c r="AC55" s="797"/>
      <c r="AD55" s="797"/>
      <c r="AE55" s="797"/>
      <c r="AF55" s="798"/>
      <c r="AG55" s="3130"/>
      <c r="AH55" s="3131"/>
      <c r="AI55" s="3131"/>
      <c r="AJ55" s="3131"/>
      <c r="AK55" s="3131"/>
      <c r="AL55" s="3132"/>
      <c r="AM55" s="931"/>
      <c r="AN55" s="932"/>
      <c r="AO55" s="932"/>
      <c r="AP55" s="932"/>
      <c r="AQ55" s="932"/>
      <c r="AR55" s="932"/>
      <c r="AS55" s="932"/>
      <c r="AT55" s="932"/>
      <c r="AU55" s="932"/>
      <c r="AV55" s="932"/>
      <c r="AW55" s="932"/>
      <c r="AX55" s="932"/>
      <c r="AY55" s="932"/>
      <c r="AZ55" s="932"/>
      <c r="BA55" s="932"/>
      <c r="BB55" s="932"/>
      <c r="BC55" s="932"/>
      <c r="BD55" s="932"/>
      <c r="BE55" s="932"/>
      <c r="BF55" s="933"/>
      <c r="BG55" s="48"/>
      <c r="BH55" s="48"/>
      <c r="BI55" s="1184"/>
      <c r="BJ55" s="1185"/>
      <c r="BK55" s="1185"/>
      <c r="BL55" s="1185"/>
      <c r="BM55" s="1185"/>
      <c r="BN55" s="1185"/>
      <c r="BO55" s="1185"/>
      <c r="BP55" s="1185"/>
      <c r="BQ55" s="1185"/>
      <c r="BR55" s="1185"/>
      <c r="BS55" s="1185"/>
      <c r="BT55" s="1185"/>
      <c r="BU55" s="1185"/>
      <c r="BV55" s="1185"/>
      <c r="BW55" s="1185"/>
      <c r="BX55" s="1185"/>
      <c r="BY55" s="1185"/>
      <c r="BZ55" s="1185"/>
      <c r="CA55" s="1185"/>
      <c r="CB55" s="1185"/>
      <c r="CC55" s="1185"/>
      <c r="CD55" s="1185"/>
      <c r="CE55" s="1185"/>
      <c r="CF55" s="2871"/>
      <c r="CG55" s="2871"/>
      <c r="CH55" s="2871"/>
      <c r="CI55" s="2871"/>
      <c r="CJ55" s="2871"/>
      <c r="CK55" s="2871"/>
      <c r="CL55" s="2871"/>
      <c r="CM55" s="2871"/>
      <c r="CN55" s="2871"/>
      <c r="CO55" s="2871"/>
      <c r="CP55" s="2871"/>
      <c r="CQ55" s="2871"/>
      <c r="CR55" s="2871"/>
      <c r="CS55" s="2871"/>
      <c r="CT55" s="2871"/>
      <c r="CU55" s="2871"/>
      <c r="CV55" s="2871"/>
      <c r="CW55" s="2871"/>
      <c r="CX55" s="2871"/>
      <c r="CY55" s="2871"/>
      <c r="CZ55" s="2871"/>
      <c r="DA55" s="2871"/>
      <c r="DB55" s="2872"/>
      <c r="DC55" s="1132"/>
      <c r="DD55" s="1133"/>
      <c r="DE55" s="1133"/>
      <c r="DF55" s="1133"/>
      <c r="DG55" s="1133"/>
      <c r="DH55" s="1133"/>
      <c r="DI55" s="1133"/>
      <c r="DJ55" s="1133"/>
      <c r="DK55" s="1134"/>
      <c r="DL55" s="52"/>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row>
    <row r="56" spans="1:149" s="45" customFormat="1" ht="7.5" customHeight="1">
      <c r="A56" s="48"/>
      <c r="B56" s="1138" t="s">
        <v>795</v>
      </c>
      <c r="C56" s="1139"/>
      <c r="D56" s="1139"/>
      <c r="E56" s="1139"/>
      <c r="F56" s="1140"/>
      <c r="G56" s="1021" t="s">
        <v>1616</v>
      </c>
      <c r="H56" s="1022"/>
      <c r="I56" s="1022"/>
      <c r="J56" s="1022"/>
      <c r="K56" s="1022"/>
      <c r="L56" s="1022"/>
      <c r="M56" s="1022"/>
      <c r="N56" s="1022"/>
      <c r="O56" s="1022"/>
      <c r="P56" s="1022"/>
      <c r="Q56" s="1022"/>
      <c r="R56" s="1022"/>
      <c r="S56" s="1022"/>
      <c r="T56" s="1022"/>
      <c r="U56" s="1022"/>
      <c r="V56" s="1022"/>
      <c r="W56" s="1022"/>
      <c r="X56" s="1022"/>
      <c r="Y56" s="1022"/>
      <c r="Z56" s="1022"/>
      <c r="AA56" s="1023"/>
      <c r="AB56" s="3162" t="s">
        <v>72</v>
      </c>
      <c r="AC56" s="3162"/>
      <c r="AD56" s="3162"/>
      <c r="AE56" s="3162"/>
      <c r="AF56" s="3163"/>
      <c r="AG56" s="3164"/>
      <c r="AH56" s="3145"/>
      <c r="AI56" s="3145"/>
      <c r="AJ56" s="3145"/>
      <c r="AK56" s="3145"/>
      <c r="AL56" s="3145"/>
      <c r="AM56" s="3145"/>
      <c r="AN56" s="3145"/>
      <c r="AO56" s="3145"/>
      <c r="AP56" s="3145"/>
      <c r="AQ56" s="3145"/>
      <c r="AR56" s="3145"/>
      <c r="AS56" s="3145"/>
      <c r="AT56" s="3144"/>
      <c r="AU56" s="3145"/>
      <c r="AV56" s="3145"/>
      <c r="AW56" s="3145"/>
      <c r="AX56" s="3145"/>
      <c r="AY56" s="3145"/>
      <c r="AZ56" s="3145"/>
      <c r="BA56" s="3145"/>
      <c r="BB56" s="3145"/>
      <c r="BC56" s="3145"/>
      <c r="BD56" s="3145"/>
      <c r="BE56" s="3145"/>
      <c r="BF56" s="3146"/>
      <c r="BG56" s="48"/>
      <c r="BH56" s="48"/>
      <c r="BI56" s="2260"/>
      <c r="BJ56" s="2261"/>
      <c r="BK56" s="2261"/>
      <c r="BL56" s="2261"/>
      <c r="BM56" s="2261"/>
      <c r="BN56" s="2261"/>
      <c r="BO56" s="2261"/>
      <c r="BP56" s="2261"/>
      <c r="BQ56" s="2261"/>
      <c r="BR56" s="2261"/>
      <c r="BS56" s="2261"/>
      <c r="BT56" s="2261"/>
      <c r="BU56" s="2261"/>
      <c r="BV56" s="2261"/>
      <c r="BW56" s="2261"/>
      <c r="BX56" s="2261"/>
      <c r="BY56" s="2261"/>
      <c r="BZ56" s="2261"/>
      <c r="CA56" s="2261"/>
      <c r="CB56" s="2261"/>
      <c r="CC56" s="2261"/>
      <c r="CD56" s="2261"/>
      <c r="CE56" s="2261"/>
      <c r="CF56" s="1192"/>
      <c r="CG56" s="1192"/>
      <c r="CH56" s="1192"/>
      <c r="CI56" s="1192"/>
      <c r="CJ56" s="1192"/>
      <c r="CK56" s="1192"/>
      <c r="CL56" s="1192"/>
      <c r="CM56" s="1192"/>
      <c r="CN56" s="1192"/>
      <c r="CO56" s="1192"/>
      <c r="CP56" s="1192"/>
      <c r="CQ56" s="1192"/>
      <c r="CR56" s="1192"/>
      <c r="CS56" s="1192"/>
      <c r="CT56" s="1192"/>
      <c r="CU56" s="1192"/>
      <c r="CV56" s="1192"/>
      <c r="CW56" s="1192"/>
      <c r="CX56" s="1192"/>
      <c r="CY56" s="1192"/>
      <c r="CZ56" s="1192"/>
      <c r="DA56" s="1192"/>
      <c r="DB56" s="1193"/>
      <c r="DC56" s="1132"/>
      <c r="DD56" s="1133"/>
      <c r="DE56" s="1133"/>
      <c r="DF56" s="1133"/>
      <c r="DG56" s="1133"/>
      <c r="DH56" s="1133"/>
      <c r="DI56" s="1133"/>
      <c r="DJ56" s="1133"/>
      <c r="DK56" s="1134"/>
      <c r="DL56" s="52"/>
    </row>
    <row r="57" spans="1:149" s="45" customFormat="1" ht="7.5" customHeight="1">
      <c r="A57" s="48"/>
      <c r="B57" s="1141"/>
      <c r="C57" s="1142"/>
      <c r="D57" s="1142"/>
      <c r="E57" s="1142"/>
      <c r="F57" s="1143"/>
      <c r="G57" s="1024"/>
      <c r="H57" s="1025"/>
      <c r="I57" s="1025"/>
      <c r="J57" s="1025"/>
      <c r="K57" s="1025"/>
      <c r="L57" s="1025"/>
      <c r="M57" s="1025"/>
      <c r="N57" s="1025"/>
      <c r="O57" s="1025"/>
      <c r="P57" s="1025"/>
      <c r="Q57" s="1025"/>
      <c r="R57" s="1025"/>
      <c r="S57" s="1025"/>
      <c r="T57" s="1025"/>
      <c r="U57" s="1025"/>
      <c r="V57" s="1025"/>
      <c r="W57" s="1025"/>
      <c r="X57" s="1025"/>
      <c r="Y57" s="1025"/>
      <c r="Z57" s="1025"/>
      <c r="AA57" s="1026"/>
      <c r="AB57" s="3147" t="s">
        <v>797</v>
      </c>
      <c r="AC57" s="3148"/>
      <c r="AD57" s="3148"/>
      <c r="AE57" s="3148"/>
      <c r="AF57" s="3149"/>
      <c r="AG57" s="3151" t="s">
        <v>1618</v>
      </c>
      <c r="AH57" s="3152"/>
      <c r="AI57" s="3152"/>
      <c r="AJ57" s="3152"/>
      <c r="AK57" s="3152"/>
      <c r="AL57" s="3152"/>
      <c r="AM57" s="3152"/>
      <c r="AN57" s="3152"/>
      <c r="AO57" s="3152"/>
      <c r="AP57" s="3152"/>
      <c r="AQ57" s="3152"/>
      <c r="AR57" s="3152"/>
      <c r="AS57" s="3152"/>
      <c r="AT57" s="3155"/>
      <c r="AU57" s="3156"/>
      <c r="AV57" s="3156"/>
      <c r="AW57" s="3156"/>
      <c r="AX57" s="3156"/>
      <c r="AY57" s="3156"/>
      <c r="AZ57" s="3156"/>
      <c r="BA57" s="3156"/>
      <c r="BB57" s="3156"/>
      <c r="BC57" s="3156"/>
      <c r="BD57" s="3156"/>
      <c r="BE57" s="3156"/>
      <c r="BF57" s="3157"/>
      <c r="BG57" s="48"/>
      <c r="BH57" s="48"/>
      <c r="BI57" s="2260"/>
      <c r="BJ57" s="2261"/>
      <c r="BK57" s="2261"/>
      <c r="BL57" s="2261"/>
      <c r="BM57" s="2261"/>
      <c r="BN57" s="2261"/>
      <c r="BO57" s="2261"/>
      <c r="BP57" s="2261"/>
      <c r="BQ57" s="2261"/>
      <c r="BR57" s="2261"/>
      <c r="BS57" s="2261"/>
      <c r="BT57" s="2261"/>
      <c r="BU57" s="2261"/>
      <c r="BV57" s="2261"/>
      <c r="BW57" s="2261"/>
      <c r="BX57" s="2261"/>
      <c r="BY57" s="2261"/>
      <c r="BZ57" s="2261"/>
      <c r="CA57" s="2261"/>
      <c r="CB57" s="2261"/>
      <c r="CC57" s="2261"/>
      <c r="CD57" s="2261"/>
      <c r="CE57" s="2261"/>
      <c r="CF57" s="1192"/>
      <c r="CG57" s="1192"/>
      <c r="CH57" s="1192"/>
      <c r="CI57" s="1192"/>
      <c r="CJ57" s="1192"/>
      <c r="CK57" s="1192"/>
      <c r="CL57" s="1192"/>
      <c r="CM57" s="1192"/>
      <c r="CN57" s="1192"/>
      <c r="CO57" s="1192"/>
      <c r="CP57" s="1192"/>
      <c r="CQ57" s="1192"/>
      <c r="CR57" s="1192"/>
      <c r="CS57" s="1192"/>
      <c r="CT57" s="1192"/>
      <c r="CU57" s="1192"/>
      <c r="CV57" s="1192"/>
      <c r="CW57" s="1192"/>
      <c r="CX57" s="1192"/>
      <c r="CY57" s="1192"/>
      <c r="CZ57" s="1192"/>
      <c r="DA57" s="1192"/>
      <c r="DB57" s="1193"/>
      <c r="DC57" s="1132"/>
      <c r="DD57" s="1133"/>
      <c r="DE57" s="1133"/>
      <c r="DF57" s="1133"/>
      <c r="DG57" s="1133"/>
      <c r="DH57" s="1133"/>
      <c r="DI57" s="1133"/>
      <c r="DJ57" s="1133"/>
      <c r="DK57" s="1134"/>
      <c r="DL57" s="48"/>
    </row>
    <row r="58" spans="1:149" s="45" customFormat="1" ht="7.5" customHeight="1">
      <c r="A58" s="48"/>
      <c r="B58" s="1144"/>
      <c r="C58" s="1145"/>
      <c r="D58" s="1145"/>
      <c r="E58" s="1145"/>
      <c r="F58" s="1146"/>
      <c r="G58" s="1027"/>
      <c r="H58" s="1028"/>
      <c r="I58" s="1028"/>
      <c r="J58" s="1028"/>
      <c r="K58" s="1028"/>
      <c r="L58" s="1028"/>
      <c r="M58" s="1028"/>
      <c r="N58" s="1028"/>
      <c r="O58" s="1028"/>
      <c r="P58" s="1028"/>
      <c r="Q58" s="1028"/>
      <c r="R58" s="1028"/>
      <c r="S58" s="1028"/>
      <c r="T58" s="1028"/>
      <c r="U58" s="1028"/>
      <c r="V58" s="1028"/>
      <c r="W58" s="1028"/>
      <c r="X58" s="1028"/>
      <c r="Y58" s="1028"/>
      <c r="Z58" s="1028"/>
      <c r="AA58" s="1029"/>
      <c r="AB58" s="3150"/>
      <c r="AC58" s="1145"/>
      <c r="AD58" s="1145"/>
      <c r="AE58" s="1145"/>
      <c r="AF58" s="1146"/>
      <c r="AG58" s="3153"/>
      <c r="AH58" s="3154"/>
      <c r="AI58" s="3154"/>
      <c r="AJ58" s="3154"/>
      <c r="AK58" s="3154"/>
      <c r="AL58" s="3154"/>
      <c r="AM58" s="3154"/>
      <c r="AN58" s="3154"/>
      <c r="AO58" s="3154"/>
      <c r="AP58" s="3154"/>
      <c r="AQ58" s="3154"/>
      <c r="AR58" s="3154"/>
      <c r="AS58" s="3154"/>
      <c r="AT58" s="3158"/>
      <c r="AU58" s="3154"/>
      <c r="AV58" s="3154"/>
      <c r="AW58" s="3154"/>
      <c r="AX58" s="3154"/>
      <c r="AY58" s="3154"/>
      <c r="AZ58" s="3154"/>
      <c r="BA58" s="3154"/>
      <c r="BB58" s="3154"/>
      <c r="BC58" s="3154"/>
      <c r="BD58" s="3154"/>
      <c r="BE58" s="3154"/>
      <c r="BF58" s="3159"/>
      <c r="BG58" s="48"/>
      <c r="BH58" s="48"/>
      <c r="BI58" s="2260"/>
      <c r="BJ58" s="2261"/>
      <c r="BK58" s="2261"/>
      <c r="BL58" s="2261"/>
      <c r="BM58" s="2261"/>
      <c r="BN58" s="2261"/>
      <c r="BO58" s="2261"/>
      <c r="BP58" s="2261"/>
      <c r="BQ58" s="2261"/>
      <c r="BR58" s="2261"/>
      <c r="BS58" s="2261"/>
      <c r="BT58" s="2261"/>
      <c r="BU58" s="2261"/>
      <c r="BV58" s="2261"/>
      <c r="BW58" s="2261"/>
      <c r="BX58" s="2261"/>
      <c r="BY58" s="2261"/>
      <c r="BZ58" s="2261"/>
      <c r="CA58" s="2261"/>
      <c r="CB58" s="2261"/>
      <c r="CC58" s="2261"/>
      <c r="CD58" s="2261"/>
      <c r="CE58" s="2261"/>
      <c r="CF58" s="1192"/>
      <c r="CG58" s="1192"/>
      <c r="CH58" s="1192"/>
      <c r="CI58" s="1192"/>
      <c r="CJ58" s="1192"/>
      <c r="CK58" s="1192"/>
      <c r="CL58" s="1192"/>
      <c r="CM58" s="1192"/>
      <c r="CN58" s="1192"/>
      <c r="CO58" s="1192"/>
      <c r="CP58" s="1192"/>
      <c r="CQ58" s="1192"/>
      <c r="CR58" s="1192"/>
      <c r="CS58" s="1192"/>
      <c r="CT58" s="1192"/>
      <c r="CU58" s="1192"/>
      <c r="CV58" s="1192"/>
      <c r="CW58" s="1192"/>
      <c r="CX58" s="1192"/>
      <c r="CY58" s="1192"/>
      <c r="CZ58" s="1192"/>
      <c r="DA58" s="1192"/>
      <c r="DB58" s="1193"/>
      <c r="DC58" s="1132"/>
      <c r="DD58" s="1133"/>
      <c r="DE58" s="1133"/>
      <c r="DF58" s="1133"/>
      <c r="DG58" s="1133"/>
      <c r="DH58" s="1133"/>
      <c r="DI58" s="1133"/>
      <c r="DJ58" s="1133"/>
      <c r="DK58" s="1134"/>
      <c r="DL58" s="44"/>
    </row>
    <row r="59" spans="1:149" s="45" customFormat="1" ht="7.5" customHeight="1">
      <c r="A59" s="48"/>
      <c r="B59" s="1138" t="s">
        <v>570</v>
      </c>
      <c r="C59" s="1139"/>
      <c r="D59" s="1139"/>
      <c r="E59" s="1139"/>
      <c r="F59" s="1140"/>
      <c r="G59" s="3165"/>
      <c r="H59" s="3166"/>
      <c r="I59" s="3166"/>
      <c r="J59" s="3166"/>
      <c r="K59" s="3166"/>
      <c r="L59" s="3166"/>
      <c r="M59" s="3166"/>
      <c r="N59" s="3166"/>
      <c r="O59" s="3166"/>
      <c r="P59" s="3166"/>
      <c r="Q59" s="3166"/>
      <c r="R59" s="3166"/>
      <c r="S59" s="3166"/>
      <c r="T59" s="3166"/>
      <c r="U59" s="3166"/>
      <c r="V59" s="3166"/>
      <c r="W59" s="3166"/>
      <c r="X59" s="3166"/>
      <c r="Y59" s="3166"/>
      <c r="Z59" s="3166"/>
      <c r="AA59" s="3167"/>
      <c r="AB59" s="3127" t="s">
        <v>569</v>
      </c>
      <c r="AC59" s="1139"/>
      <c r="AD59" s="1139"/>
      <c r="AE59" s="1139"/>
      <c r="AF59" s="1140"/>
      <c r="AG59" s="3172" t="s">
        <v>1620</v>
      </c>
      <c r="AH59" s="3173"/>
      <c r="AI59" s="3173"/>
      <c r="AJ59" s="3173"/>
      <c r="AK59" s="3173"/>
      <c r="AL59" s="3173"/>
      <c r="AM59" s="3173"/>
      <c r="AN59" s="3173"/>
      <c r="AO59" s="3173"/>
      <c r="AP59" s="3173"/>
      <c r="AQ59" s="3173"/>
      <c r="AR59" s="3173"/>
      <c r="AS59" s="3173"/>
      <c r="AT59" s="3173"/>
      <c r="AU59" s="3173"/>
      <c r="AV59" s="3173"/>
      <c r="AW59" s="3173"/>
      <c r="AX59" s="3173"/>
      <c r="AY59" s="3173"/>
      <c r="AZ59" s="3173"/>
      <c r="BA59" s="3173"/>
      <c r="BB59" s="3173"/>
      <c r="BC59" s="3173"/>
      <c r="BD59" s="3173"/>
      <c r="BE59" s="3173"/>
      <c r="BF59" s="3174"/>
      <c r="BG59" s="48"/>
      <c r="BH59" s="48"/>
      <c r="BI59" s="2260"/>
      <c r="BJ59" s="2261"/>
      <c r="BK59" s="2261"/>
      <c r="BL59" s="2261"/>
      <c r="BM59" s="2261"/>
      <c r="BN59" s="2261"/>
      <c r="BO59" s="2261"/>
      <c r="BP59" s="2261"/>
      <c r="BQ59" s="2261"/>
      <c r="BR59" s="2261"/>
      <c r="BS59" s="2261"/>
      <c r="BT59" s="2261"/>
      <c r="BU59" s="2261"/>
      <c r="BV59" s="2261"/>
      <c r="BW59" s="2261"/>
      <c r="BX59" s="2261"/>
      <c r="BY59" s="2261"/>
      <c r="BZ59" s="2261"/>
      <c r="CA59" s="2261"/>
      <c r="CB59" s="2261"/>
      <c r="CC59" s="2261"/>
      <c r="CD59" s="2261"/>
      <c r="CE59" s="2261"/>
      <c r="CF59" s="1192"/>
      <c r="CG59" s="1192"/>
      <c r="CH59" s="1192"/>
      <c r="CI59" s="1192"/>
      <c r="CJ59" s="1192"/>
      <c r="CK59" s="1192"/>
      <c r="CL59" s="1192"/>
      <c r="CM59" s="1192"/>
      <c r="CN59" s="1192"/>
      <c r="CO59" s="1192"/>
      <c r="CP59" s="1192"/>
      <c r="CQ59" s="1192"/>
      <c r="CR59" s="1192"/>
      <c r="CS59" s="1192"/>
      <c r="CT59" s="1192"/>
      <c r="CU59" s="1192"/>
      <c r="CV59" s="1192"/>
      <c r="CW59" s="1192"/>
      <c r="CX59" s="1192"/>
      <c r="CY59" s="1192"/>
      <c r="CZ59" s="1192"/>
      <c r="DA59" s="1192"/>
      <c r="DB59" s="1193"/>
      <c r="DC59" s="1132"/>
      <c r="DD59" s="1133"/>
      <c r="DE59" s="1133"/>
      <c r="DF59" s="1133"/>
      <c r="DG59" s="1133"/>
      <c r="DH59" s="1133"/>
      <c r="DI59" s="1133"/>
      <c r="DJ59" s="1133"/>
      <c r="DK59" s="1134"/>
      <c r="DL59" s="44"/>
    </row>
    <row r="60" spans="1:149" s="45" customFormat="1" ht="7.5" customHeight="1" thickBot="1">
      <c r="A60" s="48"/>
      <c r="B60" s="1147"/>
      <c r="C60" s="1148"/>
      <c r="D60" s="1148"/>
      <c r="E60" s="1148"/>
      <c r="F60" s="1149"/>
      <c r="G60" s="3168"/>
      <c r="H60" s="3169"/>
      <c r="I60" s="3169"/>
      <c r="J60" s="3169"/>
      <c r="K60" s="3169"/>
      <c r="L60" s="3169"/>
      <c r="M60" s="3169"/>
      <c r="N60" s="3169"/>
      <c r="O60" s="3169"/>
      <c r="P60" s="3169"/>
      <c r="Q60" s="3169"/>
      <c r="R60" s="3169"/>
      <c r="S60" s="3169"/>
      <c r="T60" s="3169"/>
      <c r="U60" s="3169"/>
      <c r="V60" s="3169"/>
      <c r="W60" s="3169"/>
      <c r="X60" s="3169"/>
      <c r="Y60" s="3169"/>
      <c r="Z60" s="3169"/>
      <c r="AA60" s="3170"/>
      <c r="AB60" s="3171"/>
      <c r="AC60" s="1148"/>
      <c r="AD60" s="1148"/>
      <c r="AE60" s="1148"/>
      <c r="AF60" s="1149"/>
      <c r="AG60" s="3175"/>
      <c r="AH60" s="3176"/>
      <c r="AI60" s="3176"/>
      <c r="AJ60" s="3176"/>
      <c r="AK60" s="3176"/>
      <c r="AL60" s="3176"/>
      <c r="AM60" s="3176"/>
      <c r="AN60" s="3176"/>
      <c r="AO60" s="3176"/>
      <c r="AP60" s="3176"/>
      <c r="AQ60" s="3176"/>
      <c r="AR60" s="3176"/>
      <c r="AS60" s="3176"/>
      <c r="AT60" s="3176"/>
      <c r="AU60" s="3176"/>
      <c r="AV60" s="3176"/>
      <c r="AW60" s="3176"/>
      <c r="AX60" s="3176"/>
      <c r="AY60" s="3176"/>
      <c r="AZ60" s="3176"/>
      <c r="BA60" s="3176"/>
      <c r="BB60" s="3176"/>
      <c r="BC60" s="3176"/>
      <c r="BD60" s="3176"/>
      <c r="BE60" s="3176"/>
      <c r="BF60" s="3177"/>
      <c r="BG60" s="48"/>
      <c r="BH60" s="48"/>
      <c r="BI60" s="2260"/>
      <c r="BJ60" s="2261"/>
      <c r="BK60" s="2261"/>
      <c r="BL60" s="2261"/>
      <c r="BM60" s="2261"/>
      <c r="BN60" s="2261"/>
      <c r="BO60" s="2261"/>
      <c r="BP60" s="2261"/>
      <c r="BQ60" s="2261"/>
      <c r="BR60" s="2261"/>
      <c r="BS60" s="2261"/>
      <c r="BT60" s="2261"/>
      <c r="BU60" s="2261"/>
      <c r="BV60" s="2261"/>
      <c r="BW60" s="2261"/>
      <c r="BX60" s="2261"/>
      <c r="BY60" s="2261"/>
      <c r="BZ60" s="2261"/>
      <c r="CA60" s="2261"/>
      <c r="CB60" s="2261"/>
      <c r="CC60" s="2261"/>
      <c r="CD60" s="2261"/>
      <c r="CE60" s="2261"/>
      <c r="CF60" s="1192"/>
      <c r="CG60" s="1192"/>
      <c r="CH60" s="1192"/>
      <c r="CI60" s="1192"/>
      <c r="CJ60" s="1192"/>
      <c r="CK60" s="1192"/>
      <c r="CL60" s="1192"/>
      <c r="CM60" s="1192"/>
      <c r="CN60" s="1192"/>
      <c r="CO60" s="1192"/>
      <c r="CP60" s="1192"/>
      <c r="CQ60" s="1192"/>
      <c r="CR60" s="1192"/>
      <c r="CS60" s="1192"/>
      <c r="CT60" s="1192"/>
      <c r="CU60" s="1192"/>
      <c r="CV60" s="1192"/>
      <c r="CW60" s="1192"/>
      <c r="CX60" s="1192"/>
      <c r="CY60" s="1192"/>
      <c r="CZ60" s="1192"/>
      <c r="DA60" s="1192"/>
      <c r="DB60" s="1193"/>
      <c r="DC60" s="1132"/>
      <c r="DD60" s="1133"/>
      <c r="DE60" s="1133"/>
      <c r="DF60" s="1133"/>
      <c r="DG60" s="1133"/>
      <c r="DH60" s="1133"/>
      <c r="DI60" s="1133"/>
      <c r="DJ60" s="1133"/>
      <c r="DK60" s="1134"/>
      <c r="DL60" s="44"/>
    </row>
    <row r="61" spans="1:149" s="45" customFormat="1" ht="7.5" customHeight="1" thickTop="1">
      <c r="A61" s="48"/>
      <c r="B61" s="1150" t="s">
        <v>78</v>
      </c>
      <c r="C61" s="1151"/>
      <c r="D61" s="1151"/>
      <c r="E61" s="1151"/>
      <c r="F61" s="1152"/>
      <c r="G61" s="1159" t="s">
        <v>749</v>
      </c>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c r="AO61" s="1160"/>
      <c r="AP61" s="1160"/>
      <c r="AQ61" s="1160"/>
      <c r="AR61" s="1160"/>
      <c r="AS61" s="1160"/>
      <c r="AT61" s="1160"/>
      <c r="AU61" s="1160"/>
      <c r="AV61" s="1160"/>
      <c r="AW61" s="1160"/>
      <c r="AX61" s="1160"/>
      <c r="AY61" s="1161"/>
      <c r="AZ61" s="1168" t="s">
        <v>79</v>
      </c>
      <c r="BA61" s="1169"/>
      <c r="BB61" s="1169"/>
      <c r="BC61" s="1169"/>
      <c r="BD61" s="1169"/>
      <c r="BE61" s="1169"/>
      <c r="BF61" s="1170"/>
      <c r="BG61" s="48"/>
      <c r="BH61" s="48"/>
      <c r="BI61" s="2260"/>
      <c r="BJ61" s="2261"/>
      <c r="BK61" s="2261"/>
      <c r="BL61" s="2261"/>
      <c r="BM61" s="2261"/>
      <c r="BN61" s="2261"/>
      <c r="BO61" s="2261"/>
      <c r="BP61" s="2261"/>
      <c r="BQ61" s="2261"/>
      <c r="BR61" s="2261"/>
      <c r="BS61" s="2261"/>
      <c r="BT61" s="2261"/>
      <c r="BU61" s="2261"/>
      <c r="BV61" s="2261"/>
      <c r="BW61" s="2261"/>
      <c r="BX61" s="2261"/>
      <c r="BY61" s="2261"/>
      <c r="BZ61" s="2261"/>
      <c r="CA61" s="2261"/>
      <c r="CB61" s="2261"/>
      <c r="CC61" s="2261"/>
      <c r="CD61" s="2261"/>
      <c r="CE61" s="2261"/>
      <c r="CF61" s="1192"/>
      <c r="CG61" s="1192"/>
      <c r="CH61" s="1192"/>
      <c r="CI61" s="1192"/>
      <c r="CJ61" s="1192"/>
      <c r="CK61" s="1192"/>
      <c r="CL61" s="1192"/>
      <c r="CM61" s="1192"/>
      <c r="CN61" s="1192"/>
      <c r="CO61" s="1192"/>
      <c r="CP61" s="1192"/>
      <c r="CQ61" s="1192"/>
      <c r="CR61" s="1192"/>
      <c r="CS61" s="1192"/>
      <c r="CT61" s="1192"/>
      <c r="CU61" s="1192"/>
      <c r="CV61" s="1192"/>
      <c r="CW61" s="1192"/>
      <c r="CX61" s="1192"/>
      <c r="CY61" s="1192"/>
      <c r="CZ61" s="1192"/>
      <c r="DA61" s="1192"/>
      <c r="DB61" s="1193"/>
      <c r="DC61" s="1132"/>
      <c r="DD61" s="1133"/>
      <c r="DE61" s="1133"/>
      <c r="DF61" s="1133"/>
      <c r="DG61" s="1133"/>
      <c r="DH61" s="1133"/>
      <c r="DI61" s="1133"/>
      <c r="DJ61" s="1133"/>
      <c r="DK61" s="1134"/>
      <c r="DL61" s="44"/>
    </row>
    <row r="62" spans="1:149" s="45" customFormat="1" ht="7.5" customHeight="1">
      <c r="A62" s="48"/>
      <c r="B62" s="1153"/>
      <c r="C62" s="1154"/>
      <c r="D62" s="1154"/>
      <c r="E62" s="1154"/>
      <c r="F62" s="1155"/>
      <c r="G62" s="1162"/>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4"/>
      <c r="AZ62" s="1171"/>
      <c r="BA62" s="1172"/>
      <c r="BB62" s="1172"/>
      <c r="BC62" s="1172"/>
      <c r="BD62" s="1172"/>
      <c r="BE62" s="1172"/>
      <c r="BF62" s="1173"/>
      <c r="BG62" s="48"/>
      <c r="BH62" s="48"/>
      <c r="BI62" s="2260"/>
      <c r="BJ62" s="2261"/>
      <c r="BK62" s="2261"/>
      <c r="BL62" s="2261"/>
      <c r="BM62" s="2261"/>
      <c r="BN62" s="2261"/>
      <c r="BO62" s="2261"/>
      <c r="BP62" s="2261"/>
      <c r="BQ62" s="2261"/>
      <c r="BR62" s="2261"/>
      <c r="BS62" s="2261"/>
      <c r="BT62" s="2261"/>
      <c r="BU62" s="2261"/>
      <c r="BV62" s="2261"/>
      <c r="BW62" s="2261"/>
      <c r="BX62" s="2261"/>
      <c r="BY62" s="2261"/>
      <c r="BZ62" s="2261"/>
      <c r="CA62" s="2261"/>
      <c r="CB62" s="2261"/>
      <c r="CC62" s="2261"/>
      <c r="CD62" s="2261"/>
      <c r="CE62" s="2261"/>
      <c r="CF62" s="1192"/>
      <c r="CG62" s="1192"/>
      <c r="CH62" s="1192"/>
      <c r="CI62" s="1192"/>
      <c r="CJ62" s="1192"/>
      <c r="CK62" s="1192"/>
      <c r="CL62" s="1192"/>
      <c r="CM62" s="1192"/>
      <c r="CN62" s="1192"/>
      <c r="CO62" s="1192"/>
      <c r="CP62" s="1192"/>
      <c r="CQ62" s="1192"/>
      <c r="CR62" s="1192"/>
      <c r="CS62" s="1192"/>
      <c r="CT62" s="1192"/>
      <c r="CU62" s="1192"/>
      <c r="CV62" s="1192"/>
      <c r="CW62" s="1192"/>
      <c r="CX62" s="1192"/>
      <c r="CY62" s="1192"/>
      <c r="CZ62" s="1192"/>
      <c r="DA62" s="1192"/>
      <c r="DB62" s="1193"/>
      <c r="DC62" s="1132"/>
      <c r="DD62" s="1133"/>
      <c r="DE62" s="1133"/>
      <c r="DF62" s="1133"/>
      <c r="DG62" s="1133"/>
      <c r="DH62" s="1133"/>
      <c r="DI62" s="1133"/>
      <c r="DJ62" s="1133"/>
      <c r="DK62" s="1134"/>
      <c r="DL62" s="53"/>
    </row>
    <row r="63" spans="1:149" s="45" customFormat="1" ht="7.5" customHeight="1" thickBot="1">
      <c r="A63" s="44"/>
      <c r="B63" s="1156"/>
      <c r="C63" s="1157"/>
      <c r="D63" s="1157"/>
      <c r="E63" s="1157"/>
      <c r="F63" s="1158"/>
      <c r="G63" s="1165"/>
      <c r="H63" s="1166"/>
      <c r="I63" s="1166"/>
      <c r="J63" s="1166"/>
      <c r="K63" s="1166"/>
      <c r="L63" s="1166"/>
      <c r="M63" s="1166"/>
      <c r="N63" s="1166"/>
      <c r="O63" s="1166"/>
      <c r="P63" s="1166"/>
      <c r="Q63" s="1166"/>
      <c r="R63" s="1166"/>
      <c r="S63" s="1166"/>
      <c r="T63" s="1166"/>
      <c r="U63" s="1166"/>
      <c r="V63" s="1166"/>
      <c r="W63" s="1166"/>
      <c r="X63" s="1166"/>
      <c r="Y63" s="1166"/>
      <c r="Z63" s="1166"/>
      <c r="AA63" s="1166"/>
      <c r="AB63" s="1166"/>
      <c r="AC63" s="1166"/>
      <c r="AD63" s="1166"/>
      <c r="AE63" s="1166"/>
      <c r="AF63" s="1166"/>
      <c r="AG63" s="1166"/>
      <c r="AH63" s="1166"/>
      <c r="AI63" s="1166"/>
      <c r="AJ63" s="1166"/>
      <c r="AK63" s="1166"/>
      <c r="AL63" s="1166"/>
      <c r="AM63" s="1166"/>
      <c r="AN63" s="1166"/>
      <c r="AO63" s="1166"/>
      <c r="AP63" s="1166"/>
      <c r="AQ63" s="1166"/>
      <c r="AR63" s="1166"/>
      <c r="AS63" s="1166"/>
      <c r="AT63" s="1166"/>
      <c r="AU63" s="1166"/>
      <c r="AV63" s="1166"/>
      <c r="AW63" s="1166"/>
      <c r="AX63" s="1166"/>
      <c r="AY63" s="1167"/>
      <c r="AZ63" s="1174"/>
      <c r="BA63" s="1175"/>
      <c r="BB63" s="1175"/>
      <c r="BC63" s="1175"/>
      <c r="BD63" s="1175"/>
      <c r="BE63" s="1175"/>
      <c r="BF63" s="1176"/>
      <c r="BG63" s="44"/>
      <c r="BH63" s="44"/>
      <c r="BI63" s="2862"/>
      <c r="BJ63" s="2863"/>
      <c r="BK63" s="2863"/>
      <c r="BL63" s="2863"/>
      <c r="BM63" s="2863"/>
      <c r="BN63" s="2863"/>
      <c r="BO63" s="2863"/>
      <c r="BP63" s="2863"/>
      <c r="BQ63" s="2863"/>
      <c r="BR63" s="2863"/>
      <c r="BS63" s="2863"/>
      <c r="BT63" s="2863"/>
      <c r="BU63" s="2863"/>
      <c r="BV63" s="2863"/>
      <c r="BW63" s="2863"/>
      <c r="BX63" s="2863"/>
      <c r="BY63" s="2863"/>
      <c r="BZ63" s="2863"/>
      <c r="CA63" s="2863"/>
      <c r="CB63" s="2863"/>
      <c r="CC63" s="2863"/>
      <c r="CD63" s="2863"/>
      <c r="CE63" s="2863"/>
      <c r="CF63" s="1263"/>
      <c r="CG63" s="1263"/>
      <c r="CH63" s="1263"/>
      <c r="CI63" s="1263"/>
      <c r="CJ63" s="1263"/>
      <c r="CK63" s="1263"/>
      <c r="CL63" s="1263"/>
      <c r="CM63" s="1263"/>
      <c r="CN63" s="1263"/>
      <c r="CO63" s="1263"/>
      <c r="CP63" s="1263"/>
      <c r="CQ63" s="1263"/>
      <c r="CR63" s="1263"/>
      <c r="CS63" s="1263"/>
      <c r="CT63" s="1263"/>
      <c r="CU63" s="1263"/>
      <c r="CV63" s="1263"/>
      <c r="CW63" s="1263"/>
      <c r="CX63" s="1263"/>
      <c r="CY63" s="1263"/>
      <c r="CZ63" s="1263"/>
      <c r="DA63" s="1263"/>
      <c r="DB63" s="1264"/>
      <c r="DC63" s="1135"/>
      <c r="DD63" s="1136"/>
      <c r="DE63" s="1136"/>
      <c r="DF63" s="1136"/>
      <c r="DG63" s="1136"/>
      <c r="DH63" s="1136"/>
      <c r="DI63" s="1136"/>
      <c r="DJ63" s="1136"/>
      <c r="DK63" s="1137"/>
      <c r="DL63" s="44"/>
    </row>
    <row r="64" spans="1:149" ht="7.5" customHeight="1" thickTop="1">
      <c r="A64" s="128"/>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row>
    <row r="65" spans="1:124" ht="6.75" customHeight="1">
      <c r="A65" s="3714" t="s">
        <v>829</v>
      </c>
      <c r="B65" s="3714"/>
      <c r="C65" s="3714"/>
      <c r="D65" s="3714"/>
      <c r="E65" s="3714"/>
      <c r="F65" s="3714"/>
      <c r="G65" s="3714"/>
      <c r="H65" s="3714"/>
      <c r="I65" s="3714"/>
      <c r="J65" s="3714"/>
      <c r="K65" s="3714"/>
      <c r="L65" s="3714"/>
      <c r="M65" s="3714"/>
      <c r="N65" s="3714"/>
      <c r="O65" s="3714"/>
      <c r="P65" s="3714"/>
      <c r="Q65" s="3714"/>
      <c r="R65" s="3714"/>
      <c r="S65" s="3714"/>
      <c r="T65" s="3714"/>
      <c r="U65" s="3714"/>
      <c r="V65" s="3714"/>
      <c r="W65" s="3714"/>
      <c r="X65" s="3714"/>
      <c r="Y65" s="3714"/>
      <c r="Z65" s="3714"/>
      <c r="AA65" s="3714"/>
      <c r="AB65" s="3714"/>
      <c r="AC65" s="3714"/>
      <c r="AD65" s="3714"/>
      <c r="AE65" s="3714"/>
      <c r="AF65" s="3714"/>
      <c r="AG65" s="3714"/>
      <c r="AH65" s="3714"/>
      <c r="AI65" s="3714"/>
      <c r="AJ65" s="2855" t="s">
        <v>562</v>
      </c>
      <c r="AK65" s="2855"/>
      <c r="AL65" s="2855"/>
      <c r="AM65" s="2855"/>
      <c r="AN65" s="2855"/>
      <c r="AO65" s="2855"/>
      <c r="AP65" s="2855"/>
      <c r="AQ65" s="2855"/>
      <c r="AR65" s="2855"/>
      <c r="AS65" s="2855"/>
      <c r="AT65" s="2855"/>
      <c r="AU65" s="2855"/>
      <c r="AV65" s="2855"/>
      <c r="AW65" s="2855"/>
      <c r="AX65" s="2855"/>
      <c r="AY65" s="2855"/>
      <c r="AZ65" s="2855"/>
      <c r="BA65" s="2855"/>
      <c r="BB65" s="2855"/>
      <c r="BC65" s="2855"/>
      <c r="BD65" s="2855"/>
      <c r="BE65" s="2855"/>
      <c r="BF65" s="2855"/>
      <c r="BG65" s="2855"/>
      <c r="BH65" s="2855"/>
      <c r="BI65" s="2855"/>
      <c r="BJ65" s="2855"/>
      <c r="BK65" s="2855"/>
      <c r="BL65" s="2855"/>
      <c r="BM65" s="2855"/>
      <c r="BN65" s="2855"/>
      <c r="BO65" s="2855"/>
      <c r="BP65" s="2855"/>
      <c r="BQ65" s="2855"/>
      <c r="BR65" s="2855"/>
      <c r="BS65" s="2855"/>
      <c r="BT65" s="2855"/>
      <c r="BU65" s="2855"/>
      <c r="BV65" s="2855"/>
      <c r="BW65" s="2855"/>
      <c r="BX65" s="2855"/>
      <c r="BY65" s="2855"/>
      <c r="BZ65" s="2855"/>
      <c r="CA65" s="2855"/>
      <c r="CB65" s="2855"/>
      <c r="CC65" s="2855"/>
      <c r="CD65" s="2855"/>
      <c r="CE65" s="2855"/>
      <c r="CF65" s="2855"/>
      <c r="CG65" s="2855"/>
      <c r="CH65" s="2855"/>
      <c r="CI65" s="2855"/>
      <c r="CJ65" s="2855"/>
      <c r="CK65" s="2855"/>
      <c r="CL65" s="2855"/>
      <c r="CM65" s="2855"/>
      <c r="CN65" s="2855"/>
      <c r="CO65" s="2855"/>
      <c r="CP65" s="2855"/>
      <c r="CQ65" s="2855"/>
      <c r="CR65" s="2855"/>
      <c r="CS65" s="2855"/>
      <c r="CT65" s="2855"/>
      <c r="CU65" s="2855"/>
      <c r="CV65" s="2855"/>
      <c r="CW65" s="2855"/>
      <c r="CX65" s="2855"/>
      <c r="CY65" s="2855"/>
      <c r="CZ65" s="2855"/>
      <c r="DA65" s="2855"/>
      <c r="DB65" s="2855"/>
      <c r="DC65" s="2855"/>
      <c r="DD65" s="2855"/>
      <c r="DE65" s="2855"/>
      <c r="DF65" s="2855"/>
      <c r="DG65" s="2855"/>
      <c r="DH65" s="2855"/>
      <c r="DI65" s="2855"/>
      <c r="DJ65" s="2855"/>
      <c r="DK65" s="2855"/>
      <c r="DL65" s="272"/>
      <c r="DM65" s="272"/>
      <c r="DN65" s="272"/>
      <c r="DO65" s="272"/>
      <c r="DP65" s="272"/>
      <c r="DQ65" s="272"/>
      <c r="DR65" s="272"/>
      <c r="DS65" s="272"/>
      <c r="DT65" s="272"/>
    </row>
    <row r="66" spans="1:124" ht="6.75" customHeight="1">
      <c r="A66" s="3714"/>
      <c r="B66" s="3714"/>
      <c r="C66" s="3714"/>
      <c r="D66" s="3714"/>
      <c r="E66" s="3714"/>
      <c r="F66" s="3714"/>
      <c r="G66" s="3714"/>
      <c r="H66" s="3714"/>
      <c r="I66" s="3714"/>
      <c r="J66" s="3714"/>
      <c r="K66" s="3714"/>
      <c r="L66" s="3714"/>
      <c r="M66" s="3714"/>
      <c r="N66" s="3714"/>
      <c r="O66" s="3714"/>
      <c r="P66" s="3714"/>
      <c r="Q66" s="3714"/>
      <c r="R66" s="3714"/>
      <c r="S66" s="3714"/>
      <c r="T66" s="3714"/>
      <c r="U66" s="3714"/>
      <c r="V66" s="3714"/>
      <c r="W66" s="3714"/>
      <c r="X66" s="3714"/>
      <c r="Y66" s="3714"/>
      <c r="Z66" s="3714"/>
      <c r="AA66" s="3714"/>
      <c r="AB66" s="3714"/>
      <c r="AC66" s="3714"/>
      <c r="AD66" s="3714"/>
      <c r="AE66" s="3714"/>
      <c r="AF66" s="3714"/>
      <c r="AG66" s="3714"/>
      <c r="AH66" s="3714"/>
      <c r="AI66" s="3714"/>
      <c r="AJ66" s="2855"/>
      <c r="AK66" s="2855"/>
      <c r="AL66" s="2855"/>
      <c r="AM66" s="2855"/>
      <c r="AN66" s="2855"/>
      <c r="AO66" s="2855"/>
      <c r="AP66" s="2855"/>
      <c r="AQ66" s="2855"/>
      <c r="AR66" s="2855"/>
      <c r="AS66" s="2855"/>
      <c r="AT66" s="2855"/>
      <c r="AU66" s="2855"/>
      <c r="AV66" s="2855"/>
      <c r="AW66" s="2855"/>
      <c r="AX66" s="2855"/>
      <c r="AY66" s="2855"/>
      <c r="AZ66" s="2855"/>
      <c r="BA66" s="2855"/>
      <c r="BB66" s="2855"/>
      <c r="BC66" s="2855"/>
      <c r="BD66" s="2855"/>
      <c r="BE66" s="2855"/>
      <c r="BF66" s="2855"/>
      <c r="BG66" s="2855"/>
      <c r="BH66" s="2855"/>
      <c r="BI66" s="2855"/>
      <c r="BJ66" s="2855"/>
      <c r="BK66" s="2855"/>
      <c r="BL66" s="2855"/>
      <c r="BM66" s="2855"/>
      <c r="BN66" s="2855"/>
      <c r="BO66" s="2855"/>
      <c r="BP66" s="2855"/>
      <c r="BQ66" s="2855"/>
      <c r="BR66" s="2855"/>
      <c r="BS66" s="2855"/>
      <c r="BT66" s="2855"/>
      <c r="BU66" s="2855"/>
      <c r="BV66" s="2855"/>
      <c r="BW66" s="2855"/>
      <c r="BX66" s="2855"/>
      <c r="BY66" s="2855"/>
      <c r="BZ66" s="2855"/>
      <c r="CA66" s="2855"/>
      <c r="CB66" s="2855"/>
      <c r="CC66" s="2855"/>
      <c r="CD66" s="2855"/>
      <c r="CE66" s="2855"/>
      <c r="CF66" s="2855"/>
      <c r="CG66" s="2855"/>
      <c r="CH66" s="2855"/>
      <c r="CI66" s="2855"/>
      <c r="CJ66" s="2855"/>
      <c r="CK66" s="2855"/>
      <c r="CL66" s="2855"/>
      <c r="CM66" s="2855"/>
      <c r="CN66" s="2855"/>
      <c r="CO66" s="2855"/>
      <c r="CP66" s="2855"/>
      <c r="CQ66" s="2855"/>
      <c r="CR66" s="2855"/>
      <c r="CS66" s="2855"/>
      <c r="CT66" s="2855"/>
      <c r="CU66" s="2855"/>
      <c r="CV66" s="2855"/>
      <c r="CW66" s="2855"/>
      <c r="CX66" s="2855"/>
      <c r="CY66" s="2855"/>
      <c r="CZ66" s="2855"/>
      <c r="DA66" s="2855"/>
      <c r="DB66" s="2855"/>
      <c r="DC66" s="2855"/>
      <c r="DD66" s="2855"/>
      <c r="DE66" s="2855"/>
      <c r="DF66" s="2855"/>
      <c r="DG66" s="2855"/>
      <c r="DH66" s="2855"/>
      <c r="DI66" s="2855"/>
      <c r="DJ66" s="2855"/>
      <c r="DK66" s="2855"/>
      <c r="DL66" s="272"/>
      <c r="DM66" s="272"/>
      <c r="DN66" s="272"/>
      <c r="DO66" s="272"/>
      <c r="DP66" s="272"/>
      <c r="DQ66" s="272"/>
      <c r="DR66" s="272"/>
      <c r="DS66" s="272"/>
      <c r="DT66" s="272"/>
    </row>
    <row r="67" spans="1:124" ht="6.75" customHeight="1">
      <c r="A67" s="3714"/>
      <c r="B67" s="3714"/>
      <c r="C67" s="3714"/>
      <c r="D67" s="3714"/>
      <c r="E67" s="3714"/>
      <c r="F67" s="3714"/>
      <c r="G67" s="3714"/>
      <c r="H67" s="3714"/>
      <c r="I67" s="3714"/>
      <c r="J67" s="3714"/>
      <c r="K67" s="3714"/>
      <c r="L67" s="3714"/>
      <c r="M67" s="3714"/>
      <c r="N67" s="3714"/>
      <c r="O67" s="3714"/>
      <c r="P67" s="3714"/>
      <c r="Q67" s="3714"/>
      <c r="R67" s="3714"/>
      <c r="S67" s="3714"/>
      <c r="T67" s="3714"/>
      <c r="U67" s="3714"/>
      <c r="V67" s="3714"/>
      <c r="W67" s="3714"/>
      <c r="X67" s="3714"/>
      <c r="Y67" s="3714"/>
      <c r="Z67" s="3714"/>
      <c r="AA67" s="3714"/>
      <c r="AB67" s="3714"/>
      <c r="AC67" s="3714"/>
      <c r="AD67" s="3714"/>
      <c r="AE67" s="3714"/>
      <c r="AF67" s="3714"/>
      <c r="AG67" s="3714"/>
      <c r="AH67" s="3714"/>
      <c r="AI67" s="3714"/>
      <c r="AJ67" s="2855"/>
      <c r="AK67" s="2855"/>
      <c r="AL67" s="2855"/>
      <c r="AM67" s="2855"/>
      <c r="AN67" s="2855"/>
      <c r="AO67" s="2855"/>
      <c r="AP67" s="2855"/>
      <c r="AQ67" s="2855"/>
      <c r="AR67" s="2855"/>
      <c r="AS67" s="2855"/>
      <c r="AT67" s="2855"/>
      <c r="AU67" s="2855"/>
      <c r="AV67" s="2855"/>
      <c r="AW67" s="2855"/>
      <c r="AX67" s="2855"/>
      <c r="AY67" s="2855"/>
      <c r="AZ67" s="2855"/>
      <c r="BA67" s="2855"/>
      <c r="BB67" s="2855"/>
      <c r="BC67" s="2855"/>
      <c r="BD67" s="2855"/>
      <c r="BE67" s="2855"/>
      <c r="BF67" s="2855"/>
      <c r="BG67" s="2855"/>
      <c r="BH67" s="2855"/>
      <c r="BI67" s="2855"/>
      <c r="BJ67" s="2855"/>
      <c r="BK67" s="2855"/>
      <c r="BL67" s="2855"/>
      <c r="BM67" s="2855"/>
      <c r="BN67" s="2855"/>
      <c r="BO67" s="2855"/>
      <c r="BP67" s="2855"/>
      <c r="BQ67" s="2855"/>
      <c r="BR67" s="2855"/>
      <c r="BS67" s="2855"/>
      <c r="BT67" s="2855"/>
      <c r="BU67" s="2855"/>
      <c r="BV67" s="2855"/>
      <c r="BW67" s="2855"/>
      <c r="BX67" s="2855"/>
      <c r="BY67" s="2855"/>
      <c r="BZ67" s="2855"/>
      <c r="CA67" s="2855"/>
      <c r="CB67" s="2855"/>
      <c r="CC67" s="2855"/>
      <c r="CD67" s="2855"/>
      <c r="CE67" s="2855"/>
      <c r="CF67" s="2855"/>
      <c r="CG67" s="2855"/>
      <c r="CH67" s="2855"/>
      <c r="CI67" s="2855"/>
      <c r="CJ67" s="2855"/>
      <c r="CK67" s="2855"/>
      <c r="CL67" s="2855"/>
      <c r="CM67" s="2855"/>
      <c r="CN67" s="2855"/>
      <c r="CO67" s="2855"/>
      <c r="CP67" s="2855"/>
      <c r="CQ67" s="2855"/>
      <c r="CR67" s="2855"/>
      <c r="CS67" s="2855"/>
      <c r="CT67" s="2855"/>
      <c r="CU67" s="2855"/>
      <c r="CV67" s="2855"/>
      <c r="CW67" s="2855"/>
      <c r="CX67" s="2855"/>
      <c r="CY67" s="2855"/>
      <c r="CZ67" s="2855"/>
      <c r="DA67" s="2855"/>
      <c r="DB67" s="2855"/>
      <c r="DC67" s="2855"/>
      <c r="DD67" s="2855"/>
      <c r="DE67" s="2855"/>
      <c r="DF67" s="2855"/>
      <c r="DG67" s="2855"/>
      <c r="DH67" s="2855"/>
      <c r="DI67" s="2855"/>
      <c r="DJ67" s="2855"/>
      <c r="DK67" s="2855"/>
      <c r="DL67" s="272"/>
      <c r="DM67" s="272"/>
      <c r="DN67" s="272"/>
      <c r="DO67" s="272"/>
      <c r="DP67" s="272"/>
      <c r="DQ67" s="272"/>
      <c r="DR67" s="272"/>
      <c r="DS67" s="272"/>
      <c r="DT67" s="272"/>
    </row>
    <row r="68" spans="1:124" ht="6.75" customHeight="1">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6"/>
      <c r="AA68" s="146"/>
      <c r="AB68" s="146"/>
      <c r="AC68" s="146"/>
      <c r="AD68" s="146"/>
      <c r="AE68" s="146"/>
      <c r="AF68" s="146"/>
      <c r="AG68" s="146"/>
      <c r="AH68" s="146"/>
      <c r="AI68" s="146"/>
      <c r="AJ68" s="2855"/>
      <c r="AK68" s="2855"/>
      <c r="AL68" s="2855"/>
      <c r="AM68" s="2855"/>
      <c r="AN68" s="2855"/>
      <c r="AO68" s="2855"/>
      <c r="AP68" s="2855"/>
      <c r="AQ68" s="2855"/>
      <c r="AR68" s="2855"/>
      <c r="AS68" s="2855"/>
      <c r="AT68" s="2855"/>
      <c r="AU68" s="2855"/>
      <c r="AV68" s="2855"/>
      <c r="AW68" s="2855"/>
      <c r="AX68" s="2855"/>
      <c r="AY68" s="2855"/>
      <c r="AZ68" s="2855"/>
      <c r="BA68" s="2855"/>
      <c r="BB68" s="2855"/>
      <c r="BC68" s="2855"/>
      <c r="BD68" s="2855"/>
      <c r="BE68" s="2855"/>
      <c r="BF68" s="2855"/>
      <c r="BG68" s="2855"/>
      <c r="BH68" s="2855"/>
      <c r="BI68" s="2855"/>
      <c r="BJ68" s="2855"/>
      <c r="BK68" s="2855"/>
      <c r="BL68" s="2855"/>
      <c r="BM68" s="2855"/>
      <c r="BN68" s="2855"/>
      <c r="BO68" s="2855"/>
      <c r="BP68" s="2855"/>
      <c r="BQ68" s="2855"/>
      <c r="BR68" s="2855"/>
      <c r="BS68" s="2855"/>
      <c r="BT68" s="2855"/>
      <c r="BU68" s="2855"/>
      <c r="BV68" s="2855"/>
      <c r="BW68" s="2855"/>
      <c r="BX68" s="2855"/>
      <c r="BY68" s="2855"/>
      <c r="BZ68" s="2855"/>
      <c r="CA68" s="2855"/>
      <c r="CB68" s="2855"/>
      <c r="CC68" s="2855"/>
      <c r="CD68" s="2855"/>
      <c r="CE68" s="2855"/>
      <c r="CF68" s="2855"/>
      <c r="CG68" s="2855"/>
      <c r="CH68" s="2855"/>
      <c r="CI68" s="2855"/>
      <c r="CJ68" s="2855"/>
      <c r="CK68" s="2855"/>
      <c r="CL68" s="2855"/>
      <c r="CM68" s="2855"/>
      <c r="CN68" s="2855"/>
      <c r="CO68" s="2855"/>
      <c r="CP68" s="2855"/>
      <c r="CQ68" s="2855"/>
      <c r="CR68" s="2855"/>
      <c r="CS68" s="2855"/>
      <c r="CT68" s="2855"/>
      <c r="CU68" s="2855"/>
      <c r="CV68" s="2855"/>
      <c r="CW68" s="2855"/>
      <c r="CX68" s="2855"/>
      <c r="CY68" s="2855"/>
      <c r="CZ68" s="2855"/>
      <c r="DA68" s="2855"/>
      <c r="DB68" s="2855"/>
      <c r="DC68" s="2855"/>
      <c r="DD68" s="2855"/>
      <c r="DE68" s="2855"/>
      <c r="DF68" s="2855"/>
      <c r="DG68" s="2855"/>
      <c r="DH68" s="2855"/>
      <c r="DI68" s="2855"/>
      <c r="DJ68" s="2855"/>
      <c r="DK68" s="2855"/>
      <c r="DL68" s="272"/>
      <c r="DM68" s="272"/>
      <c r="DN68" s="272"/>
      <c r="DO68" s="272"/>
      <c r="DP68" s="272"/>
      <c r="DQ68" s="272"/>
      <c r="DR68" s="272"/>
      <c r="DS68" s="272"/>
      <c r="DT68" s="272"/>
    </row>
    <row r="69" spans="1:124" ht="6.75" customHeight="1" thickBot="1">
      <c r="A69" s="146"/>
      <c r="B69" s="149"/>
      <c r="C69" s="149"/>
      <c r="D69" s="149"/>
      <c r="E69" s="149"/>
      <c r="F69" s="149"/>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2855"/>
      <c r="AK69" s="2855"/>
      <c r="AL69" s="2855"/>
      <c r="AM69" s="2855"/>
      <c r="AN69" s="2855"/>
      <c r="AO69" s="2855"/>
      <c r="AP69" s="2855"/>
      <c r="AQ69" s="2855"/>
      <c r="AR69" s="2855"/>
      <c r="AS69" s="2855"/>
      <c r="AT69" s="2855"/>
      <c r="AU69" s="2855"/>
      <c r="AV69" s="2855"/>
      <c r="AW69" s="2855"/>
      <c r="AX69" s="2855"/>
      <c r="AY69" s="2855"/>
      <c r="AZ69" s="2855"/>
      <c r="BA69" s="2855"/>
      <c r="BB69" s="2855"/>
      <c r="BC69" s="2855"/>
      <c r="BD69" s="2855"/>
      <c r="BE69" s="2855"/>
      <c r="BF69" s="2855"/>
      <c r="BG69" s="2855"/>
      <c r="BH69" s="2855"/>
      <c r="BI69" s="2855"/>
      <c r="BJ69" s="2855"/>
      <c r="BK69" s="2855"/>
      <c r="BL69" s="2855"/>
      <c r="BM69" s="2855"/>
      <c r="BN69" s="2855"/>
      <c r="BO69" s="2855"/>
      <c r="BP69" s="2855"/>
      <c r="BQ69" s="2855"/>
      <c r="BR69" s="2855"/>
      <c r="BS69" s="2855"/>
      <c r="BT69" s="2855"/>
      <c r="BU69" s="2855"/>
      <c r="BV69" s="2855"/>
      <c r="BW69" s="2855"/>
      <c r="BX69" s="2855"/>
      <c r="BY69" s="2855"/>
      <c r="BZ69" s="2855"/>
      <c r="CA69" s="2855"/>
      <c r="CB69" s="2855"/>
      <c r="CC69" s="2855"/>
      <c r="CD69" s="2855"/>
      <c r="CE69" s="2855"/>
      <c r="CF69" s="2855"/>
      <c r="CG69" s="2855"/>
      <c r="CH69" s="2855"/>
      <c r="CI69" s="2855"/>
      <c r="CJ69" s="2855"/>
      <c r="CK69" s="2855"/>
      <c r="CL69" s="2855"/>
      <c r="CM69" s="2855"/>
      <c r="CN69" s="2855"/>
      <c r="CO69" s="2855"/>
      <c r="CP69" s="2855"/>
      <c r="CQ69" s="2855"/>
      <c r="CR69" s="2855"/>
      <c r="CS69" s="2855"/>
      <c r="CT69" s="2855"/>
      <c r="CU69" s="2855"/>
      <c r="CV69" s="2855"/>
      <c r="CW69" s="2855"/>
      <c r="CX69" s="2855"/>
      <c r="CY69" s="2855"/>
      <c r="CZ69" s="2855"/>
      <c r="DA69" s="2855"/>
      <c r="DB69" s="2855"/>
      <c r="DC69" s="2855"/>
      <c r="DD69" s="2855"/>
      <c r="DE69" s="2855"/>
      <c r="DF69" s="2855"/>
      <c r="DG69" s="2855"/>
      <c r="DH69" s="2855"/>
      <c r="DI69" s="2855"/>
      <c r="DJ69" s="2855"/>
      <c r="DK69" s="2855"/>
      <c r="DL69" s="128"/>
    </row>
    <row r="70" spans="1:124" ht="6.75" customHeight="1" thickTop="1">
      <c r="A70" s="146"/>
      <c r="B70" s="3706" t="s">
        <v>267</v>
      </c>
      <c r="C70" s="3707"/>
      <c r="D70" s="3707"/>
      <c r="E70" s="3707"/>
      <c r="F70" s="3707"/>
      <c r="G70" s="3707"/>
      <c r="H70" s="3707"/>
      <c r="I70" s="3707"/>
      <c r="J70" s="3707"/>
      <c r="K70" s="3707"/>
      <c r="L70" s="3707"/>
      <c r="M70" s="3707"/>
      <c r="N70" s="3707"/>
      <c r="O70" s="3710" t="s">
        <v>268</v>
      </c>
      <c r="P70" s="3710"/>
      <c r="Q70" s="3710"/>
      <c r="R70" s="3710"/>
      <c r="S70" s="3710"/>
      <c r="T70" s="3710"/>
      <c r="U70" s="3710"/>
      <c r="V70" s="3710"/>
      <c r="W70" s="3710"/>
      <c r="X70" s="3710"/>
      <c r="Y70" s="3710"/>
      <c r="Z70" s="3710"/>
      <c r="AA70" s="3710"/>
      <c r="AB70" s="3710"/>
      <c r="AC70" s="3710"/>
      <c r="AD70" s="3710"/>
      <c r="AE70" s="3710"/>
      <c r="AF70" s="3710"/>
      <c r="AG70" s="3710"/>
      <c r="AH70" s="3710"/>
      <c r="AI70" s="3710"/>
      <c r="AJ70" s="3710"/>
      <c r="AK70" s="3710"/>
      <c r="AL70" s="3710"/>
      <c r="AM70" s="3710"/>
      <c r="AN70" s="3710"/>
      <c r="AO70" s="3710"/>
      <c r="AP70" s="3710"/>
      <c r="AQ70" s="3710"/>
      <c r="AR70" s="3710"/>
      <c r="AS70" s="3710"/>
      <c r="AT70" s="3710"/>
      <c r="AU70" s="3710"/>
      <c r="AV70" s="3710"/>
      <c r="AW70" s="3710"/>
      <c r="AX70" s="3710"/>
      <c r="AY70" s="3710"/>
      <c r="AZ70" s="3710"/>
      <c r="BA70" s="3710"/>
      <c r="BB70" s="3710"/>
      <c r="BC70" s="3710"/>
      <c r="BD70" s="3710"/>
      <c r="BE70" s="3710"/>
      <c r="BF70" s="3710"/>
      <c r="BG70" s="3710"/>
      <c r="BH70" s="3710"/>
      <c r="BI70" s="3710"/>
      <c r="BJ70" s="3710"/>
      <c r="BK70" s="3710"/>
      <c r="BL70" s="3710"/>
      <c r="BM70" s="3710"/>
      <c r="BN70" s="3710"/>
      <c r="BO70" s="3710"/>
      <c r="BP70" s="3710"/>
      <c r="BQ70" s="3710"/>
      <c r="BR70" s="3710"/>
      <c r="BS70" s="3710"/>
      <c r="BT70" s="3710"/>
      <c r="BU70" s="3710"/>
      <c r="BV70" s="3710"/>
      <c r="BW70" s="3710"/>
      <c r="BX70" s="3710"/>
      <c r="BY70" s="3710"/>
      <c r="BZ70" s="3710"/>
      <c r="CA70" s="3710"/>
      <c r="CB70" s="3710"/>
      <c r="CC70" s="3710"/>
      <c r="CD70" s="3710"/>
      <c r="CE70" s="3710"/>
      <c r="CF70" s="3710"/>
      <c r="CG70" s="3710"/>
      <c r="CH70" s="3710"/>
      <c r="CI70" s="3710"/>
      <c r="CJ70" s="3710"/>
      <c r="CK70" s="3710"/>
      <c r="CL70" s="3710"/>
      <c r="CM70" s="3710"/>
      <c r="CN70" s="3710"/>
      <c r="CO70" s="3710"/>
      <c r="CP70" s="3710"/>
      <c r="CQ70" s="3710"/>
      <c r="CR70" s="3710"/>
      <c r="CS70" s="3710"/>
      <c r="CT70" s="3710"/>
      <c r="CU70" s="3710"/>
      <c r="CV70" s="3710"/>
      <c r="CW70" s="3710"/>
      <c r="CX70" s="3710"/>
      <c r="CY70" s="3710"/>
      <c r="CZ70" s="3710"/>
      <c r="DA70" s="3710"/>
      <c r="DB70" s="3710"/>
      <c r="DC70" s="3710"/>
      <c r="DD70" s="3710"/>
      <c r="DE70" s="3710"/>
      <c r="DF70" s="3710"/>
      <c r="DG70" s="3710"/>
      <c r="DH70" s="3710"/>
      <c r="DI70" s="3710"/>
      <c r="DJ70" s="3710"/>
      <c r="DK70" s="3711"/>
      <c r="DL70" s="128"/>
    </row>
    <row r="71" spans="1:124" ht="6.75" customHeight="1" thickBot="1">
      <c r="A71" s="146"/>
      <c r="B71" s="3708"/>
      <c r="C71" s="3709"/>
      <c r="D71" s="3709"/>
      <c r="E71" s="3709"/>
      <c r="F71" s="3709"/>
      <c r="G71" s="3709"/>
      <c r="H71" s="3709"/>
      <c r="I71" s="3709"/>
      <c r="J71" s="3709"/>
      <c r="K71" s="3709"/>
      <c r="L71" s="3709"/>
      <c r="M71" s="3709"/>
      <c r="N71" s="3709"/>
      <c r="O71" s="3712"/>
      <c r="P71" s="3712"/>
      <c r="Q71" s="3712"/>
      <c r="R71" s="3712"/>
      <c r="S71" s="3712"/>
      <c r="T71" s="3712"/>
      <c r="U71" s="3712"/>
      <c r="V71" s="3712"/>
      <c r="W71" s="3712"/>
      <c r="X71" s="3712"/>
      <c r="Y71" s="3712"/>
      <c r="Z71" s="3712"/>
      <c r="AA71" s="3712"/>
      <c r="AB71" s="3712"/>
      <c r="AC71" s="3712"/>
      <c r="AD71" s="3712"/>
      <c r="AE71" s="3712"/>
      <c r="AF71" s="3712"/>
      <c r="AG71" s="3712"/>
      <c r="AH71" s="3712"/>
      <c r="AI71" s="3712"/>
      <c r="AJ71" s="3712"/>
      <c r="AK71" s="3712"/>
      <c r="AL71" s="3712"/>
      <c r="AM71" s="3712"/>
      <c r="AN71" s="3712"/>
      <c r="AO71" s="3712"/>
      <c r="AP71" s="3712"/>
      <c r="AQ71" s="3712"/>
      <c r="AR71" s="3712"/>
      <c r="AS71" s="3712"/>
      <c r="AT71" s="3712"/>
      <c r="AU71" s="3712"/>
      <c r="AV71" s="3712"/>
      <c r="AW71" s="3712"/>
      <c r="AX71" s="3712"/>
      <c r="AY71" s="3712"/>
      <c r="AZ71" s="3712"/>
      <c r="BA71" s="3712"/>
      <c r="BB71" s="3712"/>
      <c r="BC71" s="3712"/>
      <c r="BD71" s="3712"/>
      <c r="BE71" s="3712"/>
      <c r="BF71" s="3712"/>
      <c r="BG71" s="3712"/>
      <c r="BH71" s="3712"/>
      <c r="BI71" s="3712"/>
      <c r="BJ71" s="3712"/>
      <c r="BK71" s="3712"/>
      <c r="BL71" s="3712"/>
      <c r="BM71" s="3712"/>
      <c r="BN71" s="3712"/>
      <c r="BO71" s="3712"/>
      <c r="BP71" s="3712"/>
      <c r="BQ71" s="3712"/>
      <c r="BR71" s="3712"/>
      <c r="BS71" s="3712"/>
      <c r="BT71" s="3712"/>
      <c r="BU71" s="3712"/>
      <c r="BV71" s="3712"/>
      <c r="BW71" s="3712"/>
      <c r="BX71" s="3712"/>
      <c r="BY71" s="3712"/>
      <c r="BZ71" s="3712"/>
      <c r="CA71" s="3712"/>
      <c r="CB71" s="3712"/>
      <c r="CC71" s="3712"/>
      <c r="CD71" s="3712"/>
      <c r="CE71" s="3712"/>
      <c r="CF71" s="3712"/>
      <c r="CG71" s="3712"/>
      <c r="CH71" s="3712"/>
      <c r="CI71" s="3712"/>
      <c r="CJ71" s="3712"/>
      <c r="CK71" s="3712"/>
      <c r="CL71" s="3712"/>
      <c r="CM71" s="3712"/>
      <c r="CN71" s="3712"/>
      <c r="CO71" s="3712"/>
      <c r="CP71" s="3712"/>
      <c r="CQ71" s="3712"/>
      <c r="CR71" s="3712"/>
      <c r="CS71" s="3712"/>
      <c r="CT71" s="3712"/>
      <c r="CU71" s="3712"/>
      <c r="CV71" s="3712"/>
      <c r="CW71" s="3712"/>
      <c r="CX71" s="3712"/>
      <c r="CY71" s="3712"/>
      <c r="CZ71" s="3712"/>
      <c r="DA71" s="3712"/>
      <c r="DB71" s="3712"/>
      <c r="DC71" s="3712"/>
      <c r="DD71" s="3712"/>
      <c r="DE71" s="3712"/>
      <c r="DF71" s="3712"/>
      <c r="DG71" s="3712"/>
      <c r="DH71" s="3712"/>
      <c r="DI71" s="3712"/>
      <c r="DJ71" s="3712"/>
      <c r="DK71" s="3713"/>
      <c r="DL71" s="134"/>
    </row>
    <row r="72" spans="1:124" ht="6.75" customHeight="1">
      <c r="A72" s="146"/>
      <c r="B72" s="3571" t="s">
        <v>269</v>
      </c>
      <c r="C72" s="3572"/>
      <c r="D72" s="3577" t="s">
        <v>1228</v>
      </c>
      <c r="E72" s="3578"/>
      <c r="F72" s="3578"/>
      <c r="G72" s="3578"/>
      <c r="H72" s="3578"/>
      <c r="I72" s="3578"/>
      <c r="J72" s="3578"/>
      <c r="K72" s="3578"/>
      <c r="L72" s="3578"/>
      <c r="M72" s="3578"/>
      <c r="N72" s="3578"/>
      <c r="O72" s="3578"/>
      <c r="P72" s="3578"/>
      <c r="Q72" s="3579"/>
      <c r="R72" s="3577" t="s">
        <v>271</v>
      </c>
      <c r="S72" s="3578"/>
      <c r="T72" s="3578"/>
      <c r="U72" s="3578"/>
      <c r="V72" s="3578"/>
      <c r="W72" s="3577" t="s">
        <v>272</v>
      </c>
      <c r="X72" s="3578"/>
      <c r="Y72" s="3578"/>
      <c r="Z72" s="3578"/>
      <c r="AA72" s="3578"/>
      <c r="AB72" s="3578"/>
      <c r="AC72" s="3578"/>
      <c r="AD72" s="3579"/>
      <c r="AE72" s="3719" t="s">
        <v>273</v>
      </c>
      <c r="AF72" s="3720"/>
      <c r="AG72" s="3720"/>
      <c r="AH72" s="3720"/>
      <c r="AI72" s="3720"/>
      <c r="AJ72" s="3720"/>
      <c r="AK72" s="3720"/>
      <c r="AL72" s="3720"/>
      <c r="AM72" s="3720"/>
      <c r="AN72" s="3720"/>
      <c r="AO72" s="3720"/>
      <c r="AP72" s="3720"/>
      <c r="AQ72" s="3720"/>
      <c r="AR72" s="3720"/>
      <c r="AS72" s="3720"/>
      <c r="AT72" s="3720"/>
      <c r="AU72" s="3720"/>
      <c r="AV72" s="3720"/>
      <c r="AW72" s="3720"/>
      <c r="AX72" s="3720"/>
      <c r="AY72" s="3720"/>
      <c r="AZ72" s="3720"/>
      <c r="BA72" s="3720"/>
      <c r="BB72" s="3720"/>
      <c r="BC72" s="3720"/>
      <c r="BD72" s="3720"/>
      <c r="BE72" s="3720"/>
      <c r="BF72" s="3720"/>
      <c r="BG72" s="3720"/>
      <c r="BH72" s="3720"/>
      <c r="BI72" s="3720"/>
      <c r="BJ72" s="3720"/>
      <c r="BK72" s="3720"/>
      <c r="BL72" s="3720"/>
      <c r="BM72" s="3720"/>
      <c r="BN72" s="3720"/>
      <c r="BO72" s="3720"/>
      <c r="BP72" s="3720"/>
      <c r="BQ72" s="3720"/>
      <c r="BR72" s="3720"/>
      <c r="BS72" s="3720"/>
      <c r="BT72" s="3720"/>
      <c r="BU72" s="3720"/>
      <c r="BV72" s="3720"/>
      <c r="BW72" s="3720"/>
      <c r="BX72" s="3720"/>
      <c r="BY72" s="3720"/>
      <c r="BZ72" s="3720"/>
      <c r="CA72" s="3720"/>
      <c r="CB72" s="3720"/>
      <c r="CC72" s="3720"/>
      <c r="CD72" s="3720"/>
      <c r="CE72" s="3720"/>
      <c r="CF72" s="3720"/>
      <c r="CG72" s="3720"/>
      <c r="CH72" s="3720"/>
      <c r="CI72" s="3720"/>
      <c r="CJ72" s="3720"/>
      <c r="CK72" s="3720"/>
      <c r="CL72" s="3720"/>
      <c r="CM72" s="3720"/>
      <c r="CN72" s="3720"/>
      <c r="CO72" s="3720"/>
      <c r="CP72" s="3720"/>
      <c r="CQ72" s="3720"/>
      <c r="CR72" s="3720"/>
      <c r="CS72" s="3720"/>
      <c r="CT72" s="3720"/>
      <c r="CU72" s="3720"/>
      <c r="CV72" s="3720"/>
      <c r="CW72" s="3720"/>
      <c r="CX72" s="3720"/>
      <c r="CY72" s="3720"/>
      <c r="CZ72" s="3720"/>
      <c r="DA72" s="3720"/>
      <c r="DB72" s="3720"/>
      <c r="DC72" s="3720"/>
      <c r="DD72" s="3720"/>
      <c r="DE72" s="3720"/>
      <c r="DF72" s="3720"/>
      <c r="DG72" s="3720"/>
      <c r="DH72" s="3720"/>
      <c r="DI72" s="3720"/>
      <c r="DJ72" s="3720"/>
      <c r="DK72" s="3721"/>
      <c r="DL72" s="128"/>
    </row>
    <row r="73" spans="1:124" ht="6.75" customHeight="1">
      <c r="A73" s="146"/>
      <c r="B73" s="3573"/>
      <c r="C73" s="3574"/>
      <c r="D73" s="3580"/>
      <c r="E73" s="3581"/>
      <c r="F73" s="3581"/>
      <c r="G73" s="3581"/>
      <c r="H73" s="3581"/>
      <c r="I73" s="3581"/>
      <c r="J73" s="3581"/>
      <c r="K73" s="3581"/>
      <c r="L73" s="3581"/>
      <c r="M73" s="3581"/>
      <c r="N73" s="3581"/>
      <c r="O73" s="3581"/>
      <c r="P73" s="3581"/>
      <c r="Q73" s="3582"/>
      <c r="R73" s="3580"/>
      <c r="S73" s="3581"/>
      <c r="T73" s="3581"/>
      <c r="U73" s="3581"/>
      <c r="V73" s="3581"/>
      <c r="W73" s="3580"/>
      <c r="X73" s="3581"/>
      <c r="Y73" s="3581"/>
      <c r="Z73" s="3581"/>
      <c r="AA73" s="3581"/>
      <c r="AB73" s="3581"/>
      <c r="AC73" s="3581"/>
      <c r="AD73" s="3582"/>
      <c r="AE73" s="3722"/>
      <c r="AF73" s="3723"/>
      <c r="AG73" s="3723"/>
      <c r="AH73" s="3723"/>
      <c r="AI73" s="3723"/>
      <c r="AJ73" s="3723"/>
      <c r="AK73" s="3723"/>
      <c r="AL73" s="3723"/>
      <c r="AM73" s="3723"/>
      <c r="AN73" s="3723"/>
      <c r="AO73" s="3723"/>
      <c r="AP73" s="3723"/>
      <c r="AQ73" s="3723"/>
      <c r="AR73" s="3723"/>
      <c r="AS73" s="3723"/>
      <c r="AT73" s="3723"/>
      <c r="AU73" s="3723"/>
      <c r="AV73" s="3723"/>
      <c r="AW73" s="3723"/>
      <c r="AX73" s="3723"/>
      <c r="AY73" s="3723"/>
      <c r="AZ73" s="3723"/>
      <c r="BA73" s="3723"/>
      <c r="BB73" s="3723"/>
      <c r="BC73" s="3723"/>
      <c r="BD73" s="3723"/>
      <c r="BE73" s="3723"/>
      <c r="BF73" s="3723"/>
      <c r="BG73" s="3723"/>
      <c r="BH73" s="3723"/>
      <c r="BI73" s="3723"/>
      <c r="BJ73" s="3723"/>
      <c r="BK73" s="3723"/>
      <c r="BL73" s="3723"/>
      <c r="BM73" s="3723"/>
      <c r="BN73" s="3723"/>
      <c r="BO73" s="3723"/>
      <c r="BP73" s="3723"/>
      <c r="BQ73" s="3723"/>
      <c r="BR73" s="3723"/>
      <c r="BS73" s="3723"/>
      <c r="BT73" s="3723"/>
      <c r="BU73" s="3723"/>
      <c r="BV73" s="3723"/>
      <c r="BW73" s="3723"/>
      <c r="BX73" s="3723"/>
      <c r="BY73" s="3723"/>
      <c r="BZ73" s="3723"/>
      <c r="CA73" s="3723"/>
      <c r="CB73" s="3723"/>
      <c r="CC73" s="3723"/>
      <c r="CD73" s="3723"/>
      <c r="CE73" s="3723"/>
      <c r="CF73" s="3723"/>
      <c r="CG73" s="3723"/>
      <c r="CH73" s="3723"/>
      <c r="CI73" s="3723"/>
      <c r="CJ73" s="3723"/>
      <c r="CK73" s="3723"/>
      <c r="CL73" s="3723"/>
      <c r="CM73" s="3723"/>
      <c r="CN73" s="3723"/>
      <c r="CO73" s="3723"/>
      <c r="CP73" s="3723"/>
      <c r="CQ73" s="3723"/>
      <c r="CR73" s="3723"/>
      <c r="CS73" s="3723"/>
      <c r="CT73" s="3723"/>
      <c r="CU73" s="3723"/>
      <c r="CV73" s="3723"/>
      <c r="CW73" s="3723"/>
      <c r="CX73" s="3723"/>
      <c r="CY73" s="3723"/>
      <c r="CZ73" s="3723"/>
      <c r="DA73" s="3723"/>
      <c r="DB73" s="3723"/>
      <c r="DC73" s="3723"/>
      <c r="DD73" s="3723"/>
      <c r="DE73" s="3723"/>
      <c r="DF73" s="3723"/>
      <c r="DG73" s="3723"/>
      <c r="DH73" s="3723"/>
      <c r="DI73" s="3723"/>
      <c r="DJ73" s="3723"/>
      <c r="DK73" s="3724"/>
      <c r="DL73" s="128"/>
    </row>
    <row r="74" spans="1:124" ht="6.75" customHeight="1">
      <c r="A74" s="146"/>
      <c r="B74" s="3573"/>
      <c r="C74" s="3574"/>
      <c r="D74" s="3580"/>
      <c r="E74" s="3581"/>
      <c r="F74" s="3581"/>
      <c r="G74" s="3581"/>
      <c r="H74" s="3581"/>
      <c r="I74" s="3581"/>
      <c r="J74" s="3581"/>
      <c r="K74" s="3581"/>
      <c r="L74" s="3581"/>
      <c r="M74" s="3581"/>
      <c r="N74" s="3581"/>
      <c r="O74" s="3581"/>
      <c r="P74" s="3581"/>
      <c r="Q74" s="3582"/>
      <c r="R74" s="3580"/>
      <c r="S74" s="3581"/>
      <c r="T74" s="3581"/>
      <c r="U74" s="3581"/>
      <c r="V74" s="3581"/>
      <c r="W74" s="3580"/>
      <c r="X74" s="3581"/>
      <c r="Y74" s="3581"/>
      <c r="Z74" s="3581"/>
      <c r="AA74" s="3581"/>
      <c r="AB74" s="3581"/>
      <c r="AC74" s="3581"/>
      <c r="AD74" s="3582"/>
      <c r="AE74" s="3715" t="s">
        <v>274</v>
      </c>
      <c r="AF74" s="3716"/>
      <c r="AG74" s="3716"/>
      <c r="AH74" s="3716"/>
      <c r="AI74" s="3716"/>
      <c r="AJ74" s="3716"/>
      <c r="AK74" s="3716"/>
      <c r="AL74" s="3716"/>
      <c r="AM74" s="3716"/>
      <c r="AN74" s="3716"/>
      <c r="AO74" s="3716"/>
      <c r="AP74" s="3716"/>
      <c r="AQ74" s="3716"/>
      <c r="AR74" s="3716"/>
      <c r="AS74" s="3716"/>
      <c r="AT74" s="3716"/>
      <c r="AU74" s="3716"/>
      <c r="AV74" s="3716"/>
      <c r="AW74" s="3716"/>
      <c r="AX74" s="3716"/>
      <c r="AY74" s="3716"/>
      <c r="AZ74" s="151"/>
      <c r="BA74" s="151"/>
      <c r="BB74" s="151"/>
      <c r="BC74" s="151"/>
      <c r="BD74" s="151"/>
      <c r="BE74" s="151"/>
      <c r="BF74" s="151"/>
      <c r="BG74" s="151"/>
      <c r="BH74" s="151"/>
      <c r="BI74" s="151"/>
      <c r="BJ74" s="151"/>
      <c r="BK74" s="151"/>
      <c r="BL74" s="152"/>
      <c r="BM74" s="3653" t="s">
        <v>1355</v>
      </c>
      <c r="BN74" s="3654"/>
      <c r="BO74" s="3654"/>
      <c r="BP74" s="3654"/>
      <c r="BQ74" s="3654"/>
      <c r="BR74" s="3654"/>
      <c r="BS74" s="3654"/>
      <c r="BT74" s="3654"/>
      <c r="BU74" s="3654"/>
      <c r="BV74" s="3654"/>
      <c r="BW74" s="3654"/>
      <c r="BX74" s="3654"/>
      <c r="BY74" s="3654"/>
      <c r="BZ74" s="3654"/>
      <c r="CA74" s="3654"/>
      <c r="CB74" s="3654"/>
      <c r="CC74" s="3655"/>
      <c r="CD74" s="3659" t="s">
        <v>275</v>
      </c>
      <c r="CE74" s="3660"/>
      <c r="CF74" s="3660"/>
      <c r="CG74" s="3660"/>
      <c r="CH74" s="3660"/>
      <c r="CI74" s="3660"/>
      <c r="CJ74" s="3660"/>
      <c r="CK74" s="3660"/>
      <c r="CL74" s="3660"/>
      <c r="CM74" s="3660"/>
      <c r="CN74" s="3660"/>
      <c r="CO74" s="3660"/>
      <c r="CP74" s="3660"/>
      <c r="CQ74" s="3660"/>
      <c r="CR74" s="3660"/>
      <c r="CS74" s="3660"/>
      <c r="CT74" s="3661"/>
      <c r="CU74" s="3653" t="s">
        <v>502</v>
      </c>
      <c r="CV74" s="3654"/>
      <c r="CW74" s="3654"/>
      <c r="CX74" s="3654"/>
      <c r="CY74" s="3654"/>
      <c r="CZ74" s="3654"/>
      <c r="DA74" s="3654"/>
      <c r="DB74" s="3654"/>
      <c r="DC74" s="3654"/>
      <c r="DD74" s="3654"/>
      <c r="DE74" s="3654"/>
      <c r="DF74" s="3654"/>
      <c r="DG74" s="3654"/>
      <c r="DH74" s="3654"/>
      <c r="DI74" s="3654"/>
      <c r="DJ74" s="3654"/>
      <c r="DK74" s="3704"/>
      <c r="DL74" s="128"/>
    </row>
    <row r="75" spans="1:124" ht="15.75" customHeight="1">
      <c r="A75" s="146"/>
      <c r="B75" s="3575"/>
      <c r="C75" s="3576"/>
      <c r="D75" s="3583"/>
      <c r="E75" s="3584"/>
      <c r="F75" s="3584"/>
      <c r="G75" s="3584"/>
      <c r="H75" s="3584"/>
      <c r="I75" s="3584"/>
      <c r="J75" s="3584"/>
      <c r="K75" s="3584"/>
      <c r="L75" s="3584"/>
      <c r="M75" s="3584"/>
      <c r="N75" s="3584"/>
      <c r="O75" s="3584"/>
      <c r="P75" s="3584"/>
      <c r="Q75" s="3585"/>
      <c r="R75" s="3583"/>
      <c r="S75" s="3584"/>
      <c r="T75" s="3584"/>
      <c r="U75" s="3584"/>
      <c r="V75" s="3584"/>
      <c r="W75" s="3583"/>
      <c r="X75" s="3584"/>
      <c r="Y75" s="3584"/>
      <c r="Z75" s="3584"/>
      <c r="AA75" s="3584"/>
      <c r="AB75" s="3584"/>
      <c r="AC75" s="3584"/>
      <c r="AD75" s="3585"/>
      <c r="AE75" s="3717"/>
      <c r="AF75" s="3718"/>
      <c r="AG75" s="3718"/>
      <c r="AH75" s="3718"/>
      <c r="AI75" s="3718"/>
      <c r="AJ75" s="3718"/>
      <c r="AK75" s="3718"/>
      <c r="AL75" s="3718"/>
      <c r="AM75" s="3718"/>
      <c r="AN75" s="3718"/>
      <c r="AO75" s="3718"/>
      <c r="AP75" s="3718"/>
      <c r="AQ75" s="3718"/>
      <c r="AR75" s="3718"/>
      <c r="AS75" s="3718"/>
      <c r="AT75" s="3718"/>
      <c r="AU75" s="3718"/>
      <c r="AV75" s="3718"/>
      <c r="AW75" s="3718"/>
      <c r="AX75" s="3718"/>
      <c r="AY75" s="3718"/>
      <c r="AZ75" s="3632" t="s">
        <v>276</v>
      </c>
      <c r="BA75" s="3633"/>
      <c r="BB75" s="3633"/>
      <c r="BC75" s="3633"/>
      <c r="BD75" s="3633"/>
      <c r="BE75" s="3633"/>
      <c r="BF75" s="3633"/>
      <c r="BG75" s="3633"/>
      <c r="BH75" s="3633"/>
      <c r="BI75" s="3633"/>
      <c r="BJ75" s="3633"/>
      <c r="BK75" s="3633"/>
      <c r="BL75" s="3634"/>
      <c r="BM75" s="3656"/>
      <c r="BN75" s="3657"/>
      <c r="BO75" s="3657"/>
      <c r="BP75" s="3657"/>
      <c r="BQ75" s="3657"/>
      <c r="BR75" s="3657"/>
      <c r="BS75" s="3657"/>
      <c r="BT75" s="3657"/>
      <c r="BU75" s="3657"/>
      <c r="BV75" s="3657"/>
      <c r="BW75" s="3657"/>
      <c r="BX75" s="3657"/>
      <c r="BY75" s="3657"/>
      <c r="BZ75" s="3657"/>
      <c r="CA75" s="3657"/>
      <c r="CB75" s="3657"/>
      <c r="CC75" s="3658"/>
      <c r="CD75" s="3662"/>
      <c r="CE75" s="3663"/>
      <c r="CF75" s="3663"/>
      <c r="CG75" s="3663"/>
      <c r="CH75" s="3663"/>
      <c r="CI75" s="3663"/>
      <c r="CJ75" s="3663"/>
      <c r="CK75" s="3663"/>
      <c r="CL75" s="3663"/>
      <c r="CM75" s="3663"/>
      <c r="CN75" s="3663"/>
      <c r="CO75" s="3663"/>
      <c r="CP75" s="3663"/>
      <c r="CQ75" s="3663"/>
      <c r="CR75" s="3663"/>
      <c r="CS75" s="3663"/>
      <c r="CT75" s="3664"/>
      <c r="CU75" s="3656"/>
      <c r="CV75" s="3657"/>
      <c r="CW75" s="3657"/>
      <c r="CX75" s="3657"/>
      <c r="CY75" s="3657"/>
      <c r="CZ75" s="3657"/>
      <c r="DA75" s="3657"/>
      <c r="DB75" s="3657"/>
      <c r="DC75" s="3657"/>
      <c r="DD75" s="3657"/>
      <c r="DE75" s="3657"/>
      <c r="DF75" s="3657"/>
      <c r="DG75" s="3657"/>
      <c r="DH75" s="3657"/>
      <c r="DI75" s="3657"/>
      <c r="DJ75" s="3657"/>
      <c r="DK75" s="3705"/>
      <c r="DL75" s="128"/>
    </row>
    <row r="76" spans="1:124" ht="6.75" customHeight="1">
      <c r="A76" s="146"/>
      <c r="B76" s="3700" t="s">
        <v>277</v>
      </c>
      <c r="C76" s="3701"/>
      <c r="D76" s="3673" t="s">
        <v>1504</v>
      </c>
      <c r="E76" s="3674"/>
      <c r="F76" s="3674"/>
      <c r="G76" s="3674"/>
      <c r="H76" s="3674"/>
      <c r="I76" s="3674"/>
      <c r="J76" s="3674"/>
      <c r="K76" s="3674"/>
      <c r="L76" s="3674"/>
      <c r="M76" s="3674"/>
      <c r="N76" s="3674"/>
      <c r="O76" s="3674"/>
      <c r="P76" s="3674"/>
      <c r="Q76" s="3677"/>
      <c r="R76" s="3673" t="s">
        <v>157</v>
      </c>
      <c r="S76" s="3674"/>
      <c r="T76" s="3674"/>
      <c r="U76" s="3674"/>
      <c r="V76" s="3674"/>
      <c r="W76" s="3673" t="s">
        <v>1033</v>
      </c>
      <c r="X76" s="3674"/>
      <c r="Y76" s="3674"/>
      <c r="Z76" s="3674"/>
      <c r="AA76" s="3674"/>
      <c r="AB76" s="3674"/>
      <c r="AC76" s="3674"/>
      <c r="AD76" s="3677"/>
      <c r="AE76" s="3665" t="s">
        <v>1501</v>
      </c>
      <c r="AF76" s="3666"/>
      <c r="AG76" s="3666"/>
      <c r="AH76" s="3666"/>
      <c r="AI76" s="3666"/>
      <c r="AJ76" s="3666"/>
      <c r="AK76" s="3666"/>
      <c r="AL76" s="3666"/>
      <c r="AM76" s="3666"/>
      <c r="AN76" s="3666"/>
      <c r="AO76" s="3666"/>
      <c r="AP76" s="3666"/>
      <c r="AQ76" s="3666"/>
      <c r="AR76" s="3666"/>
      <c r="AS76" s="3666"/>
      <c r="AT76" s="3666"/>
      <c r="AU76" s="3666"/>
      <c r="AV76" s="3666"/>
      <c r="AW76" s="3666"/>
      <c r="AX76" s="3666"/>
      <c r="AY76" s="3666"/>
      <c r="AZ76" s="3679" t="s">
        <v>278</v>
      </c>
      <c r="BA76" s="3680"/>
      <c r="BB76" s="3680"/>
      <c r="BC76" s="3680"/>
      <c r="BD76" s="3680"/>
      <c r="BE76" s="3680"/>
      <c r="BF76" s="3680"/>
      <c r="BG76" s="3680"/>
      <c r="BH76" s="3680"/>
      <c r="BI76" s="3680"/>
      <c r="BJ76" s="3680"/>
      <c r="BK76" s="3680"/>
      <c r="BL76" s="3681"/>
      <c r="BM76" s="3665" t="s">
        <v>367</v>
      </c>
      <c r="BN76" s="3666"/>
      <c r="BO76" s="3666"/>
      <c r="BP76" s="3666"/>
      <c r="BQ76" s="3666"/>
      <c r="BR76" s="3666"/>
      <c r="BS76" s="3666"/>
      <c r="BT76" s="3666"/>
      <c r="BU76" s="3666"/>
      <c r="BV76" s="3666"/>
      <c r="BW76" s="3666"/>
      <c r="BX76" s="3666"/>
      <c r="BY76" s="3666"/>
      <c r="BZ76" s="3666"/>
      <c r="CA76" s="3666"/>
      <c r="CB76" s="3666"/>
      <c r="CC76" s="3667"/>
      <c r="CD76" s="3627" t="s">
        <v>1505</v>
      </c>
      <c r="CE76" s="3627"/>
      <c r="CF76" s="3627"/>
      <c r="CG76" s="3627"/>
      <c r="CH76" s="3627"/>
      <c r="CI76" s="3627"/>
      <c r="CJ76" s="3627"/>
      <c r="CK76" s="3627"/>
      <c r="CL76" s="3627"/>
      <c r="CM76" s="3627"/>
      <c r="CN76" s="3627"/>
      <c r="CO76" s="3627"/>
      <c r="CP76" s="3627"/>
      <c r="CQ76" s="3627"/>
      <c r="CR76" s="3627"/>
      <c r="CS76" s="3627"/>
      <c r="CT76" s="3671"/>
      <c r="CU76" s="3626" t="s">
        <v>375</v>
      </c>
      <c r="CV76" s="3627"/>
      <c r="CW76" s="3627"/>
      <c r="CX76" s="3627"/>
      <c r="CY76" s="3627"/>
      <c r="CZ76" s="3627"/>
      <c r="DA76" s="3627"/>
      <c r="DB76" s="3627"/>
      <c r="DC76" s="3627"/>
      <c r="DD76" s="3627"/>
      <c r="DE76" s="3627"/>
      <c r="DF76" s="3627"/>
      <c r="DG76" s="3627"/>
      <c r="DH76" s="3627"/>
      <c r="DI76" s="3627"/>
      <c r="DJ76" s="3627"/>
      <c r="DK76" s="3628"/>
      <c r="DL76" s="153"/>
      <c r="DM76" s="154"/>
      <c r="DN76" s="154"/>
    </row>
    <row r="77" spans="1:124" ht="6.75" customHeight="1" thickBot="1">
      <c r="A77" s="146"/>
      <c r="B77" s="3702"/>
      <c r="C77" s="3703"/>
      <c r="D77" s="3675"/>
      <c r="E77" s="3676"/>
      <c r="F77" s="3676"/>
      <c r="G77" s="3676"/>
      <c r="H77" s="3676"/>
      <c r="I77" s="3676"/>
      <c r="J77" s="3676"/>
      <c r="K77" s="3676"/>
      <c r="L77" s="3676"/>
      <c r="M77" s="3676"/>
      <c r="N77" s="3676"/>
      <c r="O77" s="3676"/>
      <c r="P77" s="3676"/>
      <c r="Q77" s="3678"/>
      <c r="R77" s="3675"/>
      <c r="S77" s="3676"/>
      <c r="T77" s="3676"/>
      <c r="U77" s="3676"/>
      <c r="V77" s="3676"/>
      <c r="W77" s="3675"/>
      <c r="X77" s="3676"/>
      <c r="Y77" s="3676"/>
      <c r="Z77" s="3676"/>
      <c r="AA77" s="3676"/>
      <c r="AB77" s="3676"/>
      <c r="AC77" s="3676"/>
      <c r="AD77" s="3678"/>
      <c r="AE77" s="3668"/>
      <c r="AF77" s="3669"/>
      <c r="AG77" s="3669"/>
      <c r="AH77" s="3669"/>
      <c r="AI77" s="3669"/>
      <c r="AJ77" s="3669"/>
      <c r="AK77" s="3669"/>
      <c r="AL77" s="3669"/>
      <c r="AM77" s="3669"/>
      <c r="AN77" s="3669"/>
      <c r="AO77" s="3669"/>
      <c r="AP77" s="3669"/>
      <c r="AQ77" s="3669"/>
      <c r="AR77" s="3669"/>
      <c r="AS77" s="3669"/>
      <c r="AT77" s="3669"/>
      <c r="AU77" s="3669"/>
      <c r="AV77" s="3669"/>
      <c r="AW77" s="3669"/>
      <c r="AX77" s="3669"/>
      <c r="AY77" s="3669"/>
      <c r="AZ77" s="3682"/>
      <c r="BA77" s="3683"/>
      <c r="BB77" s="3683"/>
      <c r="BC77" s="3683"/>
      <c r="BD77" s="3683"/>
      <c r="BE77" s="3683"/>
      <c r="BF77" s="3683"/>
      <c r="BG77" s="3683"/>
      <c r="BH77" s="3683"/>
      <c r="BI77" s="3683"/>
      <c r="BJ77" s="3683"/>
      <c r="BK77" s="3683"/>
      <c r="BL77" s="3684"/>
      <c r="BM77" s="3668"/>
      <c r="BN77" s="3669"/>
      <c r="BO77" s="3669"/>
      <c r="BP77" s="3669"/>
      <c r="BQ77" s="3669"/>
      <c r="BR77" s="3669"/>
      <c r="BS77" s="3669"/>
      <c r="BT77" s="3669"/>
      <c r="BU77" s="3669"/>
      <c r="BV77" s="3669"/>
      <c r="BW77" s="3669"/>
      <c r="BX77" s="3669"/>
      <c r="BY77" s="3669"/>
      <c r="BZ77" s="3669"/>
      <c r="CA77" s="3669"/>
      <c r="CB77" s="3669"/>
      <c r="CC77" s="3670"/>
      <c r="CD77" s="3630"/>
      <c r="CE77" s="3630"/>
      <c r="CF77" s="3630"/>
      <c r="CG77" s="3630"/>
      <c r="CH77" s="3630"/>
      <c r="CI77" s="3630"/>
      <c r="CJ77" s="3630"/>
      <c r="CK77" s="3630"/>
      <c r="CL77" s="3630"/>
      <c r="CM77" s="3630"/>
      <c r="CN77" s="3630"/>
      <c r="CO77" s="3630"/>
      <c r="CP77" s="3630"/>
      <c r="CQ77" s="3630"/>
      <c r="CR77" s="3630"/>
      <c r="CS77" s="3630"/>
      <c r="CT77" s="3672"/>
      <c r="CU77" s="3629"/>
      <c r="CV77" s="3630"/>
      <c r="CW77" s="3630"/>
      <c r="CX77" s="3630"/>
      <c r="CY77" s="3630"/>
      <c r="CZ77" s="3630"/>
      <c r="DA77" s="3630"/>
      <c r="DB77" s="3630"/>
      <c r="DC77" s="3630"/>
      <c r="DD77" s="3630"/>
      <c r="DE77" s="3630"/>
      <c r="DF77" s="3630"/>
      <c r="DG77" s="3630"/>
      <c r="DH77" s="3630"/>
      <c r="DI77" s="3630"/>
      <c r="DJ77" s="3630"/>
      <c r="DK77" s="3631"/>
      <c r="DL77" s="153"/>
      <c r="DM77" s="154"/>
      <c r="DN77" s="154"/>
    </row>
    <row r="78" spans="1:124" ht="6.75" customHeight="1" thickTop="1">
      <c r="A78" s="146"/>
      <c r="B78" s="3725">
        <v>1</v>
      </c>
      <c r="C78" s="3726"/>
      <c r="D78" s="3635"/>
      <c r="E78" s="3636"/>
      <c r="F78" s="3636"/>
      <c r="G78" s="3636"/>
      <c r="H78" s="3636"/>
      <c r="I78" s="3636"/>
      <c r="J78" s="3636"/>
      <c r="K78" s="3636"/>
      <c r="L78" s="3636"/>
      <c r="M78" s="3636"/>
      <c r="N78" s="3636"/>
      <c r="O78" s="3636"/>
      <c r="P78" s="3636"/>
      <c r="Q78" s="3637"/>
      <c r="R78" s="3635"/>
      <c r="S78" s="3636"/>
      <c r="T78" s="3636"/>
      <c r="U78" s="3636"/>
      <c r="V78" s="3637"/>
      <c r="W78" s="3635"/>
      <c r="X78" s="3636"/>
      <c r="Y78" s="3636"/>
      <c r="Z78" s="3636"/>
      <c r="AA78" s="3636"/>
      <c r="AB78" s="3636"/>
      <c r="AC78" s="3636"/>
      <c r="AD78" s="3637"/>
      <c r="AE78" s="3641"/>
      <c r="AF78" s="3642"/>
      <c r="AG78" s="3642"/>
      <c r="AH78" s="3642"/>
      <c r="AI78" s="3642"/>
      <c r="AJ78" s="3642"/>
      <c r="AK78" s="3642"/>
      <c r="AL78" s="3642"/>
      <c r="AM78" s="3642"/>
      <c r="AN78" s="3642"/>
      <c r="AO78" s="3642"/>
      <c r="AP78" s="3642"/>
      <c r="AQ78" s="3642"/>
      <c r="AR78" s="3642"/>
      <c r="AS78" s="3642"/>
      <c r="AT78" s="3642"/>
      <c r="AU78" s="3642"/>
      <c r="AV78" s="3642"/>
      <c r="AW78" s="3642"/>
      <c r="AX78" s="3642"/>
      <c r="AY78" s="3643"/>
      <c r="AZ78" s="3641"/>
      <c r="BA78" s="3642"/>
      <c r="BB78" s="3642"/>
      <c r="BC78" s="3642"/>
      <c r="BD78" s="3642"/>
      <c r="BE78" s="3642"/>
      <c r="BF78" s="3642"/>
      <c r="BG78" s="3642"/>
      <c r="BH78" s="3642"/>
      <c r="BI78" s="3642"/>
      <c r="BJ78" s="3642"/>
      <c r="BK78" s="3642"/>
      <c r="BL78" s="3643"/>
      <c r="BM78" s="3641"/>
      <c r="BN78" s="3642"/>
      <c r="BO78" s="3642"/>
      <c r="BP78" s="3642"/>
      <c r="BQ78" s="3642"/>
      <c r="BR78" s="3642"/>
      <c r="BS78" s="3642"/>
      <c r="BT78" s="3642"/>
      <c r="BU78" s="3642"/>
      <c r="BV78" s="3642"/>
      <c r="BW78" s="3642"/>
      <c r="BX78" s="3642"/>
      <c r="BY78" s="3642"/>
      <c r="BZ78" s="3642"/>
      <c r="CA78" s="3642"/>
      <c r="CB78" s="3642"/>
      <c r="CC78" s="3643"/>
      <c r="CD78" s="3641"/>
      <c r="CE78" s="3642"/>
      <c r="CF78" s="3642"/>
      <c r="CG78" s="3642"/>
      <c r="CH78" s="3642"/>
      <c r="CI78" s="3642"/>
      <c r="CJ78" s="3642"/>
      <c r="CK78" s="3642"/>
      <c r="CL78" s="3642"/>
      <c r="CM78" s="3642"/>
      <c r="CN78" s="3642"/>
      <c r="CO78" s="3642"/>
      <c r="CP78" s="3642"/>
      <c r="CQ78" s="3642"/>
      <c r="CR78" s="3642"/>
      <c r="CS78" s="3642"/>
      <c r="CT78" s="3643"/>
      <c r="CU78" s="3641"/>
      <c r="CV78" s="3642"/>
      <c r="CW78" s="3642"/>
      <c r="CX78" s="3642"/>
      <c r="CY78" s="3642"/>
      <c r="CZ78" s="3642"/>
      <c r="DA78" s="3642"/>
      <c r="DB78" s="3642"/>
      <c r="DC78" s="3642"/>
      <c r="DD78" s="3642"/>
      <c r="DE78" s="3642"/>
      <c r="DF78" s="3642"/>
      <c r="DG78" s="3642"/>
      <c r="DH78" s="3642"/>
      <c r="DI78" s="3642"/>
      <c r="DJ78" s="3642"/>
      <c r="DK78" s="3647"/>
      <c r="DL78" s="153"/>
      <c r="DM78" s="154"/>
      <c r="DN78" s="154"/>
    </row>
    <row r="79" spans="1:124" ht="6.75" customHeight="1">
      <c r="A79" s="146"/>
      <c r="B79" s="3607"/>
      <c r="C79" s="3608"/>
      <c r="D79" s="3638"/>
      <c r="E79" s="3639"/>
      <c r="F79" s="3639"/>
      <c r="G79" s="3639"/>
      <c r="H79" s="3639"/>
      <c r="I79" s="3639"/>
      <c r="J79" s="3639"/>
      <c r="K79" s="3639"/>
      <c r="L79" s="3639"/>
      <c r="M79" s="3639"/>
      <c r="N79" s="3639"/>
      <c r="O79" s="3639"/>
      <c r="P79" s="3639"/>
      <c r="Q79" s="3640"/>
      <c r="R79" s="3611"/>
      <c r="S79" s="3612"/>
      <c r="T79" s="3612"/>
      <c r="U79" s="3612"/>
      <c r="V79" s="3613"/>
      <c r="W79" s="3638"/>
      <c r="X79" s="3639"/>
      <c r="Y79" s="3639"/>
      <c r="Z79" s="3639"/>
      <c r="AA79" s="3639"/>
      <c r="AB79" s="3639"/>
      <c r="AC79" s="3639"/>
      <c r="AD79" s="3640"/>
      <c r="AE79" s="3644"/>
      <c r="AF79" s="3645"/>
      <c r="AG79" s="3645"/>
      <c r="AH79" s="3645"/>
      <c r="AI79" s="3645"/>
      <c r="AJ79" s="3645"/>
      <c r="AK79" s="3645"/>
      <c r="AL79" s="3645"/>
      <c r="AM79" s="3645"/>
      <c r="AN79" s="3645"/>
      <c r="AO79" s="3645"/>
      <c r="AP79" s="3645"/>
      <c r="AQ79" s="3645"/>
      <c r="AR79" s="3645"/>
      <c r="AS79" s="3645"/>
      <c r="AT79" s="3645"/>
      <c r="AU79" s="3645"/>
      <c r="AV79" s="3645"/>
      <c r="AW79" s="3645"/>
      <c r="AX79" s="3645"/>
      <c r="AY79" s="3646"/>
      <c r="AZ79" s="3644"/>
      <c r="BA79" s="3645"/>
      <c r="BB79" s="3645"/>
      <c r="BC79" s="3645"/>
      <c r="BD79" s="3645"/>
      <c r="BE79" s="3645"/>
      <c r="BF79" s="3645"/>
      <c r="BG79" s="3645"/>
      <c r="BH79" s="3645"/>
      <c r="BI79" s="3645"/>
      <c r="BJ79" s="3645"/>
      <c r="BK79" s="3645"/>
      <c r="BL79" s="3646"/>
      <c r="BM79" s="3644"/>
      <c r="BN79" s="3645"/>
      <c r="BO79" s="3645"/>
      <c r="BP79" s="3645"/>
      <c r="BQ79" s="3645"/>
      <c r="BR79" s="3645"/>
      <c r="BS79" s="3645"/>
      <c r="BT79" s="3645"/>
      <c r="BU79" s="3645"/>
      <c r="BV79" s="3645"/>
      <c r="BW79" s="3645"/>
      <c r="BX79" s="3645"/>
      <c r="BY79" s="3645"/>
      <c r="BZ79" s="3645"/>
      <c r="CA79" s="3645"/>
      <c r="CB79" s="3645"/>
      <c r="CC79" s="3646"/>
      <c r="CD79" s="3644"/>
      <c r="CE79" s="3645"/>
      <c r="CF79" s="3645"/>
      <c r="CG79" s="3645"/>
      <c r="CH79" s="3645"/>
      <c r="CI79" s="3645"/>
      <c r="CJ79" s="3645"/>
      <c r="CK79" s="3645"/>
      <c r="CL79" s="3645"/>
      <c r="CM79" s="3645"/>
      <c r="CN79" s="3645"/>
      <c r="CO79" s="3645"/>
      <c r="CP79" s="3645"/>
      <c r="CQ79" s="3645"/>
      <c r="CR79" s="3645"/>
      <c r="CS79" s="3645"/>
      <c r="CT79" s="3646"/>
      <c r="CU79" s="3644"/>
      <c r="CV79" s="3645"/>
      <c r="CW79" s="3645"/>
      <c r="CX79" s="3645"/>
      <c r="CY79" s="3645"/>
      <c r="CZ79" s="3645"/>
      <c r="DA79" s="3645"/>
      <c r="DB79" s="3645"/>
      <c r="DC79" s="3645"/>
      <c r="DD79" s="3645"/>
      <c r="DE79" s="3645"/>
      <c r="DF79" s="3645"/>
      <c r="DG79" s="3645"/>
      <c r="DH79" s="3645"/>
      <c r="DI79" s="3645"/>
      <c r="DJ79" s="3645"/>
      <c r="DK79" s="3648"/>
      <c r="DL79" s="153"/>
      <c r="DM79" s="154"/>
      <c r="DN79" s="154"/>
    </row>
    <row r="80" spans="1:124" ht="6.75" customHeight="1">
      <c r="A80" s="146"/>
      <c r="B80" s="3607">
        <v>2</v>
      </c>
      <c r="C80" s="3608"/>
      <c r="D80" s="3650"/>
      <c r="E80" s="3651"/>
      <c r="F80" s="3651"/>
      <c r="G80" s="3651"/>
      <c r="H80" s="3651"/>
      <c r="I80" s="3651"/>
      <c r="J80" s="3651"/>
      <c r="K80" s="3651"/>
      <c r="L80" s="3651"/>
      <c r="M80" s="3651"/>
      <c r="N80" s="3651"/>
      <c r="O80" s="3651"/>
      <c r="P80" s="3651"/>
      <c r="Q80" s="3652"/>
      <c r="R80" s="3611"/>
      <c r="S80" s="3612"/>
      <c r="T80" s="3612"/>
      <c r="U80" s="3612"/>
      <c r="V80" s="3613"/>
      <c r="W80" s="3650"/>
      <c r="X80" s="3651"/>
      <c r="Y80" s="3651"/>
      <c r="Z80" s="3651"/>
      <c r="AA80" s="3651"/>
      <c r="AB80" s="3651"/>
      <c r="AC80" s="3651"/>
      <c r="AD80" s="3652"/>
      <c r="AE80" s="3557"/>
      <c r="AF80" s="3558"/>
      <c r="AG80" s="3558"/>
      <c r="AH80" s="3558"/>
      <c r="AI80" s="3558"/>
      <c r="AJ80" s="3558"/>
      <c r="AK80" s="3558"/>
      <c r="AL80" s="3558"/>
      <c r="AM80" s="3558"/>
      <c r="AN80" s="3558"/>
      <c r="AO80" s="3558"/>
      <c r="AP80" s="3558"/>
      <c r="AQ80" s="3558"/>
      <c r="AR80" s="3558"/>
      <c r="AS80" s="3558"/>
      <c r="AT80" s="3558"/>
      <c r="AU80" s="3558"/>
      <c r="AV80" s="3558"/>
      <c r="AW80" s="3558"/>
      <c r="AX80" s="3558"/>
      <c r="AY80" s="3559"/>
      <c r="AZ80" s="3557"/>
      <c r="BA80" s="3558"/>
      <c r="BB80" s="3558"/>
      <c r="BC80" s="3558"/>
      <c r="BD80" s="3558"/>
      <c r="BE80" s="3558"/>
      <c r="BF80" s="3558"/>
      <c r="BG80" s="3558"/>
      <c r="BH80" s="3558"/>
      <c r="BI80" s="3558"/>
      <c r="BJ80" s="3558"/>
      <c r="BK80" s="3558"/>
      <c r="BL80" s="3559"/>
      <c r="BM80" s="3557"/>
      <c r="BN80" s="3558"/>
      <c r="BO80" s="3558"/>
      <c r="BP80" s="3558"/>
      <c r="BQ80" s="3558"/>
      <c r="BR80" s="3558"/>
      <c r="BS80" s="3558"/>
      <c r="BT80" s="3558"/>
      <c r="BU80" s="3558"/>
      <c r="BV80" s="3558"/>
      <c r="BW80" s="3558"/>
      <c r="BX80" s="3558"/>
      <c r="BY80" s="3558"/>
      <c r="BZ80" s="3558"/>
      <c r="CA80" s="3558"/>
      <c r="CB80" s="3558"/>
      <c r="CC80" s="3559"/>
      <c r="CD80" s="3557"/>
      <c r="CE80" s="3558"/>
      <c r="CF80" s="3558"/>
      <c r="CG80" s="3558"/>
      <c r="CH80" s="3558"/>
      <c r="CI80" s="3558"/>
      <c r="CJ80" s="3558"/>
      <c r="CK80" s="3558"/>
      <c r="CL80" s="3558"/>
      <c r="CM80" s="3558"/>
      <c r="CN80" s="3558"/>
      <c r="CO80" s="3558"/>
      <c r="CP80" s="3558"/>
      <c r="CQ80" s="3558"/>
      <c r="CR80" s="3558"/>
      <c r="CS80" s="3558"/>
      <c r="CT80" s="3559"/>
      <c r="CU80" s="3557"/>
      <c r="CV80" s="3558"/>
      <c r="CW80" s="3558"/>
      <c r="CX80" s="3558"/>
      <c r="CY80" s="3558"/>
      <c r="CZ80" s="3558"/>
      <c r="DA80" s="3558"/>
      <c r="DB80" s="3558"/>
      <c r="DC80" s="3558"/>
      <c r="DD80" s="3558"/>
      <c r="DE80" s="3558"/>
      <c r="DF80" s="3558"/>
      <c r="DG80" s="3558"/>
      <c r="DH80" s="3558"/>
      <c r="DI80" s="3558"/>
      <c r="DJ80" s="3558"/>
      <c r="DK80" s="3649"/>
      <c r="DL80" s="153"/>
      <c r="DM80" s="154"/>
      <c r="DN80" s="154"/>
    </row>
    <row r="81" spans="1:143" ht="6.75" customHeight="1">
      <c r="A81" s="146"/>
      <c r="B81" s="3607"/>
      <c r="C81" s="3608"/>
      <c r="D81" s="3638"/>
      <c r="E81" s="3639"/>
      <c r="F81" s="3639"/>
      <c r="G81" s="3639"/>
      <c r="H81" s="3639"/>
      <c r="I81" s="3639"/>
      <c r="J81" s="3639"/>
      <c r="K81" s="3639"/>
      <c r="L81" s="3639"/>
      <c r="M81" s="3639"/>
      <c r="N81" s="3639"/>
      <c r="O81" s="3639"/>
      <c r="P81" s="3639"/>
      <c r="Q81" s="3640"/>
      <c r="R81" s="3611"/>
      <c r="S81" s="3612"/>
      <c r="T81" s="3612"/>
      <c r="U81" s="3612"/>
      <c r="V81" s="3613"/>
      <c r="W81" s="3638"/>
      <c r="X81" s="3639"/>
      <c r="Y81" s="3639"/>
      <c r="Z81" s="3639"/>
      <c r="AA81" s="3639"/>
      <c r="AB81" s="3639"/>
      <c r="AC81" s="3639"/>
      <c r="AD81" s="3640"/>
      <c r="AE81" s="3644"/>
      <c r="AF81" s="3645"/>
      <c r="AG81" s="3645"/>
      <c r="AH81" s="3645"/>
      <c r="AI81" s="3645"/>
      <c r="AJ81" s="3645"/>
      <c r="AK81" s="3645"/>
      <c r="AL81" s="3645"/>
      <c r="AM81" s="3645"/>
      <c r="AN81" s="3645"/>
      <c r="AO81" s="3645"/>
      <c r="AP81" s="3645"/>
      <c r="AQ81" s="3645"/>
      <c r="AR81" s="3645"/>
      <c r="AS81" s="3645"/>
      <c r="AT81" s="3645"/>
      <c r="AU81" s="3645"/>
      <c r="AV81" s="3645"/>
      <c r="AW81" s="3645"/>
      <c r="AX81" s="3645"/>
      <c r="AY81" s="3646"/>
      <c r="AZ81" s="3644"/>
      <c r="BA81" s="3645"/>
      <c r="BB81" s="3645"/>
      <c r="BC81" s="3645"/>
      <c r="BD81" s="3645"/>
      <c r="BE81" s="3645"/>
      <c r="BF81" s="3645"/>
      <c r="BG81" s="3645"/>
      <c r="BH81" s="3645"/>
      <c r="BI81" s="3645"/>
      <c r="BJ81" s="3645"/>
      <c r="BK81" s="3645"/>
      <c r="BL81" s="3646"/>
      <c r="BM81" s="3644"/>
      <c r="BN81" s="3645"/>
      <c r="BO81" s="3645"/>
      <c r="BP81" s="3645"/>
      <c r="BQ81" s="3645"/>
      <c r="BR81" s="3645"/>
      <c r="BS81" s="3645"/>
      <c r="BT81" s="3645"/>
      <c r="BU81" s="3645"/>
      <c r="BV81" s="3645"/>
      <c r="BW81" s="3645"/>
      <c r="BX81" s="3645"/>
      <c r="BY81" s="3645"/>
      <c r="BZ81" s="3645"/>
      <c r="CA81" s="3645"/>
      <c r="CB81" s="3645"/>
      <c r="CC81" s="3646"/>
      <c r="CD81" s="3644"/>
      <c r="CE81" s="3645"/>
      <c r="CF81" s="3645"/>
      <c r="CG81" s="3645"/>
      <c r="CH81" s="3645"/>
      <c r="CI81" s="3645"/>
      <c r="CJ81" s="3645"/>
      <c r="CK81" s="3645"/>
      <c r="CL81" s="3645"/>
      <c r="CM81" s="3645"/>
      <c r="CN81" s="3645"/>
      <c r="CO81" s="3645"/>
      <c r="CP81" s="3645"/>
      <c r="CQ81" s="3645"/>
      <c r="CR81" s="3645"/>
      <c r="CS81" s="3645"/>
      <c r="CT81" s="3646"/>
      <c r="CU81" s="3644"/>
      <c r="CV81" s="3645"/>
      <c r="CW81" s="3645"/>
      <c r="CX81" s="3645"/>
      <c r="CY81" s="3645"/>
      <c r="CZ81" s="3645"/>
      <c r="DA81" s="3645"/>
      <c r="DB81" s="3645"/>
      <c r="DC81" s="3645"/>
      <c r="DD81" s="3645"/>
      <c r="DE81" s="3645"/>
      <c r="DF81" s="3645"/>
      <c r="DG81" s="3645"/>
      <c r="DH81" s="3645"/>
      <c r="DI81" s="3645"/>
      <c r="DJ81" s="3645"/>
      <c r="DK81" s="3648"/>
      <c r="DL81" s="153"/>
      <c r="DM81" s="154"/>
      <c r="DN81" s="154"/>
    </row>
    <row r="82" spans="1:143" ht="6.75" customHeight="1">
      <c r="A82" s="146"/>
      <c r="B82" s="3607">
        <v>3</v>
      </c>
      <c r="C82" s="3608"/>
      <c r="D82" s="3650"/>
      <c r="E82" s="3651"/>
      <c r="F82" s="3651"/>
      <c r="G82" s="3651"/>
      <c r="H82" s="3651"/>
      <c r="I82" s="3651"/>
      <c r="J82" s="3651"/>
      <c r="K82" s="3651"/>
      <c r="L82" s="3651"/>
      <c r="M82" s="3651"/>
      <c r="N82" s="3651"/>
      <c r="O82" s="3651"/>
      <c r="P82" s="3651"/>
      <c r="Q82" s="3652"/>
      <c r="R82" s="3611"/>
      <c r="S82" s="3612"/>
      <c r="T82" s="3612"/>
      <c r="U82" s="3612"/>
      <c r="V82" s="3613"/>
      <c r="W82" s="3650"/>
      <c r="X82" s="3651"/>
      <c r="Y82" s="3651"/>
      <c r="Z82" s="3651"/>
      <c r="AA82" s="3651"/>
      <c r="AB82" s="3651"/>
      <c r="AC82" s="3651"/>
      <c r="AD82" s="3652"/>
      <c r="AE82" s="3557"/>
      <c r="AF82" s="3558"/>
      <c r="AG82" s="3558"/>
      <c r="AH82" s="3558"/>
      <c r="AI82" s="3558"/>
      <c r="AJ82" s="3558"/>
      <c r="AK82" s="3558"/>
      <c r="AL82" s="3558"/>
      <c r="AM82" s="3558"/>
      <c r="AN82" s="3558"/>
      <c r="AO82" s="3558"/>
      <c r="AP82" s="3558"/>
      <c r="AQ82" s="3558"/>
      <c r="AR82" s="3558"/>
      <c r="AS82" s="3558"/>
      <c r="AT82" s="3558"/>
      <c r="AU82" s="3558"/>
      <c r="AV82" s="3558"/>
      <c r="AW82" s="3558"/>
      <c r="AX82" s="3558"/>
      <c r="AY82" s="3559"/>
      <c r="AZ82" s="3557"/>
      <c r="BA82" s="3558"/>
      <c r="BB82" s="3558"/>
      <c r="BC82" s="3558"/>
      <c r="BD82" s="3558"/>
      <c r="BE82" s="3558"/>
      <c r="BF82" s="3558"/>
      <c r="BG82" s="3558"/>
      <c r="BH82" s="3558"/>
      <c r="BI82" s="3558"/>
      <c r="BJ82" s="3558"/>
      <c r="BK82" s="3558"/>
      <c r="BL82" s="3559"/>
      <c r="BM82" s="3557"/>
      <c r="BN82" s="3558"/>
      <c r="BO82" s="3558"/>
      <c r="BP82" s="3558"/>
      <c r="BQ82" s="3558"/>
      <c r="BR82" s="3558"/>
      <c r="BS82" s="3558"/>
      <c r="BT82" s="3558"/>
      <c r="BU82" s="3558"/>
      <c r="BV82" s="3558"/>
      <c r="BW82" s="3558"/>
      <c r="BX82" s="3558"/>
      <c r="BY82" s="3558"/>
      <c r="BZ82" s="3558"/>
      <c r="CA82" s="3558"/>
      <c r="CB82" s="3558"/>
      <c r="CC82" s="3559"/>
      <c r="CD82" s="3557"/>
      <c r="CE82" s="3558"/>
      <c r="CF82" s="3558"/>
      <c r="CG82" s="3558"/>
      <c r="CH82" s="3558"/>
      <c r="CI82" s="3558"/>
      <c r="CJ82" s="3558"/>
      <c r="CK82" s="3558"/>
      <c r="CL82" s="3558"/>
      <c r="CM82" s="3558"/>
      <c r="CN82" s="3558"/>
      <c r="CO82" s="3558"/>
      <c r="CP82" s="3558"/>
      <c r="CQ82" s="3558"/>
      <c r="CR82" s="3558"/>
      <c r="CS82" s="3558"/>
      <c r="CT82" s="3559"/>
      <c r="CU82" s="3557"/>
      <c r="CV82" s="3558"/>
      <c r="CW82" s="3558"/>
      <c r="CX82" s="3558"/>
      <c r="CY82" s="3558"/>
      <c r="CZ82" s="3558"/>
      <c r="DA82" s="3558"/>
      <c r="DB82" s="3558"/>
      <c r="DC82" s="3558"/>
      <c r="DD82" s="3558"/>
      <c r="DE82" s="3558"/>
      <c r="DF82" s="3558"/>
      <c r="DG82" s="3558"/>
      <c r="DH82" s="3558"/>
      <c r="DI82" s="3558"/>
      <c r="DJ82" s="3558"/>
      <c r="DK82" s="3649"/>
      <c r="DL82" s="153"/>
      <c r="DM82" s="154"/>
      <c r="DN82" s="154"/>
    </row>
    <row r="83" spans="1:143" ht="6.75" customHeight="1">
      <c r="A83" s="146"/>
      <c r="B83" s="3607"/>
      <c r="C83" s="3608"/>
      <c r="D83" s="3638"/>
      <c r="E83" s="3639"/>
      <c r="F83" s="3639"/>
      <c r="G83" s="3639"/>
      <c r="H83" s="3639"/>
      <c r="I83" s="3639"/>
      <c r="J83" s="3639"/>
      <c r="K83" s="3639"/>
      <c r="L83" s="3639"/>
      <c r="M83" s="3639"/>
      <c r="N83" s="3639"/>
      <c r="O83" s="3639"/>
      <c r="P83" s="3639"/>
      <c r="Q83" s="3640"/>
      <c r="R83" s="3611"/>
      <c r="S83" s="3612"/>
      <c r="T83" s="3612"/>
      <c r="U83" s="3612"/>
      <c r="V83" s="3613"/>
      <c r="W83" s="3638"/>
      <c r="X83" s="3639"/>
      <c r="Y83" s="3639"/>
      <c r="Z83" s="3639"/>
      <c r="AA83" s="3639"/>
      <c r="AB83" s="3639"/>
      <c r="AC83" s="3639"/>
      <c r="AD83" s="3640"/>
      <c r="AE83" s="3644"/>
      <c r="AF83" s="3645"/>
      <c r="AG83" s="3645"/>
      <c r="AH83" s="3645"/>
      <c r="AI83" s="3645"/>
      <c r="AJ83" s="3645"/>
      <c r="AK83" s="3645"/>
      <c r="AL83" s="3645"/>
      <c r="AM83" s="3645"/>
      <c r="AN83" s="3645"/>
      <c r="AO83" s="3645"/>
      <c r="AP83" s="3645"/>
      <c r="AQ83" s="3645"/>
      <c r="AR83" s="3645"/>
      <c r="AS83" s="3645"/>
      <c r="AT83" s="3645"/>
      <c r="AU83" s="3645"/>
      <c r="AV83" s="3645"/>
      <c r="AW83" s="3645"/>
      <c r="AX83" s="3645"/>
      <c r="AY83" s="3646"/>
      <c r="AZ83" s="3644"/>
      <c r="BA83" s="3645"/>
      <c r="BB83" s="3645"/>
      <c r="BC83" s="3645"/>
      <c r="BD83" s="3645"/>
      <c r="BE83" s="3645"/>
      <c r="BF83" s="3645"/>
      <c r="BG83" s="3645"/>
      <c r="BH83" s="3645"/>
      <c r="BI83" s="3645"/>
      <c r="BJ83" s="3645"/>
      <c r="BK83" s="3645"/>
      <c r="BL83" s="3646"/>
      <c r="BM83" s="3644"/>
      <c r="BN83" s="3645"/>
      <c r="BO83" s="3645"/>
      <c r="BP83" s="3645"/>
      <c r="BQ83" s="3645"/>
      <c r="BR83" s="3645"/>
      <c r="BS83" s="3645"/>
      <c r="BT83" s="3645"/>
      <c r="BU83" s="3645"/>
      <c r="BV83" s="3645"/>
      <c r="BW83" s="3645"/>
      <c r="BX83" s="3645"/>
      <c r="BY83" s="3645"/>
      <c r="BZ83" s="3645"/>
      <c r="CA83" s="3645"/>
      <c r="CB83" s="3645"/>
      <c r="CC83" s="3646"/>
      <c r="CD83" s="3644"/>
      <c r="CE83" s="3645"/>
      <c r="CF83" s="3645"/>
      <c r="CG83" s="3645"/>
      <c r="CH83" s="3645"/>
      <c r="CI83" s="3645"/>
      <c r="CJ83" s="3645"/>
      <c r="CK83" s="3645"/>
      <c r="CL83" s="3645"/>
      <c r="CM83" s="3645"/>
      <c r="CN83" s="3645"/>
      <c r="CO83" s="3645"/>
      <c r="CP83" s="3645"/>
      <c r="CQ83" s="3645"/>
      <c r="CR83" s="3645"/>
      <c r="CS83" s="3645"/>
      <c r="CT83" s="3646"/>
      <c r="CU83" s="3644"/>
      <c r="CV83" s="3645"/>
      <c r="CW83" s="3645"/>
      <c r="CX83" s="3645"/>
      <c r="CY83" s="3645"/>
      <c r="CZ83" s="3645"/>
      <c r="DA83" s="3645"/>
      <c r="DB83" s="3645"/>
      <c r="DC83" s="3645"/>
      <c r="DD83" s="3645"/>
      <c r="DE83" s="3645"/>
      <c r="DF83" s="3645"/>
      <c r="DG83" s="3645"/>
      <c r="DH83" s="3645"/>
      <c r="DI83" s="3645"/>
      <c r="DJ83" s="3645"/>
      <c r="DK83" s="3648"/>
      <c r="DL83" s="153"/>
      <c r="DM83" s="154"/>
      <c r="DN83" s="154"/>
    </row>
    <row r="84" spans="1:143" ht="6.75" customHeight="1">
      <c r="A84" s="146"/>
      <c r="B84" s="3607">
        <v>4</v>
      </c>
      <c r="C84" s="3608"/>
      <c r="D84" s="3650"/>
      <c r="E84" s="3651"/>
      <c r="F84" s="3651"/>
      <c r="G84" s="3651"/>
      <c r="H84" s="3651"/>
      <c r="I84" s="3651"/>
      <c r="J84" s="3651"/>
      <c r="K84" s="3651"/>
      <c r="L84" s="3651"/>
      <c r="M84" s="3651"/>
      <c r="N84" s="3651"/>
      <c r="O84" s="3651"/>
      <c r="P84" s="3651"/>
      <c r="Q84" s="3652"/>
      <c r="R84" s="3611"/>
      <c r="S84" s="3612"/>
      <c r="T84" s="3612"/>
      <c r="U84" s="3612"/>
      <c r="V84" s="3613"/>
      <c r="W84" s="3650"/>
      <c r="X84" s="3651"/>
      <c r="Y84" s="3651"/>
      <c r="Z84" s="3651"/>
      <c r="AA84" s="3651"/>
      <c r="AB84" s="3651"/>
      <c r="AC84" s="3651"/>
      <c r="AD84" s="3652"/>
      <c r="AE84" s="3557"/>
      <c r="AF84" s="3558"/>
      <c r="AG84" s="3558"/>
      <c r="AH84" s="3558"/>
      <c r="AI84" s="3558"/>
      <c r="AJ84" s="3558"/>
      <c r="AK84" s="3558"/>
      <c r="AL84" s="3558"/>
      <c r="AM84" s="3558"/>
      <c r="AN84" s="3558"/>
      <c r="AO84" s="3558"/>
      <c r="AP84" s="3558"/>
      <c r="AQ84" s="3558"/>
      <c r="AR84" s="3558"/>
      <c r="AS84" s="3558"/>
      <c r="AT84" s="3558"/>
      <c r="AU84" s="3558"/>
      <c r="AV84" s="3558"/>
      <c r="AW84" s="3558"/>
      <c r="AX84" s="3558"/>
      <c r="AY84" s="3559"/>
      <c r="AZ84" s="3557"/>
      <c r="BA84" s="3558"/>
      <c r="BB84" s="3558"/>
      <c r="BC84" s="3558"/>
      <c r="BD84" s="3558"/>
      <c r="BE84" s="3558"/>
      <c r="BF84" s="3558"/>
      <c r="BG84" s="3558"/>
      <c r="BH84" s="3558"/>
      <c r="BI84" s="3558"/>
      <c r="BJ84" s="3558"/>
      <c r="BK84" s="3558"/>
      <c r="BL84" s="3559"/>
      <c r="BM84" s="3557"/>
      <c r="BN84" s="3558"/>
      <c r="BO84" s="3558"/>
      <c r="BP84" s="3558"/>
      <c r="BQ84" s="3558"/>
      <c r="BR84" s="3558"/>
      <c r="BS84" s="3558"/>
      <c r="BT84" s="3558"/>
      <c r="BU84" s="3558"/>
      <c r="BV84" s="3558"/>
      <c r="BW84" s="3558"/>
      <c r="BX84" s="3558"/>
      <c r="BY84" s="3558"/>
      <c r="BZ84" s="3558"/>
      <c r="CA84" s="3558"/>
      <c r="CB84" s="3558"/>
      <c r="CC84" s="3559"/>
      <c r="CD84" s="3557"/>
      <c r="CE84" s="3558"/>
      <c r="CF84" s="3558"/>
      <c r="CG84" s="3558"/>
      <c r="CH84" s="3558"/>
      <c r="CI84" s="3558"/>
      <c r="CJ84" s="3558"/>
      <c r="CK84" s="3558"/>
      <c r="CL84" s="3558"/>
      <c r="CM84" s="3558"/>
      <c r="CN84" s="3558"/>
      <c r="CO84" s="3558"/>
      <c r="CP84" s="3558"/>
      <c r="CQ84" s="3558"/>
      <c r="CR84" s="3558"/>
      <c r="CS84" s="3558"/>
      <c r="CT84" s="3559"/>
      <c r="CU84" s="3557"/>
      <c r="CV84" s="3558"/>
      <c r="CW84" s="3558"/>
      <c r="CX84" s="3558"/>
      <c r="CY84" s="3558"/>
      <c r="CZ84" s="3558"/>
      <c r="DA84" s="3558"/>
      <c r="DB84" s="3558"/>
      <c r="DC84" s="3558"/>
      <c r="DD84" s="3558"/>
      <c r="DE84" s="3558"/>
      <c r="DF84" s="3558"/>
      <c r="DG84" s="3558"/>
      <c r="DH84" s="3558"/>
      <c r="DI84" s="3558"/>
      <c r="DJ84" s="3558"/>
      <c r="DK84" s="3649"/>
      <c r="DL84" s="153"/>
      <c r="DM84" s="154"/>
      <c r="DN84" s="154"/>
    </row>
    <row r="85" spans="1:143" ht="6.75" customHeight="1">
      <c r="A85" s="146"/>
      <c r="B85" s="3607"/>
      <c r="C85" s="3608"/>
      <c r="D85" s="3638"/>
      <c r="E85" s="3639"/>
      <c r="F85" s="3639"/>
      <c r="G85" s="3639"/>
      <c r="H85" s="3639"/>
      <c r="I85" s="3639"/>
      <c r="J85" s="3639"/>
      <c r="K85" s="3639"/>
      <c r="L85" s="3639"/>
      <c r="M85" s="3639"/>
      <c r="N85" s="3639"/>
      <c r="O85" s="3639"/>
      <c r="P85" s="3639"/>
      <c r="Q85" s="3640"/>
      <c r="R85" s="3611"/>
      <c r="S85" s="3612"/>
      <c r="T85" s="3612"/>
      <c r="U85" s="3612"/>
      <c r="V85" s="3613"/>
      <c r="W85" s="3638"/>
      <c r="X85" s="3639"/>
      <c r="Y85" s="3639"/>
      <c r="Z85" s="3639"/>
      <c r="AA85" s="3639"/>
      <c r="AB85" s="3639"/>
      <c r="AC85" s="3639"/>
      <c r="AD85" s="3640"/>
      <c r="AE85" s="3644"/>
      <c r="AF85" s="3645"/>
      <c r="AG85" s="3645"/>
      <c r="AH85" s="3645"/>
      <c r="AI85" s="3645"/>
      <c r="AJ85" s="3645"/>
      <c r="AK85" s="3645"/>
      <c r="AL85" s="3645"/>
      <c r="AM85" s="3645"/>
      <c r="AN85" s="3645"/>
      <c r="AO85" s="3645"/>
      <c r="AP85" s="3645"/>
      <c r="AQ85" s="3645"/>
      <c r="AR85" s="3645"/>
      <c r="AS85" s="3645"/>
      <c r="AT85" s="3645"/>
      <c r="AU85" s="3645"/>
      <c r="AV85" s="3645"/>
      <c r="AW85" s="3645"/>
      <c r="AX85" s="3645"/>
      <c r="AY85" s="3646"/>
      <c r="AZ85" s="3644"/>
      <c r="BA85" s="3645"/>
      <c r="BB85" s="3645"/>
      <c r="BC85" s="3645"/>
      <c r="BD85" s="3645"/>
      <c r="BE85" s="3645"/>
      <c r="BF85" s="3645"/>
      <c r="BG85" s="3645"/>
      <c r="BH85" s="3645"/>
      <c r="BI85" s="3645"/>
      <c r="BJ85" s="3645"/>
      <c r="BK85" s="3645"/>
      <c r="BL85" s="3646"/>
      <c r="BM85" s="3644"/>
      <c r="BN85" s="3645"/>
      <c r="BO85" s="3645"/>
      <c r="BP85" s="3645"/>
      <c r="BQ85" s="3645"/>
      <c r="BR85" s="3645"/>
      <c r="BS85" s="3645"/>
      <c r="BT85" s="3645"/>
      <c r="BU85" s="3645"/>
      <c r="BV85" s="3645"/>
      <c r="BW85" s="3645"/>
      <c r="BX85" s="3645"/>
      <c r="BY85" s="3645"/>
      <c r="BZ85" s="3645"/>
      <c r="CA85" s="3645"/>
      <c r="CB85" s="3645"/>
      <c r="CC85" s="3646"/>
      <c r="CD85" s="3644"/>
      <c r="CE85" s="3645"/>
      <c r="CF85" s="3645"/>
      <c r="CG85" s="3645"/>
      <c r="CH85" s="3645"/>
      <c r="CI85" s="3645"/>
      <c r="CJ85" s="3645"/>
      <c r="CK85" s="3645"/>
      <c r="CL85" s="3645"/>
      <c r="CM85" s="3645"/>
      <c r="CN85" s="3645"/>
      <c r="CO85" s="3645"/>
      <c r="CP85" s="3645"/>
      <c r="CQ85" s="3645"/>
      <c r="CR85" s="3645"/>
      <c r="CS85" s="3645"/>
      <c r="CT85" s="3646"/>
      <c r="CU85" s="3644"/>
      <c r="CV85" s="3645"/>
      <c r="CW85" s="3645"/>
      <c r="CX85" s="3645"/>
      <c r="CY85" s="3645"/>
      <c r="CZ85" s="3645"/>
      <c r="DA85" s="3645"/>
      <c r="DB85" s="3645"/>
      <c r="DC85" s="3645"/>
      <c r="DD85" s="3645"/>
      <c r="DE85" s="3645"/>
      <c r="DF85" s="3645"/>
      <c r="DG85" s="3645"/>
      <c r="DH85" s="3645"/>
      <c r="DI85" s="3645"/>
      <c r="DJ85" s="3645"/>
      <c r="DK85" s="3648"/>
      <c r="DL85" s="153"/>
      <c r="DM85" s="154"/>
      <c r="DN85" s="154"/>
    </row>
    <row r="86" spans="1:143" ht="6.75" customHeight="1">
      <c r="A86" s="146"/>
      <c r="B86" s="3607">
        <v>5</v>
      </c>
      <c r="C86" s="3608"/>
      <c r="D86" s="3611"/>
      <c r="E86" s="3612"/>
      <c r="F86" s="3612"/>
      <c r="G86" s="3612"/>
      <c r="H86" s="3612"/>
      <c r="I86" s="3612"/>
      <c r="J86" s="3612"/>
      <c r="K86" s="3612"/>
      <c r="L86" s="3612"/>
      <c r="M86" s="3612"/>
      <c r="N86" s="3612"/>
      <c r="O86" s="3612"/>
      <c r="P86" s="3612"/>
      <c r="Q86" s="3613"/>
      <c r="R86" s="3611"/>
      <c r="S86" s="3612"/>
      <c r="T86" s="3612"/>
      <c r="U86" s="3612"/>
      <c r="V86" s="3613"/>
      <c r="W86" s="3650"/>
      <c r="X86" s="3651"/>
      <c r="Y86" s="3651"/>
      <c r="Z86" s="3651"/>
      <c r="AA86" s="3651"/>
      <c r="AB86" s="3651"/>
      <c r="AC86" s="3651"/>
      <c r="AD86" s="3652"/>
      <c r="AE86" s="3557"/>
      <c r="AF86" s="3558"/>
      <c r="AG86" s="3558"/>
      <c r="AH86" s="3558"/>
      <c r="AI86" s="3558"/>
      <c r="AJ86" s="3558"/>
      <c r="AK86" s="3558"/>
      <c r="AL86" s="3558"/>
      <c r="AM86" s="3558"/>
      <c r="AN86" s="3558"/>
      <c r="AO86" s="3558"/>
      <c r="AP86" s="3558"/>
      <c r="AQ86" s="3558"/>
      <c r="AR86" s="3558"/>
      <c r="AS86" s="3558"/>
      <c r="AT86" s="3558"/>
      <c r="AU86" s="3558"/>
      <c r="AV86" s="3558"/>
      <c r="AW86" s="3558"/>
      <c r="AX86" s="3558"/>
      <c r="AY86" s="3559"/>
      <c r="AZ86" s="3557"/>
      <c r="BA86" s="3558"/>
      <c r="BB86" s="3558"/>
      <c r="BC86" s="3558"/>
      <c r="BD86" s="3558"/>
      <c r="BE86" s="3558"/>
      <c r="BF86" s="3558"/>
      <c r="BG86" s="3558"/>
      <c r="BH86" s="3558"/>
      <c r="BI86" s="3558"/>
      <c r="BJ86" s="3558"/>
      <c r="BK86" s="3558"/>
      <c r="BL86" s="3559"/>
      <c r="BM86" s="3557"/>
      <c r="BN86" s="3558"/>
      <c r="BO86" s="3558"/>
      <c r="BP86" s="3558"/>
      <c r="BQ86" s="3558"/>
      <c r="BR86" s="3558"/>
      <c r="BS86" s="3558"/>
      <c r="BT86" s="3558"/>
      <c r="BU86" s="3558"/>
      <c r="BV86" s="3558"/>
      <c r="BW86" s="3558"/>
      <c r="BX86" s="3558"/>
      <c r="BY86" s="3558"/>
      <c r="BZ86" s="3558"/>
      <c r="CA86" s="3558"/>
      <c r="CB86" s="3558"/>
      <c r="CC86" s="3559"/>
      <c r="CD86" s="3557"/>
      <c r="CE86" s="3558"/>
      <c r="CF86" s="3558"/>
      <c r="CG86" s="3558"/>
      <c r="CH86" s="3558"/>
      <c r="CI86" s="3558"/>
      <c r="CJ86" s="3558"/>
      <c r="CK86" s="3558"/>
      <c r="CL86" s="3558"/>
      <c r="CM86" s="3558"/>
      <c r="CN86" s="3558"/>
      <c r="CO86" s="3558"/>
      <c r="CP86" s="3558"/>
      <c r="CQ86" s="3558"/>
      <c r="CR86" s="3558"/>
      <c r="CS86" s="3558"/>
      <c r="CT86" s="3559"/>
      <c r="CU86" s="3557"/>
      <c r="CV86" s="3558"/>
      <c r="CW86" s="3558"/>
      <c r="CX86" s="3558"/>
      <c r="CY86" s="3558"/>
      <c r="CZ86" s="3558"/>
      <c r="DA86" s="3558"/>
      <c r="DB86" s="3558"/>
      <c r="DC86" s="3558"/>
      <c r="DD86" s="3558"/>
      <c r="DE86" s="3558"/>
      <c r="DF86" s="3558"/>
      <c r="DG86" s="3558"/>
      <c r="DH86" s="3558"/>
      <c r="DI86" s="3558"/>
      <c r="DJ86" s="3558"/>
      <c r="DK86" s="3649"/>
      <c r="DL86" s="153"/>
      <c r="DM86" s="154"/>
      <c r="DN86" s="154"/>
    </row>
    <row r="87" spans="1:143" ht="6.75" customHeight="1" thickBot="1">
      <c r="A87" s="146"/>
      <c r="B87" s="3609"/>
      <c r="C87" s="3610"/>
      <c r="D87" s="3614"/>
      <c r="E87" s="3615"/>
      <c r="F87" s="3615"/>
      <c r="G87" s="3615"/>
      <c r="H87" s="3615"/>
      <c r="I87" s="3615"/>
      <c r="J87" s="3615"/>
      <c r="K87" s="3615"/>
      <c r="L87" s="3615"/>
      <c r="M87" s="3615"/>
      <c r="N87" s="3615"/>
      <c r="O87" s="3615"/>
      <c r="P87" s="3615"/>
      <c r="Q87" s="3616"/>
      <c r="R87" s="3614"/>
      <c r="S87" s="3615"/>
      <c r="T87" s="3615"/>
      <c r="U87" s="3615"/>
      <c r="V87" s="3616"/>
      <c r="W87" s="3614"/>
      <c r="X87" s="3615"/>
      <c r="Y87" s="3615"/>
      <c r="Z87" s="3615"/>
      <c r="AA87" s="3615"/>
      <c r="AB87" s="3615"/>
      <c r="AC87" s="3615"/>
      <c r="AD87" s="3616"/>
      <c r="AE87" s="3560"/>
      <c r="AF87" s="3561"/>
      <c r="AG87" s="3561"/>
      <c r="AH87" s="3561"/>
      <c r="AI87" s="3561"/>
      <c r="AJ87" s="3561"/>
      <c r="AK87" s="3561"/>
      <c r="AL87" s="3561"/>
      <c r="AM87" s="3561"/>
      <c r="AN87" s="3561"/>
      <c r="AO87" s="3561"/>
      <c r="AP87" s="3561"/>
      <c r="AQ87" s="3561"/>
      <c r="AR87" s="3561"/>
      <c r="AS87" s="3561"/>
      <c r="AT87" s="3561"/>
      <c r="AU87" s="3561"/>
      <c r="AV87" s="3561"/>
      <c r="AW87" s="3561"/>
      <c r="AX87" s="3561"/>
      <c r="AY87" s="3562"/>
      <c r="AZ87" s="3560"/>
      <c r="BA87" s="3561"/>
      <c r="BB87" s="3561"/>
      <c r="BC87" s="3561"/>
      <c r="BD87" s="3561"/>
      <c r="BE87" s="3561"/>
      <c r="BF87" s="3561"/>
      <c r="BG87" s="3561"/>
      <c r="BH87" s="3561"/>
      <c r="BI87" s="3561"/>
      <c r="BJ87" s="3561"/>
      <c r="BK87" s="3561"/>
      <c r="BL87" s="3562"/>
      <c r="BM87" s="3560"/>
      <c r="BN87" s="3561"/>
      <c r="BO87" s="3561"/>
      <c r="BP87" s="3561"/>
      <c r="BQ87" s="3561"/>
      <c r="BR87" s="3561"/>
      <c r="BS87" s="3561"/>
      <c r="BT87" s="3561"/>
      <c r="BU87" s="3561"/>
      <c r="BV87" s="3561"/>
      <c r="BW87" s="3561"/>
      <c r="BX87" s="3561"/>
      <c r="BY87" s="3561"/>
      <c r="BZ87" s="3561"/>
      <c r="CA87" s="3561"/>
      <c r="CB87" s="3561"/>
      <c r="CC87" s="3562"/>
      <c r="CD87" s="3560"/>
      <c r="CE87" s="3561"/>
      <c r="CF87" s="3561"/>
      <c r="CG87" s="3561"/>
      <c r="CH87" s="3561"/>
      <c r="CI87" s="3561"/>
      <c r="CJ87" s="3561"/>
      <c r="CK87" s="3561"/>
      <c r="CL87" s="3561"/>
      <c r="CM87" s="3561"/>
      <c r="CN87" s="3561"/>
      <c r="CO87" s="3561"/>
      <c r="CP87" s="3561"/>
      <c r="CQ87" s="3561"/>
      <c r="CR87" s="3561"/>
      <c r="CS87" s="3561"/>
      <c r="CT87" s="3562"/>
      <c r="CU87" s="3560"/>
      <c r="CV87" s="3561"/>
      <c r="CW87" s="3561"/>
      <c r="CX87" s="3561"/>
      <c r="CY87" s="3561"/>
      <c r="CZ87" s="3561"/>
      <c r="DA87" s="3561"/>
      <c r="DB87" s="3561"/>
      <c r="DC87" s="3561"/>
      <c r="DD87" s="3561"/>
      <c r="DE87" s="3561"/>
      <c r="DF87" s="3561"/>
      <c r="DG87" s="3561"/>
      <c r="DH87" s="3561"/>
      <c r="DI87" s="3561"/>
      <c r="DJ87" s="3561"/>
      <c r="DK87" s="3727"/>
      <c r="DL87" s="153"/>
      <c r="DM87" s="154"/>
      <c r="DN87" s="154"/>
    </row>
    <row r="88" spans="1:143" ht="6.75" customHeight="1" thickTop="1" thickBot="1">
      <c r="A88" s="146"/>
      <c r="B88" s="149"/>
      <c r="C88" s="149"/>
      <c r="D88" s="149"/>
      <c r="E88" s="149"/>
      <c r="F88" s="149"/>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28"/>
      <c r="DL88" s="128"/>
    </row>
    <row r="89" spans="1:143" ht="6.75" customHeight="1" thickTop="1">
      <c r="A89" s="146"/>
      <c r="B89" s="3563" t="s">
        <v>280</v>
      </c>
      <c r="C89" s="3564"/>
      <c r="D89" s="3564"/>
      <c r="E89" s="3564"/>
      <c r="F89" s="3564"/>
      <c r="G89" s="3564"/>
      <c r="H89" s="3564"/>
      <c r="I89" s="3564"/>
      <c r="J89" s="3564"/>
      <c r="K89" s="3564"/>
      <c r="L89" s="3564"/>
      <c r="M89" s="3564"/>
      <c r="N89" s="3564"/>
      <c r="O89" s="3564"/>
      <c r="P89" s="3564"/>
      <c r="Q89" s="3564"/>
      <c r="R89" s="3564"/>
      <c r="S89" s="3564"/>
      <c r="T89" s="3564"/>
      <c r="U89" s="3564"/>
      <c r="V89" s="3564"/>
      <c r="W89" s="3564"/>
      <c r="X89" s="3564"/>
      <c r="Y89" s="3564"/>
      <c r="Z89" s="3564"/>
      <c r="AA89" s="3564"/>
      <c r="AB89" s="3564"/>
      <c r="AC89" s="3567" t="s">
        <v>281</v>
      </c>
      <c r="AD89" s="3567"/>
      <c r="AE89" s="3567"/>
      <c r="AF89" s="3567"/>
      <c r="AG89" s="3567"/>
      <c r="AH89" s="3567"/>
      <c r="AI89" s="3567"/>
      <c r="AJ89" s="3567"/>
      <c r="AK89" s="3567"/>
      <c r="AL89" s="3567"/>
      <c r="AM89" s="3567"/>
      <c r="AN89" s="3567"/>
      <c r="AO89" s="3567"/>
      <c r="AP89" s="3567"/>
      <c r="AQ89" s="3567"/>
      <c r="AR89" s="3567"/>
      <c r="AS89" s="3567"/>
      <c r="AT89" s="3567"/>
      <c r="AU89" s="3567"/>
      <c r="AV89" s="3567"/>
      <c r="AW89" s="3567"/>
      <c r="AX89" s="3567"/>
      <c r="AY89" s="3567"/>
      <c r="AZ89" s="3567"/>
      <c r="BA89" s="3567"/>
      <c r="BB89" s="3567"/>
      <c r="BC89" s="3567"/>
      <c r="BD89" s="3567"/>
      <c r="BE89" s="3567"/>
      <c r="BF89" s="3567"/>
      <c r="BG89" s="3567"/>
      <c r="BH89" s="3567"/>
      <c r="BI89" s="3567"/>
      <c r="BJ89" s="3567"/>
      <c r="BK89" s="3567"/>
      <c r="BL89" s="3567"/>
      <c r="BM89" s="3567"/>
      <c r="BN89" s="3567"/>
      <c r="BO89" s="3567"/>
      <c r="BP89" s="3567"/>
      <c r="BQ89" s="3567"/>
      <c r="BR89" s="3567"/>
      <c r="BS89" s="3567"/>
      <c r="BT89" s="3567"/>
      <c r="BU89" s="3567"/>
      <c r="BV89" s="3567"/>
      <c r="BW89" s="3567"/>
      <c r="BX89" s="3567"/>
      <c r="BY89" s="3567"/>
      <c r="BZ89" s="3567"/>
      <c r="CA89" s="3567"/>
      <c r="CB89" s="3567"/>
      <c r="CC89" s="3567"/>
      <c r="CD89" s="3567"/>
      <c r="CE89" s="3567"/>
      <c r="CF89" s="3567"/>
      <c r="CG89" s="3567"/>
      <c r="CH89" s="3567"/>
      <c r="CI89" s="3567"/>
      <c r="CJ89" s="3567"/>
      <c r="CK89" s="3567"/>
      <c r="CL89" s="3567"/>
      <c r="CM89" s="3567"/>
      <c r="CN89" s="3567"/>
      <c r="CO89" s="3567"/>
      <c r="CP89" s="3567"/>
      <c r="CQ89" s="3567"/>
      <c r="CR89" s="3567"/>
      <c r="CS89" s="3567"/>
      <c r="CT89" s="3567"/>
      <c r="CU89" s="3567"/>
      <c r="CV89" s="3567"/>
      <c r="CW89" s="3567"/>
      <c r="CX89" s="3567"/>
      <c r="CY89" s="3567"/>
      <c r="CZ89" s="3567"/>
      <c r="DA89" s="3567"/>
      <c r="DB89" s="3567"/>
      <c r="DC89" s="3567"/>
      <c r="DD89" s="3567"/>
      <c r="DE89" s="3567"/>
      <c r="DF89" s="3567"/>
      <c r="DG89" s="3567"/>
      <c r="DH89" s="3567"/>
      <c r="DI89" s="3567"/>
      <c r="DJ89" s="3567"/>
      <c r="DK89" s="3568"/>
      <c r="DL89" s="155"/>
      <c r="DM89" s="156"/>
      <c r="DN89" s="156"/>
      <c r="DO89" s="156"/>
      <c r="DP89" s="156"/>
      <c r="DQ89" s="156"/>
    </row>
    <row r="90" spans="1:143" ht="6.75" customHeight="1" thickBot="1">
      <c r="A90" s="146"/>
      <c r="B90" s="3565"/>
      <c r="C90" s="3566"/>
      <c r="D90" s="3566"/>
      <c r="E90" s="3566"/>
      <c r="F90" s="3566"/>
      <c r="G90" s="3566"/>
      <c r="H90" s="3566"/>
      <c r="I90" s="3566"/>
      <c r="J90" s="3566"/>
      <c r="K90" s="3566"/>
      <c r="L90" s="3566"/>
      <c r="M90" s="3566"/>
      <c r="N90" s="3566"/>
      <c r="O90" s="3566"/>
      <c r="P90" s="3566"/>
      <c r="Q90" s="3566"/>
      <c r="R90" s="3566"/>
      <c r="S90" s="3566"/>
      <c r="T90" s="3566"/>
      <c r="U90" s="3566"/>
      <c r="V90" s="3566"/>
      <c r="W90" s="3566"/>
      <c r="X90" s="3566"/>
      <c r="Y90" s="3566"/>
      <c r="Z90" s="3566"/>
      <c r="AA90" s="3566"/>
      <c r="AB90" s="3566"/>
      <c r="AC90" s="3569"/>
      <c r="AD90" s="3569"/>
      <c r="AE90" s="3569"/>
      <c r="AF90" s="3569"/>
      <c r="AG90" s="3569"/>
      <c r="AH90" s="3569"/>
      <c r="AI90" s="3569"/>
      <c r="AJ90" s="3569"/>
      <c r="AK90" s="3569"/>
      <c r="AL90" s="3569"/>
      <c r="AM90" s="3569"/>
      <c r="AN90" s="3569"/>
      <c r="AO90" s="3569"/>
      <c r="AP90" s="3569"/>
      <c r="AQ90" s="3569"/>
      <c r="AR90" s="3569"/>
      <c r="AS90" s="3569"/>
      <c r="AT90" s="3569"/>
      <c r="AU90" s="3569"/>
      <c r="AV90" s="3569"/>
      <c r="AW90" s="3569"/>
      <c r="AX90" s="3569"/>
      <c r="AY90" s="3569"/>
      <c r="AZ90" s="3569"/>
      <c r="BA90" s="3569"/>
      <c r="BB90" s="3569"/>
      <c r="BC90" s="3569"/>
      <c r="BD90" s="3569"/>
      <c r="BE90" s="3569"/>
      <c r="BF90" s="3569"/>
      <c r="BG90" s="3569"/>
      <c r="BH90" s="3569"/>
      <c r="BI90" s="3569"/>
      <c r="BJ90" s="3569"/>
      <c r="BK90" s="3569"/>
      <c r="BL90" s="3569"/>
      <c r="BM90" s="3569"/>
      <c r="BN90" s="3569"/>
      <c r="BO90" s="3569"/>
      <c r="BP90" s="3569"/>
      <c r="BQ90" s="3569"/>
      <c r="BR90" s="3569"/>
      <c r="BS90" s="3569"/>
      <c r="BT90" s="3569"/>
      <c r="BU90" s="3569"/>
      <c r="BV90" s="3569"/>
      <c r="BW90" s="3569"/>
      <c r="BX90" s="3569"/>
      <c r="BY90" s="3569"/>
      <c r="BZ90" s="3569"/>
      <c r="CA90" s="3569"/>
      <c r="CB90" s="3569"/>
      <c r="CC90" s="3569"/>
      <c r="CD90" s="3569"/>
      <c r="CE90" s="3569"/>
      <c r="CF90" s="3569"/>
      <c r="CG90" s="3569"/>
      <c r="CH90" s="3569"/>
      <c r="CI90" s="3569"/>
      <c r="CJ90" s="3569"/>
      <c r="CK90" s="3569"/>
      <c r="CL90" s="3569"/>
      <c r="CM90" s="3569"/>
      <c r="CN90" s="3569"/>
      <c r="CO90" s="3569"/>
      <c r="CP90" s="3569"/>
      <c r="CQ90" s="3569"/>
      <c r="CR90" s="3569"/>
      <c r="CS90" s="3569"/>
      <c r="CT90" s="3569"/>
      <c r="CU90" s="3569"/>
      <c r="CV90" s="3569"/>
      <c r="CW90" s="3569"/>
      <c r="CX90" s="3569"/>
      <c r="CY90" s="3569"/>
      <c r="CZ90" s="3569"/>
      <c r="DA90" s="3569"/>
      <c r="DB90" s="3569"/>
      <c r="DC90" s="3569"/>
      <c r="DD90" s="3569"/>
      <c r="DE90" s="3569"/>
      <c r="DF90" s="3569"/>
      <c r="DG90" s="3569"/>
      <c r="DH90" s="3569"/>
      <c r="DI90" s="3569"/>
      <c r="DJ90" s="3569"/>
      <c r="DK90" s="3570"/>
      <c r="DL90" s="155"/>
      <c r="DM90" s="156"/>
      <c r="DN90" s="156"/>
      <c r="DO90" s="156"/>
      <c r="DP90" s="156"/>
      <c r="DQ90" s="156"/>
    </row>
    <row r="91" spans="1:143" ht="6.75" customHeight="1">
      <c r="A91" s="146"/>
      <c r="B91" s="3571" t="s">
        <v>282</v>
      </c>
      <c r="C91" s="3572"/>
      <c r="D91" s="3577" t="s">
        <v>283</v>
      </c>
      <c r="E91" s="3578"/>
      <c r="F91" s="3578"/>
      <c r="G91" s="3578"/>
      <c r="H91" s="3578"/>
      <c r="I91" s="3578"/>
      <c r="J91" s="3578"/>
      <c r="K91" s="3579"/>
      <c r="L91" s="3577" t="s">
        <v>284</v>
      </c>
      <c r="M91" s="3578"/>
      <c r="N91" s="3578"/>
      <c r="O91" s="3578"/>
      <c r="P91" s="3578"/>
      <c r="Q91" s="3578"/>
      <c r="R91" s="3578"/>
      <c r="S91" s="3578"/>
      <c r="T91" s="3578"/>
      <c r="U91" s="3578"/>
      <c r="V91" s="3578"/>
      <c r="W91" s="3578"/>
      <c r="X91" s="3578"/>
      <c r="Y91" s="3578"/>
      <c r="Z91" s="3578"/>
      <c r="AA91" s="3578"/>
      <c r="AB91" s="3578"/>
      <c r="AC91" s="3578"/>
      <c r="AD91" s="3578"/>
      <c r="AE91" s="3578"/>
      <c r="AF91" s="3579"/>
      <c r="AG91" s="3586" t="s">
        <v>285</v>
      </c>
      <c r="AH91" s="3587"/>
      <c r="AI91" s="3587"/>
      <c r="AJ91" s="3587"/>
      <c r="AK91" s="3588"/>
      <c r="AL91" s="3586" t="s">
        <v>286</v>
      </c>
      <c r="AM91" s="3587"/>
      <c r="AN91" s="3587"/>
      <c r="AO91" s="3587"/>
      <c r="AP91" s="3587"/>
      <c r="AQ91" s="3587"/>
      <c r="AR91" s="3587"/>
      <c r="AS91" s="3587"/>
      <c r="AT91" s="3587"/>
      <c r="AU91" s="3587"/>
      <c r="AV91" s="3587"/>
      <c r="AW91" s="3587"/>
      <c r="AX91" s="3587"/>
      <c r="AY91" s="3587"/>
      <c r="AZ91" s="3587"/>
      <c r="BA91" s="3587"/>
      <c r="BB91" s="3587"/>
      <c r="BC91" s="3587"/>
      <c r="BD91" s="3587"/>
      <c r="BE91" s="3587"/>
      <c r="BF91" s="3587"/>
      <c r="BG91" s="3587"/>
      <c r="BH91" s="3587"/>
      <c r="BI91" s="3588"/>
      <c r="BJ91" s="3577" t="s">
        <v>287</v>
      </c>
      <c r="BK91" s="3578"/>
      <c r="BL91" s="3578"/>
      <c r="BM91" s="3578"/>
      <c r="BN91" s="3578"/>
      <c r="BO91" s="3579"/>
      <c r="BP91" s="3601" t="s">
        <v>288</v>
      </c>
      <c r="BQ91" s="3602"/>
      <c r="BR91" s="3602"/>
      <c r="BS91" s="3602"/>
      <c r="BT91" s="3602"/>
      <c r="BU91" s="3602"/>
      <c r="BV91" s="3602"/>
      <c r="BW91" s="3602"/>
      <c r="BX91" s="3602"/>
      <c r="BY91" s="3602"/>
      <c r="BZ91" s="3602"/>
      <c r="CA91" s="3602"/>
      <c r="CB91" s="3602"/>
      <c r="CC91" s="3602"/>
      <c r="CD91" s="3602"/>
      <c r="CE91" s="3602"/>
      <c r="CF91" s="3602"/>
      <c r="CG91" s="3603"/>
      <c r="CH91" s="3617" t="s">
        <v>289</v>
      </c>
      <c r="CI91" s="3618"/>
      <c r="CJ91" s="3618"/>
      <c r="CK91" s="3618"/>
      <c r="CL91" s="3619"/>
      <c r="CM91" s="3548" t="s">
        <v>290</v>
      </c>
      <c r="CN91" s="3549"/>
      <c r="CO91" s="3549"/>
      <c r="CP91" s="3549"/>
      <c r="CQ91" s="3549"/>
      <c r="CR91" s="3549"/>
      <c r="CS91" s="3549"/>
      <c r="CT91" s="3549"/>
      <c r="CU91" s="3549"/>
      <c r="CV91" s="3549"/>
      <c r="CW91" s="3549"/>
      <c r="CX91" s="3549"/>
      <c r="CY91" s="3549"/>
      <c r="CZ91" s="3549"/>
      <c r="DA91" s="3549"/>
      <c r="DB91" s="3549"/>
      <c r="DC91" s="3549"/>
      <c r="DD91" s="3549"/>
      <c r="DE91" s="3549"/>
      <c r="DF91" s="3549"/>
      <c r="DG91" s="3549"/>
      <c r="DH91" s="3549"/>
      <c r="DI91" s="3549"/>
      <c r="DJ91" s="3549"/>
      <c r="DK91" s="3550"/>
      <c r="DL91" s="156"/>
      <c r="DM91" s="156"/>
      <c r="DN91" s="156"/>
      <c r="DO91" s="156"/>
      <c r="DP91" s="157"/>
      <c r="DQ91" s="147"/>
    </row>
    <row r="92" spans="1:143" ht="6.75" customHeight="1">
      <c r="A92" s="146"/>
      <c r="B92" s="3573"/>
      <c r="C92" s="3574"/>
      <c r="D92" s="3580"/>
      <c r="E92" s="3581"/>
      <c r="F92" s="3581"/>
      <c r="G92" s="3581"/>
      <c r="H92" s="3581"/>
      <c r="I92" s="3581"/>
      <c r="J92" s="3581"/>
      <c r="K92" s="3582"/>
      <c r="L92" s="3580"/>
      <c r="M92" s="3581"/>
      <c r="N92" s="3581"/>
      <c r="O92" s="3581"/>
      <c r="P92" s="3581"/>
      <c r="Q92" s="3581"/>
      <c r="R92" s="3581"/>
      <c r="S92" s="3581"/>
      <c r="T92" s="3581"/>
      <c r="U92" s="3581"/>
      <c r="V92" s="3581"/>
      <c r="W92" s="3581"/>
      <c r="X92" s="3581"/>
      <c r="Y92" s="3581"/>
      <c r="Z92" s="3581"/>
      <c r="AA92" s="3581"/>
      <c r="AB92" s="3581"/>
      <c r="AC92" s="3581"/>
      <c r="AD92" s="3581"/>
      <c r="AE92" s="3581"/>
      <c r="AF92" s="3582"/>
      <c r="AG92" s="3589"/>
      <c r="AH92" s="3590"/>
      <c r="AI92" s="3590"/>
      <c r="AJ92" s="3590"/>
      <c r="AK92" s="3591"/>
      <c r="AL92" s="3589"/>
      <c r="AM92" s="3590"/>
      <c r="AN92" s="3590"/>
      <c r="AO92" s="3590"/>
      <c r="AP92" s="3590"/>
      <c r="AQ92" s="3590"/>
      <c r="AR92" s="3590"/>
      <c r="AS92" s="3590"/>
      <c r="AT92" s="3590"/>
      <c r="AU92" s="3590"/>
      <c r="AV92" s="3590"/>
      <c r="AW92" s="3590"/>
      <c r="AX92" s="3590"/>
      <c r="AY92" s="3590"/>
      <c r="AZ92" s="3590"/>
      <c r="BA92" s="3590"/>
      <c r="BB92" s="3590"/>
      <c r="BC92" s="3590"/>
      <c r="BD92" s="3590"/>
      <c r="BE92" s="3590"/>
      <c r="BF92" s="3590"/>
      <c r="BG92" s="3590"/>
      <c r="BH92" s="3590"/>
      <c r="BI92" s="3591"/>
      <c r="BJ92" s="3580"/>
      <c r="BK92" s="3581"/>
      <c r="BL92" s="3581"/>
      <c r="BM92" s="3581"/>
      <c r="BN92" s="3581"/>
      <c r="BO92" s="3582"/>
      <c r="BP92" s="3604"/>
      <c r="BQ92" s="3605"/>
      <c r="BR92" s="3605"/>
      <c r="BS92" s="3605"/>
      <c r="BT92" s="3605"/>
      <c r="BU92" s="3605"/>
      <c r="BV92" s="3605"/>
      <c r="BW92" s="3605"/>
      <c r="BX92" s="3605"/>
      <c r="BY92" s="3605"/>
      <c r="BZ92" s="3605"/>
      <c r="CA92" s="3605"/>
      <c r="CB92" s="3605"/>
      <c r="CC92" s="3605"/>
      <c r="CD92" s="3605"/>
      <c r="CE92" s="3605"/>
      <c r="CF92" s="3605"/>
      <c r="CG92" s="3606"/>
      <c r="CH92" s="3620"/>
      <c r="CI92" s="3621"/>
      <c r="CJ92" s="3621"/>
      <c r="CK92" s="3621"/>
      <c r="CL92" s="3622"/>
      <c r="CM92" s="3551"/>
      <c r="CN92" s="3552"/>
      <c r="CO92" s="3552"/>
      <c r="CP92" s="3552"/>
      <c r="CQ92" s="3552"/>
      <c r="CR92" s="3552"/>
      <c r="CS92" s="3552"/>
      <c r="CT92" s="3552"/>
      <c r="CU92" s="3552"/>
      <c r="CV92" s="3552"/>
      <c r="CW92" s="3552"/>
      <c r="CX92" s="3552"/>
      <c r="CY92" s="3552"/>
      <c r="CZ92" s="3552"/>
      <c r="DA92" s="3552"/>
      <c r="DB92" s="3552"/>
      <c r="DC92" s="3552"/>
      <c r="DD92" s="3552"/>
      <c r="DE92" s="3552"/>
      <c r="DF92" s="3552"/>
      <c r="DG92" s="3552"/>
      <c r="DH92" s="3552"/>
      <c r="DI92" s="3552"/>
      <c r="DJ92" s="3552"/>
      <c r="DK92" s="3553"/>
      <c r="DL92" s="156"/>
      <c r="DM92" s="156"/>
      <c r="DN92" s="156"/>
      <c r="DO92" s="156"/>
      <c r="DP92" s="157"/>
      <c r="DQ92" s="147"/>
    </row>
    <row r="93" spans="1:143" ht="6.75" customHeight="1">
      <c r="A93" s="146"/>
      <c r="B93" s="3573"/>
      <c r="C93" s="3574"/>
      <c r="D93" s="3580"/>
      <c r="E93" s="3581"/>
      <c r="F93" s="3581"/>
      <c r="G93" s="3581"/>
      <c r="H93" s="3581"/>
      <c r="I93" s="3581"/>
      <c r="J93" s="3581"/>
      <c r="K93" s="3582"/>
      <c r="L93" s="3580"/>
      <c r="M93" s="3581"/>
      <c r="N93" s="3581"/>
      <c r="O93" s="3581"/>
      <c r="P93" s="3581"/>
      <c r="Q93" s="3581"/>
      <c r="R93" s="3581"/>
      <c r="S93" s="3581"/>
      <c r="T93" s="3581"/>
      <c r="U93" s="3581"/>
      <c r="V93" s="3581"/>
      <c r="W93" s="3581"/>
      <c r="X93" s="3581"/>
      <c r="Y93" s="3581"/>
      <c r="Z93" s="3581"/>
      <c r="AA93" s="3581"/>
      <c r="AB93" s="3581"/>
      <c r="AC93" s="3581"/>
      <c r="AD93" s="3581"/>
      <c r="AE93" s="3581"/>
      <c r="AF93" s="3582"/>
      <c r="AG93" s="3589"/>
      <c r="AH93" s="3590"/>
      <c r="AI93" s="3590"/>
      <c r="AJ93" s="3590"/>
      <c r="AK93" s="3591"/>
      <c r="AL93" s="3589"/>
      <c r="AM93" s="3590"/>
      <c r="AN93" s="3590"/>
      <c r="AO93" s="3590"/>
      <c r="AP93" s="3590"/>
      <c r="AQ93" s="3590"/>
      <c r="AR93" s="3590"/>
      <c r="AS93" s="3590"/>
      <c r="AT93" s="3590"/>
      <c r="AU93" s="3590"/>
      <c r="AV93" s="3590"/>
      <c r="AW93" s="3590"/>
      <c r="AX93" s="3590"/>
      <c r="AY93" s="3590"/>
      <c r="AZ93" s="3590"/>
      <c r="BA93" s="3590"/>
      <c r="BB93" s="3590"/>
      <c r="BC93" s="3590"/>
      <c r="BD93" s="3590"/>
      <c r="BE93" s="3590"/>
      <c r="BF93" s="3590"/>
      <c r="BG93" s="3590"/>
      <c r="BH93" s="3590"/>
      <c r="BI93" s="3591"/>
      <c r="BJ93" s="3580"/>
      <c r="BK93" s="3581"/>
      <c r="BL93" s="3581"/>
      <c r="BM93" s="3581"/>
      <c r="BN93" s="3581"/>
      <c r="BO93" s="3582"/>
      <c r="BP93" s="3595" t="s">
        <v>291</v>
      </c>
      <c r="BQ93" s="3596"/>
      <c r="BR93" s="3596"/>
      <c r="BS93" s="3596"/>
      <c r="BT93" s="3596"/>
      <c r="BU93" s="3596"/>
      <c r="BV93" s="3596"/>
      <c r="BW93" s="3596"/>
      <c r="BX93" s="3596"/>
      <c r="BY93" s="3596"/>
      <c r="BZ93" s="3596"/>
      <c r="CA93" s="3596"/>
      <c r="CB93" s="3596"/>
      <c r="CC93" s="3596"/>
      <c r="CD93" s="3596"/>
      <c r="CE93" s="3596"/>
      <c r="CF93" s="3596"/>
      <c r="CG93" s="3597"/>
      <c r="CH93" s="3620"/>
      <c r="CI93" s="3621"/>
      <c r="CJ93" s="3621"/>
      <c r="CK93" s="3621"/>
      <c r="CL93" s="3622"/>
      <c r="CM93" s="3551"/>
      <c r="CN93" s="3552"/>
      <c r="CO93" s="3552"/>
      <c r="CP93" s="3552"/>
      <c r="CQ93" s="3552"/>
      <c r="CR93" s="3552"/>
      <c r="CS93" s="3552"/>
      <c r="CT93" s="3552"/>
      <c r="CU93" s="3552"/>
      <c r="CV93" s="3552"/>
      <c r="CW93" s="3552"/>
      <c r="CX93" s="3552"/>
      <c r="CY93" s="3552"/>
      <c r="CZ93" s="3552"/>
      <c r="DA93" s="3552"/>
      <c r="DB93" s="3552"/>
      <c r="DC93" s="3552"/>
      <c r="DD93" s="3552"/>
      <c r="DE93" s="3552"/>
      <c r="DF93" s="3552"/>
      <c r="DG93" s="3552"/>
      <c r="DH93" s="3552"/>
      <c r="DI93" s="3552"/>
      <c r="DJ93" s="3552"/>
      <c r="DK93" s="3553"/>
      <c r="DL93" s="156"/>
      <c r="DM93" s="156"/>
      <c r="DN93" s="156"/>
      <c r="DO93" s="156"/>
      <c r="DP93" s="157"/>
      <c r="DQ93" s="147"/>
    </row>
    <row r="94" spans="1:143" ht="6.75" customHeight="1">
      <c r="A94" s="146"/>
      <c r="B94" s="3575"/>
      <c r="C94" s="3576"/>
      <c r="D94" s="3583"/>
      <c r="E94" s="3584"/>
      <c r="F94" s="3584"/>
      <c r="G94" s="3584"/>
      <c r="H94" s="3584"/>
      <c r="I94" s="3584"/>
      <c r="J94" s="3584"/>
      <c r="K94" s="3585"/>
      <c r="L94" s="3583"/>
      <c r="M94" s="3584"/>
      <c r="N94" s="3584"/>
      <c r="O94" s="3584"/>
      <c r="P94" s="3584"/>
      <c r="Q94" s="3584"/>
      <c r="R94" s="3584"/>
      <c r="S94" s="3584"/>
      <c r="T94" s="3584"/>
      <c r="U94" s="3584"/>
      <c r="V94" s="3584"/>
      <c r="W94" s="3584"/>
      <c r="X94" s="3584"/>
      <c r="Y94" s="3584"/>
      <c r="Z94" s="3584"/>
      <c r="AA94" s="3584"/>
      <c r="AB94" s="3584"/>
      <c r="AC94" s="3584"/>
      <c r="AD94" s="3584"/>
      <c r="AE94" s="3584"/>
      <c r="AF94" s="3585"/>
      <c r="AG94" s="3592"/>
      <c r="AH94" s="3593"/>
      <c r="AI94" s="3593"/>
      <c r="AJ94" s="3593"/>
      <c r="AK94" s="3594"/>
      <c r="AL94" s="3592"/>
      <c r="AM94" s="3593"/>
      <c r="AN94" s="3593"/>
      <c r="AO94" s="3593"/>
      <c r="AP94" s="3593"/>
      <c r="AQ94" s="3593"/>
      <c r="AR94" s="3593"/>
      <c r="AS94" s="3593"/>
      <c r="AT94" s="3593"/>
      <c r="AU94" s="3593"/>
      <c r="AV94" s="3593"/>
      <c r="AW94" s="3593"/>
      <c r="AX94" s="3593"/>
      <c r="AY94" s="3593"/>
      <c r="AZ94" s="3593"/>
      <c r="BA94" s="3593"/>
      <c r="BB94" s="3593"/>
      <c r="BC94" s="3593"/>
      <c r="BD94" s="3593"/>
      <c r="BE94" s="3593"/>
      <c r="BF94" s="3593"/>
      <c r="BG94" s="3593"/>
      <c r="BH94" s="3593"/>
      <c r="BI94" s="3594"/>
      <c r="BJ94" s="3583"/>
      <c r="BK94" s="3584"/>
      <c r="BL94" s="3584"/>
      <c r="BM94" s="3584"/>
      <c r="BN94" s="3584"/>
      <c r="BO94" s="3585"/>
      <c r="BP94" s="3598"/>
      <c r="BQ94" s="3599"/>
      <c r="BR94" s="3599"/>
      <c r="BS94" s="3599"/>
      <c r="BT94" s="3599"/>
      <c r="BU94" s="3599"/>
      <c r="BV94" s="3599"/>
      <c r="BW94" s="3599"/>
      <c r="BX94" s="3599"/>
      <c r="BY94" s="3599"/>
      <c r="BZ94" s="3599"/>
      <c r="CA94" s="3599"/>
      <c r="CB94" s="3599"/>
      <c r="CC94" s="3599"/>
      <c r="CD94" s="3599"/>
      <c r="CE94" s="3599"/>
      <c r="CF94" s="3599"/>
      <c r="CG94" s="3600"/>
      <c r="CH94" s="3623"/>
      <c r="CI94" s="3624"/>
      <c r="CJ94" s="3624"/>
      <c r="CK94" s="3624"/>
      <c r="CL94" s="3625"/>
      <c r="CM94" s="3554"/>
      <c r="CN94" s="3555"/>
      <c r="CO94" s="3555"/>
      <c r="CP94" s="3555"/>
      <c r="CQ94" s="3555"/>
      <c r="CR94" s="3555"/>
      <c r="CS94" s="3555"/>
      <c r="CT94" s="3555"/>
      <c r="CU94" s="3555"/>
      <c r="CV94" s="3555"/>
      <c r="CW94" s="3555"/>
      <c r="CX94" s="3555"/>
      <c r="CY94" s="3555"/>
      <c r="CZ94" s="3555"/>
      <c r="DA94" s="3555"/>
      <c r="DB94" s="3555"/>
      <c r="DC94" s="3555"/>
      <c r="DD94" s="3555"/>
      <c r="DE94" s="3555"/>
      <c r="DF94" s="3555"/>
      <c r="DG94" s="3555"/>
      <c r="DH94" s="3555"/>
      <c r="DI94" s="3555"/>
      <c r="DJ94" s="3555"/>
      <c r="DK94" s="3556"/>
      <c r="DL94" s="156"/>
      <c r="DM94" s="156"/>
      <c r="DN94" s="156"/>
      <c r="DO94" s="156"/>
      <c r="DP94" s="157"/>
      <c r="DQ94" s="147"/>
      <c r="DR94" s="147"/>
      <c r="DS94" s="147"/>
      <c r="DT94" s="147"/>
      <c r="DU94" s="147"/>
      <c r="DV94" s="147"/>
      <c r="DW94" s="147"/>
      <c r="DX94" s="147"/>
      <c r="DY94" s="147"/>
      <c r="DZ94" s="147"/>
      <c r="EA94" s="147"/>
      <c r="EB94" s="147"/>
      <c r="EC94" s="147"/>
      <c r="ED94" s="147"/>
      <c r="EE94" s="147"/>
      <c r="EF94" s="147"/>
      <c r="EG94" s="147"/>
    </row>
    <row r="95" spans="1:143" ht="6.75" customHeight="1">
      <c r="A95" s="146"/>
      <c r="B95" s="3700" t="s">
        <v>277</v>
      </c>
      <c r="C95" s="3701"/>
      <c r="D95" s="3673" t="s">
        <v>1504</v>
      </c>
      <c r="E95" s="3674"/>
      <c r="F95" s="3674"/>
      <c r="G95" s="3674"/>
      <c r="H95" s="3674"/>
      <c r="I95" s="3674"/>
      <c r="J95" s="3674"/>
      <c r="K95" s="3677"/>
      <c r="L95" s="3673" t="s">
        <v>292</v>
      </c>
      <c r="M95" s="3674"/>
      <c r="N95" s="3674"/>
      <c r="O95" s="3674"/>
      <c r="P95" s="3674"/>
      <c r="Q95" s="3674"/>
      <c r="R95" s="3674"/>
      <c r="S95" s="3674"/>
      <c r="T95" s="3674"/>
      <c r="U95" s="3674"/>
      <c r="V95" s="3677"/>
      <c r="W95" s="3673" t="s">
        <v>1354</v>
      </c>
      <c r="X95" s="3674"/>
      <c r="Y95" s="3674"/>
      <c r="Z95" s="3674"/>
      <c r="AA95" s="3674"/>
      <c r="AB95" s="3674"/>
      <c r="AC95" s="3674"/>
      <c r="AD95" s="3674"/>
      <c r="AE95" s="3674"/>
      <c r="AF95" s="3677"/>
      <c r="AG95" s="3673" t="s">
        <v>293</v>
      </c>
      <c r="AH95" s="3674"/>
      <c r="AI95" s="3674"/>
      <c r="AJ95" s="3674"/>
      <c r="AK95" s="3677"/>
      <c r="AL95" s="3770" t="s">
        <v>294</v>
      </c>
      <c r="AM95" s="3771"/>
      <c r="AN95" s="3771"/>
      <c r="AO95" s="3771"/>
      <c r="AP95" s="3771"/>
      <c r="AQ95" s="3771"/>
      <c r="AR95" s="3771"/>
      <c r="AS95" s="3771"/>
      <c r="AT95" s="3771"/>
      <c r="AU95" s="3771"/>
      <c r="AV95" s="3771"/>
      <c r="AW95" s="3771"/>
      <c r="AX95" s="3771"/>
      <c r="AY95" s="3771"/>
      <c r="AZ95" s="3771"/>
      <c r="BA95" s="3771"/>
      <c r="BB95" s="3771"/>
      <c r="BC95" s="3771"/>
      <c r="BD95" s="3771"/>
      <c r="BE95" s="3771"/>
      <c r="BF95" s="3771"/>
      <c r="BG95" s="3771"/>
      <c r="BH95" s="3771"/>
      <c r="BI95" s="3772"/>
      <c r="BJ95" s="3756" t="s">
        <v>295</v>
      </c>
      <c r="BK95" s="3757"/>
      <c r="BL95" s="3757"/>
      <c r="BM95" s="3757"/>
      <c r="BN95" s="3757"/>
      <c r="BO95" s="3758"/>
      <c r="BP95" s="3762">
        <v>20</v>
      </c>
      <c r="BQ95" s="3763"/>
      <c r="BR95" s="3763"/>
      <c r="BS95" s="3766">
        <v>23</v>
      </c>
      <c r="BT95" s="3766"/>
      <c r="BU95" s="3766"/>
      <c r="BV95" s="3733" t="s">
        <v>0</v>
      </c>
      <c r="BW95" s="3733"/>
      <c r="BX95" s="3768">
        <v>4</v>
      </c>
      <c r="BY95" s="3768"/>
      <c r="BZ95" s="3768"/>
      <c r="CA95" s="3733" t="s">
        <v>1</v>
      </c>
      <c r="CB95" s="3733"/>
      <c r="CC95" s="3768">
        <v>1</v>
      </c>
      <c r="CD95" s="3768"/>
      <c r="CE95" s="3768"/>
      <c r="CF95" s="3674" t="s">
        <v>2</v>
      </c>
      <c r="CG95" s="3677"/>
      <c r="CH95" s="3673" t="s">
        <v>559</v>
      </c>
      <c r="CI95" s="3674"/>
      <c r="CJ95" s="3674"/>
      <c r="CK95" s="3674"/>
      <c r="CL95" s="3677"/>
      <c r="CM95" s="3728"/>
      <c r="CN95" s="3729"/>
      <c r="CO95" s="3729"/>
      <c r="CP95" s="3729"/>
      <c r="CQ95" s="3729"/>
      <c r="CR95" s="3729"/>
      <c r="CS95" s="3729"/>
      <c r="CT95" s="3729"/>
      <c r="CU95" s="3729"/>
      <c r="CV95" s="3729"/>
      <c r="CW95" s="3729"/>
      <c r="CX95" s="3729"/>
      <c r="CY95" s="3729"/>
      <c r="CZ95" s="3729"/>
      <c r="DA95" s="3729"/>
      <c r="DB95" s="3729"/>
      <c r="DC95" s="3729"/>
      <c r="DD95" s="3729"/>
      <c r="DE95" s="3729"/>
      <c r="DF95" s="3729"/>
      <c r="DG95" s="3729"/>
      <c r="DH95" s="3729"/>
      <c r="DI95" s="3729"/>
      <c r="DJ95" s="3729"/>
      <c r="DK95" s="3730"/>
      <c r="DL95" s="156"/>
      <c r="DM95" s="156"/>
      <c r="DN95" s="156"/>
      <c r="DO95" s="156"/>
      <c r="DP95" s="157"/>
      <c r="DQ95" s="147"/>
      <c r="DR95" s="147"/>
      <c r="DS95" s="147"/>
      <c r="DT95" s="147"/>
      <c r="DU95" s="147"/>
      <c r="DV95" s="147"/>
      <c r="DW95" s="147"/>
      <c r="DX95" s="147"/>
      <c r="DY95" s="147"/>
      <c r="DZ95" s="147"/>
      <c r="EA95" s="147"/>
      <c r="EB95" s="147"/>
      <c r="EC95" s="147"/>
      <c r="ED95" s="147"/>
      <c r="EE95" s="147"/>
      <c r="EF95" s="147"/>
      <c r="EG95" s="147"/>
      <c r="EH95" s="147"/>
      <c r="EI95" s="147"/>
      <c r="EJ95" s="147"/>
      <c r="EK95" s="147"/>
      <c r="EL95" s="147"/>
      <c r="EM95" s="147"/>
    </row>
    <row r="96" spans="1:143" ht="6.75" customHeight="1" thickBot="1">
      <c r="A96" s="146"/>
      <c r="B96" s="3702"/>
      <c r="C96" s="3703"/>
      <c r="D96" s="3675"/>
      <c r="E96" s="3676"/>
      <c r="F96" s="3676"/>
      <c r="G96" s="3676"/>
      <c r="H96" s="3676"/>
      <c r="I96" s="3676"/>
      <c r="J96" s="3676"/>
      <c r="K96" s="3678"/>
      <c r="L96" s="3675"/>
      <c r="M96" s="3676"/>
      <c r="N96" s="3676"/>
      <c r="O96" s="3676"/>
      <c r="P96" s="3676"/>
      <c r="Q96" s="3676"/>
      <c r="R96" s="3676"/>
      <c r="S96" s="3676"/>
      <c r="T96" s="3676"/>
      <c r="U96" s="3676"/>
      <c r="V96" s="3678"/>
      <c r="W96" s="3675"/>
      <c r="X96" s="3676"/>
      <c r="Y96" s="3676"/>
      <c r="Z96" s="3676"/>
      <c r="AA96" s="3676"/>
      <c r="AB96" s="3676"/>
      <c r="AC96" s="3676"/>
      <c r="AD96" s="3676"/>
      <c r="AE96" s="3676"/>
      <c r="AF96" s="3678"/>
      <c r="AG96" s="3675"/>
      <c r="AH96" s="3676"/>
      <c r="AI96" s="3676"/>
      <c r="AJ96" s="3676"/>
      <c r="AK96" s="3678"/>
      <c r="AL96" s="3773"/>
      <c r="AM96" s="3774"/>
      <c r="AN96" s="3774"/>
      <c r="AO96" s="3774"/>
      <c r="AP96" s="3774"/>
      <c r="AQ96" s="3774"/>
      <c r="AR96" s="3774"/>
      <c r="AS96" s="3774"/>
      <c r="AT96" s="3774"/>
      <c r="AU96" s="3774"/>
      <c r="AV96" s="3774"/>
      <c r="AW96" s="3774"/>
      <c r="AX96" s="3774"/>
      <c r="AY96" s="3774"/>
      <c r="AZ96" s="3774"/>
      <c r="BA96" s="3774"/>
      <c r="BB96" s="3774"/>
      <c r="BC96" s="3774"/>
      <c r="BD96" s="3774"/>
      <c r="BE96" s="3774"/>
      <c r="BF96" s="3774"/>
      <c r="BG96" s="3774"/>
      <c r="BH96" s="3774"/>
      <c r="BI96" s="3775"/>
      <c r="BJ96" s="3759"/>
      <c r="BK96" s="3760"/>
      <c r="BL96" s="3760"/>
      <c r="BM96" s="3760"/>
      <c r="BN96" s="3760"/>
      <c r="BO96" s="3761"/>
      <c r="BP96" s="3764"/>
      <c r="BQ96" s="3765"/>
      <c r="BR96" s="3765"/>
      <c r="BS96" s="3767"/>
      <c r="BT96" s="3767"/>
      <c r="BU96" s="3767"/>
      <c r="BV96" s="3734"/>
      <c r="BW96" s="3734"/>
      <c r="BX96" s="3769"/>
      <c r="BY96" s="3769"/>
      <c r="BZ96" s="3769"/>
      <c r="CA96" s="3734"/>
      <c r="CB96" s="3734"/>
      <c r="CC96" s="3769"/>
      <c r="CD96" s="3769"/>
      <c r="CE96" s="3769"/>
      <c r="CF96" s="3676"/>
      <c r="CG96" s="3678"/>
      <c r="CH96" s="3675"/>
      <c r="CI96" s="3676"/>
      <c r="CJ96" s="3676"/>
      <c r="CK96" s="3676"/>
      <c r="CL96" s="3678"/>
      <c r="CM96" s="3731"/>
      <c r="CN96" s="3731"/>
      <c r="CO96" s="3731"/>
      <c r="CP96" s="3731"/>
      <c r="CQ96" s="3731"/>
      <c r="CR96" s="3731"/>
      <c r="CS96" s="3731"/>
      <c r="CT96" s="3731"/>
      <c r="CU96" s="3731"/>
      <c r="CV96" s="3731"/>
      <c r="CW96" s="3731"/>
      <c r="CX96" s="3731"/>
      <c r="CY96" s="3731"/>
      <c r="CZ96" s="3731"/>
      <c r="DA96" s="3731"/>
      <c r="DB96" s="3731"/>
      <c r="DC96" s="3731"/>
      <c r="DD96" s="3731"/>
      <c r="DE96" s="3731"/>
      <c r="DF96" s="3731"/>
      <c r="DG96" s="3731"/>
      <c r="DH96" s="3731"/>
      <c r="DI96" s="3731"/>
      <c r="DJ96" s="3731"/>
      <c r="DK96" s="3732"/>
      <c r="DL96" s="156"/>
      <c r="DM96" s="156"/>
      <c r="DN96" s="156"/>
      <c r="DO96" s="156"/>
      <c r="DP96" s="15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row>
    <row r="97" spans="1:146" ht="6.75" customHeight="1" thickTop="1">
      <c r="A97" s="146"/>
      <c r="B97" s="3725">
        <v>1</v>
      </c>
      <c r="C97" s="3726"/>
      <c r="D97" s="3735" t="str">
        <f>IF(D78&lt;&gt;"",D78,"")</f>
        <v/>
      </c>
      <c r="E97" s="3736"/>
      <c r="F97" s="3736"/>
      <c r="G97" s="3736"/>
      <c r="H97" s="3736"/>
      <c r="I97" s="3736"/>
      <c r="J97" s="3736"/>
      <c r="K97" s="3737"/>
      <c r="L97" s="3741"/>
      <c r="M97" s="3742"/>
      <c r="N97" s="3742"/>
      <c r="O97" s="3742"/>
      <c r="P97" s="3742"/>
      <c r="Q97" s="3742"/>
      <c r="R97" s="3742"/>
      <c r="S97" s="3742"/>
      <c r="T97" s="3742"/>
      <c r="U97" s="3742"/>
      <c r="V97" s="3743"/>
      <c r="W97" s="3750"/>
      <c r="X97" s="3751"/>
      <c r="Y97" s="3751"/>
      <c r="Z97" s="3751"/>
      <c r="AA97" s="3751"/>
      <c r="AB97" s="3751"/>
      <c r="AC97" s="3751"/>
      <c r="AD97" s="3751"/>
      <c r="AE97" s="3751"/>
      <c r="AF97" s="3752"/>
      <c r="AG97" s="3635"/>
      <c r="AH97" s="3636"/>
      <c r="AI97" s="3636"/>
      <c r="AJ97" s="3636"/>
      <c r="AK97" s="3637"/>
      <c r="AL97" s="3776"/>
      <c r="AM97" s="3777"/>
      <c r="AN97" s="3777"/>
      <c r="AO97" s="3777"/>
      <c r="AP97" s="3777"/>
      <c r="AQ97" s="3777"/>
      <c r="AR97" s="3777"/>
      <c r="AS97" s="3777"/>
      <c r="AT97" s="3777"/>
      <c r="AU97" s="3777"/>
      <c r="AV97" s="3777"/>
      <c r="AW97" s="3777"/>
      <c r="AX97" s="3777"/>
      <c r="AY97" s="3777"/>
      <c r="AZ97" s="3777"/>
      <c r="BA97" s="3777"/>
      <c r="BB97" s="3777"/>
      <c r="BC97" s="3777"/>
      <c r="BD97" s="3777"/>
      <c r="BE97" s="3777"/>
      <c r="BF97" s="3777"/>
      <c r="BG97" s="3777"/>
      <c r="BH97" s="3777"/>
      <c r="BI97" s="3778"/>
      <c r="BJ97" s="3785"/>
      <c r="BK97" s="3786"/>
      <c r="BL97" s="3786"/>
      <c r="BM97" s="3786"/>
      <c r="BN97" s="3786"/>
      <c r="BO97" s="3787"/>
      <c r="BP97" s="3824">
        <v>20</v>
      </c>
      <c r="BQ97" s="3825"/>
      <c r="BR97" s="3825"/>
      <c r="BS97" s="3830"/>
      <c r="BT97" s="3830"/>
      <c r="BU97" s="3830"/>
      <c r="BV97" s="3809" t="s">
        <v>1229</v>
      </c>
      <c r="BW97" s="3809"/>
      <c r="BX97" s="3806"/>
      <c r="BY97" s="3806"/>
      <c r="BZ97" s="3806"/>
      <c r="CA97" s="3809" t="s">
        <v>1230</v>
      </c>
      <c r="CB97" s="3809"/>
      <c r="CC97" s="3812">
        <v>1</v>
      </c>
      <c r="CD97" s="3812"/>
      <c r="CE97" s="3812"/>
      <c r="CF97" s="3815" t="s">
        <v>1231</v>
      </c>
      <c r="CG97" s="3816"/>
      <c r="CH97" s="3635"/>
      <c r="CI97" s="3636"/>
      <c r="CJ97" s="3636"/>
      <c r="CK97" s="3636"/>
      <c r="CL97" s="3637"/>
      <c r="CM97" s="3797" t="str">
        <f>IF(AG97="更新", "※「設置場所」が必須項目となります。", "")</f>
        <v/>
      </c>
      <c r="CN97" s="3798"/>
      <c r="CO97" s="3798"/>
      <c r="CP97" s="3798"/>
      <c r="CQ97" s="3798"/>
      <c r="CR97" s="3798"/>
      <c r="CS97" s="3798"/>
      <c r="CT97" s="3798"/>
      <c r="CU97" s="3798"/>
      <c r="CV97" s="3798"/>
      <c r="CW97" s="3798"/>
      <c r="CX97" s="3798"/>
      <c r="CY97" s="3798"/>
      <c r="CZ97" s="3798"/>
      <c r="DA97" s="3798"/>
      <c r="DB97" s="3798"/>
      <c r="DC97" s="3798"/>
      <c r="DD97" s="3798"/>
      <c r="DE97" s="3798"/>
      <c r="DF97" s="3798"/>
      <c r="DG97" s="3798"/>
      <c r="DH97" s="3798"/>
      <c r="DI97" s="3798"/>
      <c r="DJ97" s="3798"/>
      <c r="DK97" s="3799"/>
      <c r="DL97" s="156"/>
      <c r="DM97" s="156"/>
      <c r="DN97" s="156"/>
      <c r="DO97" s="156"/>
      <c r="DP97" s="157"/>
      <c r="DQ97" s="147"/>
      <c r="DR97" s="147"/>
      <c r="DS97" s="147"/>
      <c r="DT97" s="147"/>
      <c r="DU97" s="147"/>
      <c r="DV97" s="147"/>
      <c r="DW97" s="147"/>
      <c r="DX97" s="147"/>
      <c r="DY97" s="147"/>
      <c r="DZ97" s="147"/>
      <c r="EA97" s="147"/>
      <c r="EB97" s="147"/>
      <c r="EC97" s="147"/>
      <c r="ED97" s="147"/>
      <c r="EE97" s="147"/>
      <c r="EF97" s="147"/>
      <c r="EG97" s="147"/>
      <c r="EH97" s="147"/>
      <c r="EI97" s="147"/>
      <c r="EJ97" s="147"/>
      <c r="EK97" s="147"/>
      <c r="EL97" s="147"/>
      <c r="EM97" s="147"/>
    </row>
    <row r="98" spans="1:146" ht="6.75" customHeight="1" thickBot="1">
      <c r="A98" s="146"/>
      <c r="B98" s="3607"/>
      <c r="C98" s="3608"/>
      <c r="D98" s="3738"/>
      <c r="E98" s="3739"/>
      <c r="F98" s="3739"/>
      <c r="G98" s="3739"/>
      <c r="H98" s="3739"/>
      <c r="I98" s="3739"/>
      <c r="J98" s="3739"/>
      <c r="K98" s="3740"/>
      <c r="L98" s="3744"/>
      <c r="M98" s="3745"/>
      <c r="N98" s="3745"/>
      <c r="O98" s="3745"/>
      <c r="P98" s="3745"/>
      <c r="Q98" s="3745"/>
      <c r="R98" s="3745"/>
      <c r="S98" s="3745"/>
      <c r="T98" s="3745"/>
      <c r="U98" s="3745"/>
      <c r="V98" s="3746"/>
      <c r="W98" s="3753"/>
      <c r="X98" s="3754"/>
      <c r="Y98" s="3754"/>
      <c r="Z98" s="3754"/>
      <c r="AA98" s="3754"/>
      <c r="AB98" s="3754"/>
      <c r="AC98" s="3754"/>
      <c r="AD98" s="3754"/>
      <c r="AE98" s="3754"/>
      <c r="AF98" s="3755"/>
      <c r="AG98" s="3611"/>
      <c r="AH98" s="3612"/>
      <c r="AI98" s="3612"/>
      <c r="AJ98" s="3612"/>
      <c r="AK98" s="3613"/>
      <c r="AL98" s="3779"/>
      <c r="AM98" s="3780"/>
      <c r="AN98" s="3780"/>
      <c r="AO98" s="3780"/>
      <c r="AP98" s="3780"/>
      <c r="AQ98" s="3780"/>
      <c r="AR98" s="3780"/>
      <c r="AS98" s="3780"/>
      <c r="AT98" s="3780"/>
      <c r="AU98" s="3780"/>
      <c r="AV98" s="3780"/>
      <c r="AW98" s="3780"/>
      <c r="AX98" s="3780"/>
      <c r="AY98" s="3780"/>
      <c r="AZ98" s="3780"/>
      <c r="BA98" s="3780"/>
      <c r="BB98" s="3780"/>
      <c r="BC98" s="3780"/>
      <c r="BD98" s="3780"/>
      <c r="BE98" s="3780"/>
      <c r="BF98" s="3780"/>
      <c r="BG98" s="3780"/>
      <c r="BH98" s="3780"/>
      <c r="BI98" s="3781"/>
      <c r="BJ98" s="3788"/>
      <c r="BK98" s="3789"/>
      <c r="BL98" s="3789"/>
      <c r="BM98" s="3789"/>
      <c r="BN98" s="3789"/>
      <c r="BO98" s="3790"/>
      <c r="BP98" s="3826"/>
      <c r="BQ98" s="3827"/>
      <c r="BR98" s="3827"/>
      <c r="BS98" s="3831"/>
      <c r="BT98" s="3831"/>
      <c r="BU98" s="3831"/>
      <c r="BV98" s="3810"/>
      <c r="BW98" s="3810"/>
      <c r="BX98" s="3807"/>
      <c r="BY98" s="3807"/>
      <c r="BZ98" s="3807"/>
      <c r="CA98" s="3810"/>
      <c r="CB98" s="3810"/>
      <c r="CC98" s="3813"/>
      <c r="CD98" s="3813"/>
      <c r="CE98" s="3813"/>
      <c r="CF98" s="3817"/>
      <c r="CG98" s="3818"/>
      <c r="CH98" s="3638"/>
      <c r="CI98" s="3639"/>
      <c r="CJ98" s="3639"/>
      <c r="CK98" s="3639"/>
      <c r="CL98" s="3640"/>
      <c r="CM98" s="3800"/>
      <c r="CN98" s="3801"/>
      <c r="CO98" s="3801"/>
      <c r="CP98" s="3801"/>
      <c r="CQ98" s="3801"/>
      <c r="CR98" s="3801"/>
      <c r="CS98" s="3801"/>
      <c r="CT98" s="3801"/>
      <c r="CU98" s="3801"/>
      <c r="CV98" s="3801"/>
      <c r="CW98" s="3801"/>
      <c r="CX98" s="3801"/>
      <c r="CY98" s="3801"/>
      <c r="CZ98" s="3801"/>
      <c r="DA98" s="3801"/>
      <c r="DB98" s="3801"/>
      <c r="DC98" s="3801"/>
      <c r="DD98" s="3801"/>
      <c r="DE98" s="3801"/>
      <c r="DF98" s="3801"/>
      <c r="DG98" s="3801"/>
      <c r="DH98" s="3801"/>
      <c r="DI98" s="3801"/>
      <c r="DJ98" s="3801"/>
      <c r="DK98" s="3802"/>
      <c r="DL98" s="156"/>
      <c r="DM98" s="156"/>
      <c r="DN98" s="156"/>
      <c r="DO98" s="156"/>
      <c r="DP98" s="157"/>
      <c r="DQ98" s="147"/>
      <c r="DR98" s="147"/>
      <c r="DS98" s="147"/>
      <c r="DT98" s="147"/>
      <c r="DU98" s="147"/>
      <c r="DV98" s="147"/>
      <c r="DW98" s="147"/>
      <c r="DX98" s="147"/>
      <c r="DY98" s="147"/>
      <c r="DZ98" s="147"/>
      <c r="EA98" s="147"/>
      <c r="EB98" s="147"/>
      <c r="EC98" s="147"/>
      <c r="ED98" s="147"/>
      <c r="EE98" s="147"/>
      <c r="EF98" s="147"/>
      <c r="EG98" s="147"/>
      <c r="EH98" s="147"/>
      <c r="EI98" s="147"/>
      <c r="EJ98" s="147"/>
      <c r="EK98" s="147"/>
      <c r="EL98" s="147"/>
      <c r="EM98" s="147"/>
    </row>
    <row r="99" spans="1:146" ht="6.75" customHeight="1" thickTop="1">
      <c r="A99" s="146"/>
      <c r="B99" s="3607">
        <v>2</v>
      </c>
      <c r="C99" s="3608"/>
      <c r="D99" s="3735" t="str">
        <f>IF(D80&lt;&gt;"",D80,"")</f>
        <v/>
      </c>
      <c r="E99" s="3736"/>
      <c r="F99" s="3736"/>
      <c r="G99" s="3736"/>
      <c r="H99" s="3736"/>
      <c r="I99" s="3736"/>
      <c r="J99" s="3736"/>
      <c r="K99" s="3737"/>
      <c r="L99" s="3744"/>
      <c r="M99" s="3745"/>
      <c r="N99" s="3745"/>
      <c r="O99" s="3745"/>
      <c r="P99" s="3745"/>
      <c r="Q99" s="3745"/>
      <c r="R99" s="3745"/>
      <c r="S99" s="3745"/>
      <c r="T99" s="3745"/>
      <c r="U99" s="3745"/>
      <c r="V99" s="3746"/>
      <c r="W99" s="3753"/>
      <c r="X99" s="3754"/>
      <c r="Y99" s="3754"/>
      <c r="Z99" s="3754"/>
      <c r="AA99" s="3754"/>
      <c r="AB99" s="3754"/>
      <c r="AC99" s="3754"/>
      <c r="AD99" s="3754"/>
      <c r="AE99" s="3754"/>
      <c r="AF99" s="3755"/>
      <c r="AG99" s="3611"/>
      <c r="AH99" s="3612"/>
      <c r="AI99" s="3612"/>
      <c r="AJ99" s="3612"/>
      <c r="AK99" s="3613"/>
      <c r="AL99" s="3779"/>
      <c r="AM99" s="3780"/>
      <c r="AN99" s="3780"/>
      <c r="AO99" s="3780"/>
      <c r="AP99" s="3780"/>
      <c r="AQ99" s="3780"/>
      <c r="AR99" s="3780"/>
      <c r="AS99" s="3780"/>
      <c r="AT99" s="3780"/>
      <c r="AU99" s="3780"/>
      <c r="AV99" s="3780"/>
      <c r="AW99" s="3780"/>
      <c r="AX99" s="3780"/>
      <c r="AY99" s="3780"/>
      <c r="AZ99" s="3780"/>
      <c r="BA99" s="3780"/>
      <c r="BB99" s="3780"/>
      <c r="BC99" s="3780"/>
      <c r="BD99" s="3780"/>
      <c r="BE99" s="3780"/>
      <c r="BF99" s="3780"/>
      <c r="BG99" s="3780"/>
      <c r="BH99" s="3780"/>
      <c r="BI99" s="3781"/>
      <c r="BJ99" s="3788"/>
      <c r="BK99" s="3789"/>
      <c r="BL99" s="3789"/>
      <c r="BM99" s="3789"/>
      <c r="BN99" s="3789"/>
      <c r="BO99" s="3790"/>
      <c r="BP99" s="3826"/>
      <c r="BQ99" s="3827"/>
      <c r="BR99" s="3827"/>
      <c r="BS99" s="3831"/>
      <c r="BT99" s="3831"/>
      <c r="BU99" s="3831"/>
      <c r="BV99" s="3810"/>
      <c r="BW99" s="3810"/>
      <c r="BX99" s="3807"/>
      <c r="BY99" s="3807"/>
      <c r="BZ99" s="3807"/>
      <c r="CA99" s="3810"/>
      <c r="CB99" s="3810"/>
      <c r="CC99" s="3813"/>
      <c r="CD99" s="3813"/>
      <c r="CE99" s="3813"/>
      <c r="CF99" s="3817"/>
      <c r="CG99" s="3818"/>
      <c r="CH99" s="3650"/>
      <c r="CI99" s="3651"/>
      <c r="CJ99" s="3651"/>
      <c r="CK99" s="3651"/>
      <c r="CL99" s="3652"/>
      <c r="CM99" s="3803" t="str">
        <f>IF(AG99="更新", "※「設置場所」が必須項目となります。", "")</f>
        <v/>
      </c>
      <c r="CN99" s="3804"/>
      <c r="CO99" s="3804"/>
      <c r="CP99" s="3804"/>
      <c r="CQ99" s="3804"/>
      <c r="CR99" s="3804"/>
      <c r="CS99" s="3804"/>
      <c r="CT99" s="3804"/>
      <c r="CU99" s="3804"/>
      <c r="CV99" s="3804"/>
      <c r="CW99" s="3804"/>
      <c r="CX99" s="3804"/>
      <c r="CY99" s="3804"/>
      <c r="CZ99" s="3804"/>
      <c r="DA99" s="3804"/>
      <c r="DB99" s="3804"/>
      <c r="DC99" s="3804"/>
      <c r="DD99" s="3804"/>
      <c r="DE99" s="3804"/>
      <c r="DF99" s="3804"/>
      <c r="DG99" s="3804"/>
      <c r="DH99" s="3804"/>
      <c r="DI99" s="3804"/>
      <c r="DJ99" s="3804"/>
      <c r="DK99" s="3805"/>
      <c r="DL99" s="156"/>
      <c r="DM99" s="156"/>
      <c r="DN99" s="156"/>
      <c r="DO99" s="156"/>
      <c r="DP99" s="157"/>
      <c r="DQ99" s="147"/>
      <c r="DR99" s="147"/>
      <c r="DS99" s="147"/>
      <c r="DT99" s="147"/>
      <c r="DU99" s="147"/>
      <c r="DV99" s="147"/>
      <c r="DW99" s="147"/>
      <c r="DX99" s="147"/>
      <c r="DY99" s="147"/>
      <c r="DZ99" s="147"/>
      <c r="EA99" s="147"/>
      <c r="EB99" s="147"/>
      <c r="EC99" s="147"/>
      <c r="ED99" s="147"/>
      <c r="EE99" s="147"/>
      <c r="EF99" s="147"/>
      <c r="EG99" s="147"/>
      <c r="EH99" s="147"/>
      <c r="EI99" s="147"/>
      <c r="EJ99" s="147"/>
      <c r="EK99" s="147"/>
      <c r="EL99" s="147"/>
      <c r="EM99" s="147"/>
    </row>
    <row r="100" spans="1:146" ht="6.75" customHeight="1" thickBot="1">
      <c r="A100" s="146"/>
      <c r="B100" s="3607"/>
      <c r="C100" s="3608"/>
      <c r="D100" s="3738"/>
      <c r="E100" s="3739"/>
      <c r="F100" s="3739"/>
      <c r="G100" s="3739"/>
      <c r="H100" s="3739"/>
      <c r="I100" s="3739"/>
      <c r="J100" s="3739"/>
      <c r="K100" s="3740"/>
      <c r="L100" s="3744"/>
      <c r="M100" s="3745"/>
      <c r="N100" s="3745"/>
      <c r="O100" s="3745"/>
      <c r="P100" s="3745"/>
      <c r="Q100" s="3745"/>
      <c r="R100" s="3745"/>
      <c r="S100" s="3745"/>
      <c r="T100" s="3745"/>
      <c r="U100" s="3745"/>
      <c r="V100" s="3746"/>
      <c r="W100" s="3753"/>
      <c r="X100" s="3754"/>
      <c r="Y100" s="3754"/>
      <c r="Z100" s="3754"/>
      <c r="AA100" s="3754"/>
      <c r="AB100" s="3754"/>
      <c r="AC100" s="3754"/>
      <c r="AD100" s="3754"/>
      <c r="AE100" s="3754"/>
      <c r="AF100" s="3755"/>
      <c r="AG100" s="3611"/>
      <c r="AH100" s="3612"/>
      <c r="AI100" s="3612"/>
      <c r="AJ100" s="3612"/>
      <c r="AK100" s="3613"/>
      <c r="AL100" s="3779"/>
      <c r="AM100" s="3780"/>
      <c r="AN100" s="3780"/>
      <c r="AO100" s="3780"/>
      <c r="AP100" s="3780"/>
      <c r="AQ100" s="3780"/>
      <c r="AR100" s="3780"/>
      <c r="AS100" s="3780"/>
      <c r="AT100" s="3780"/>
      <c r="AU100" s="3780"/>
      <c r="AV100" s="3780"/>
      <c r="AW100" s="3780"/>
      <c r="AX100" s="3780"/>
      <c r="AY100" s="3780"/>
      <c r="AZ100" s="3780"/>
      <c r="BA100" s="3780"/>
      <c r="BB100" s="3780"/>
      <c r="BC100" s="3780"/>
      <c r="BD100" s="3780"/>
      <c r="BE100" s="3780"/>
      <c r="BF100" s="3780"/>
      <c r="BG100" s="3780"/>
      <c r="BH100" s="3780"/>
      <c r="BI100" s="3781"/>
      <c r="BJ100" s="3788"/>
      <c r="BK100" s="3789"/>
      <c r="BL100" s="3789"/>
      <c r="BM100" s="3789"/>
      <c r="BN100" s="3789"/>
      <c r="BO100" s="3790"/>
      <c r="BP100" s="3826"/>
      <c r="BQ100" s="3827"/>
      <c r="BR100" s="3827"/>
      <c r="BS100" s="3831"/>
      <c r="BT100" s="3831"/>
      <c r="BU100" s="3831"/>
      <c r="BV100" s="3810"/>
      <c r="BW100" s="3810"/>
      <c r="BX100" s="3807"/>
      <c r="BY100" s="3807"/>
      <c r="BZ100" s="3807"/>
      <c r="CA100" s="3810"/>
      <c r="CB100" s="3810"/>
      <c r="CC100" s="3813"/>
      <c r="CD100" s="3813"/>
      <c r="CE100" s="3813"/>
      <c r="CF100" s="3817"/>
      <c r="CG100" s="3818"/>
      <c r="CH100" s="3638"/>
      <c r="CI100" s="3639"/>
      <c r="CJ100" s="3639"/>
      <c r="CK100" s="3639"/>
      <c r="CL100" s="3640"/>
      <c r="CM100" s="3800"/>
      <c r="CN100" s="3801"/>
      <c r="CO100" s="3801"/>
      <c r="CP100" s="3801"/>
      <c r="CQ100" s="3801"/>
      <c r="CR100" s="3801"/>
      <c r="CS100" s="3801"/>
      <c r="CT100" s="3801"/>
      <c r="CU100" s="3801"/>
      <c r="CV100" s="3801"/>
      <c r="CW100" s="3801"/>
      <c r="CX100" s="3801"/>
      <c r="CY100" s="3801"/>
      <c r="CZ100" s="3801"/>
      <c r="DA100" s="3801"/>
      <c r="DB100" s="3801"/>
      <c r="DC100" s="3801"/>
      <c r="DD100" s="3801"/>
      <c r="DE100" s="3801"/>
      <c r="DF100" s="3801"/>
      <c r="DG100" s="3801"/>
      <c r="DH100" s="3801"/>
      <c r="DI100" s="3801"/>
      <c r="DJ100" s="3801"/>
      <c r="DK100" s="3802"/>
      <c r="DL100" s="156"/>
      <c r="DM100" s="156"/>
      <c r="DN100" s="156"/>
      <c r="DO100" s="156"/>
      <c r="DP100" s="15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row>
    <row r="101" spans="1:146" ht="6.75" customHeight="1" thickTop="1">
      <c r="A101" s="146"/>
      <c r="B101" s="3607">
        <v>3</v>
      </c>
      <c r="C101" s="3608"/>
      <c r="D101" s="3735" t="str">
        <f t="shared" ref="D101" si="0">IF(ISBLANK(D82),"",D82)</f>
        <v/>
      </c>
      <c r="E101" s="3736"/>
      <c r="F101" s="3736"/>
      <c r="G101" s="3736"/>
      <c r="H101" s="3736"/>
      <c r="I101" s="3736"/>
      <c r="J101" s="3736"/>
      <c r="K101" s="3737"/>
      <c r="L101" s="3744"/>
      <c r="M101" s="3745"/>
      <c r="N101" s="3745"/>
      <c r="O101" s="3745"/>
      <c r="P101" s="3745"/>
      <c r="Q101" s="3745"/>
      <c r="R101" s="3745"/>
      <c r="S101" s="3745"/>
      <c r="T101" s="3745"/>
      <c r="U101" s="3745"/>
      <c r="V101" s="3746"/>
      <c r="W101" s="3753"/>
      <c r="X101" s="3754"/>
      <c r="Y101" s="3754"/>
      <c r="Z101" s="3754"/>
      <c r="AA101" s="3754"/>
      <c r="AB101" s="3754"/>
      <c r="AC101" s="3754"/>
      <c r="AD101" s="3754"/>
      <c r="AE101" s="3754"/>
      <c r="AF101" s="3755"/>
      <c r="AG101" s="3611"/>
      <c r="AH101" s="3612"/>
      <c r="AI101" s="3612"/>
      <c r="AJ101" s="3612"/>
      <c r="AK101" s="3613"/>
      <c r="AL101" s="3779"/>
      <c r="AM101" s="3780"/>
      <c r="AN101" s="3780"/>
      <c r="AO101" s="3780"/>
      <c r="AP101" s="3780"/>
      <c r="AQ101" s="3780"/>
      <c r="AR101" s="3780"/>
      <c r="AS101" s="3780"/>
      <c r="AT101" s="3780"/>
      <c r="AU101" s="3780"/>
      <c r="AV101" s="3780"/>
      <c r="AW101" s="3780"/>
      <c r="AX101" s="3780"/>
      <c r="AY101" s="3780"/>
      <c r="AZ101" s="3780"/>
      <c r="BA101" s="3780"/>
      <c r="BB101" s="3780"/>
      <c r="BC101" s="3780"/>
      <c r="BD101" s="3780"/>
      <c r="BE101" s="3780"/>
      <c r="BF101" s="3780"/>
      <c r="BG101" s="3780"/>
      <c r="BH101" s="3780"/>
      <c r="BI101" s="3781"/>
      <c r="BJ101" s="3788"/>
      <c r="BK101" s="3789"/>
      <c r="BL101" s="3789"/>
      <c r="BM101" s="3789"/>
      <c r="BN101" s="3789"/>
      <c r="BO101" s="3790"/>
      <c r="BP101" s="3826"/>
      <c r="BQ101" s="3827"/>
      <c r="BR101" s="3827"/>
      <c r="BS101" s="3831"/>
      <c r="BT101" s="3831"/>
      <c r="BU101" s="3831"/>
      <c r="BV101" s="3810"/>
      <c r="BW101" s="3810"/>
      <c r="BX101" s="3807"/>
      <c r="BY101" s="3807"/>
      <c r="BZ101" s="3807"/>
      <c r="CA101" s="3810"/>
      <c r="CB101" s="3810"/>
      <c r="CC101" s="3813"/>
      <c r="CD101" s="3813"/>
      <c r="CE101" s="3813"/>
      <c r="CF101" s="3817"/>
      <c r="CG101" s="3818"/>
      <c r="CH101" s="3650"/>
      <c r="CI101" s="3651"/>
      <c r="CJ101" s="3651"/>
      <c r="CK101" s="3651"/>
      <c r="CL101" s="3652"/>
      <c r="CM101" s="3803" t="str">
        <f>IF(AG101="更新", "※「設置場所」が必須項目となります。", "")</f>
        <v/>
      </c>
      <c r="CN101" s="3804"/>
      <c r="CO101" s="3804"/>
      <c r="CP101" s="3804"/>
      <c r="CQ101" s="3804"/>
      <c r="CR101" s="3804"/>
      <c r="CS101" s="3804"/>
      <c r="CT101" s="3804"/>
      <c r="CU101" s="3804"/>
      <c r="CV101" s="3804"/>
      <c r="CW101" s="3804"/>
      <c r="CX101" s="3804"/>
      <c r="CY101" s="3804"/>
      <c r="CZ101" s="3804"/>
      <c r="DA101" s="3804"/>
      <c r="DB101" s="3804"/>
      <c r="DC101" s="3804"/>
      <c r="DD101" s="3804"/>
      <c r="DE101" s="3804"/>
      <c r="DF101" s="3804"/>
      <c r="DG101" s="3804"/>
      <c r="DH101" s="3804"/>
      <c r="DI101" s="3804"/>
      <c r="DJ101" s="3804"/>
      <c r="DK101" s="3805"/>
      <c r="DL101" s="156"/>
      <c r="DM101" s="156"/>
      <c r="DN101" s="156"/>
      <c r="DO101" s="156"/>
      <c r="DP101" s="157"/>
      <c r="DQ101" s="147"/>
      <c r="DR101" s="147"/>
      <c r="DS101" s="147"/>
      <c r="DT101" s="147"/>
      <c r="DU101" s="147"/>
      <c r="DV101" s="147"/>
      <c r="DW101" s="147"/>
      <c r="DX101" s="147"/>
      <c r="DY101" s="147"/>
      <c r="DZ101" s="147"/>
      <c r="EA101" s="147"/>
      <c r="EB101" s="147"/>
      <c r="EC101" s="147"/>
      <c r="ED101" s="147"/>
      <c r="EE101" s="147"/>
      <c r="EF101" s="147"/>
      <c r="EG101" s="147"/>
      <c r="EH101" s="147"/>
      <c r="EI101" s="147"/>
      <c r="EJ101" s="147"/>
      <c r="EK101" s="147"/>
      <c r="EL101" s="147"/>
      <c r="EM101" s="147"/>
    </row>
    <row r="102" spans="1:146" ht="6.75" customHeight="1" thickBot="1">
      <c r="A102" s="146"/>
      <c r="B102" s="3607"/>
      <c r="C102" s="3608"/>
      <c r="D102" s="3738"/>
      <c r="E102" s="3739"/>
      <c r="F102" s="3739"/>
      <c r="G102" s="3739"/>
      <c r="H102" s="3739"/>
      <c r="I102" s="3739"/>
      <c r="J102" s="3739"/>
      <c r="K102" s="3740"/>
      <c r="L102" s="3744"/>
      <c r="M102" s="3745"/>
      <c r="N102" s="3745"/>
      <c r="O102" s="3745"/>
      <c r="P102" s="3745"/>
      <c r="Q102" s="3745"/>
      <c r="R102" s="3745"/>
      <c r="S102" s="3745"/>
      <c r="T102" s="3745"/>
      <c r="U102" s="3745"/>
      <c r="V102" s="3746"/>
      <c r="W102" s="3753"/>
      <c r="X102" s="3754"/>
      <c r="Y102" s="3754"/>
      <c r="Z102" s="3754"/>
      <c r="AA102" s="3754"/>
      <c r="AB102" s="3754"/>
      <c r="AC102" s="3754"/>
      <c r="AD102" s="3754"/>
      <c r="AE102" s="3754"/>
      <c r="AF102" s="3755"/>
      <c r="AG102" s="3611"/>
      <c r="AH102" s="3612"/>
      <c r="AI102" s="3612"/>
      <c r="AJ102" s="3612"/>
      <c r="AK102" s="3613"/>
      <c r="AL102" s="3779"/>
      <c r="AM102" s="3780"/>
      <c r="AN102" s="3780"/>
      <c r="AO102" s="3780"/>
      <c r="AP102" s="3780"/>
      <c r="AQ102" s="3780"/>
      <c r="AR102" s="3780"/>
      <c r="AS102" s="3780"/>
      <c r="AT102" s="3780"/>
      <c r="AU102" s="3780"/>
      <c r="AV102" s="3780"/>
      <c r="AW102" s="3780"/>
      <c r="AX102" s="3780"/>
      <c r="AY102" s="3780"/>
      <c r="AZ102" s="3780"/>
      <c r="BA102" s="3780"/>
      <c r="BB102" s="3780"/>
      <c r="BC102" s="3780"/>
      <c r="BD102" s="3780"/>
      <c r="BE102" s="3780"/>
      <c r="BF102" s="3780"/>
      <c r="BG102" s="3780"/>
      <c r="BH102" s="3780"/>
      <c r="BI102" s="3781"/>
      <c r="BJ102" s="3788"/>
      <c r="BK102" s="3789"/>
      <c r="BL102" s="3789"/>
      <c r="BM102" s="3789"/>
      <c r="BN102" s="3789"/>
      <c r="BO102" s="3790"/>
      <c r="BP102" s="3826"/>
      <c r="BQ102" s="3827"/>
      <c r="BR102" s="3827"/>
      <c r="BS102" s="3831"/>
      <c r="BT102" s="3831"/>
      <c r="BU102" s="3831"/>
      <c r="BV102" s="3810"/>
      <c r="BW102" s="3810"/>
      <c r="BX102" s="3807"/>
      <c r="BY102" s="3807"/>
      <c r="BZ102" s="3807"/>
      <c r="CA102" s="3810"/>
      <c r="CB102" s="3810"/>
      <c r="CC102" s="3813"/>
      <c r="CD102" s="3813"/>
      <c r="CE102" s="3813"/>
      <c r="CF102" s="3817"/>
      <c r="CG102" s="3818"/>
      <c r="CH102" s="3638"/>
      <c r="CI102" s="3639"/>
      <c r="CJ102" s="3639"/>
      <c r="CK102" s="3639"/>
      <c r="CL102" s="3640"/>
      <c r="CM102" s="3800"/>
      <c r="CN102" s="3801"/>
      <c r="CO102" s="3801"/>
      <c r="CP102" s="3801"/>
      <c r="CQ102" s="3801"/>
      <c r="CR102" s="3801"/>
      <c r="CS102" s="3801"/>
      <c r="CT102" s="3801"/>
      <c r="CU102" s="3801"/>
      <c r="CV102" s="3801"/>
      <c r="CW102" s="3801"/>
      <c r="CX102" s="3801"/>
      <c r="CY102" s="3801"/>
      <c r="CZ102" s="3801"/>
      <c r="DA102" s="3801"/>
      <c r="DB102" s="3801"/>
      <c r="DC102" s="3801"/>
      <c r="DD102" s="3801"/>
      <c r="DE102" s="3801"/>
      <c r="DF102" s="3801"/>
      <c r="DG102" s="3801"/>
      <c r="DH102" s="3801"/>
      <c r="DI102" s="3801"/>
      <c r="DJ102" s="3801"/>
      <c r="DK102" s="3802"/>
      <c r="DL102" s="156"/>
      <c r="DM102" s="156"/>
      <c r="DN102" s="156"/>
      <c r="DO102" s="156"/>
      <c r="DP102" s="157"/>
      <c r="DQ102" s="147"/>
      <c r="DR102" s="147"/>
      <c r="DS102" s="147"/>
      <c r="DT102" s="147"/>
      <c r="DU102" s="147"/>
      <c r="DV102" s="147"/>
      <c r="DW102" s="147"/>
      <c r="DX102" s="147"/>
      <c r="DY102" s="147"/>
      <c r="DZ102" s="147"/>
      <c r="EA102" s="147"/>
      <c r="EB102" s="147"/>
      <c r="EC102" s="147"/>
      <c r="ED102" s="147"/>
      <c r="EE102" s="147"/>
      <c r="EF102" s="147"/>
      <c r="EG102" s="147"/>
      <c r="EH102" s="147"/>
      <c r="EI102" s="147"/>
      <c r="EJ102" s="147"/>
      <c r="EK102" s="147"/>
      <c r="EL102" s="147"/>
      <c r="EM102" s="147"/>
    </row>
    <row r="103" spans="1:146" ht="6.75" customHeight="1" thickTop="1">
      <c r="A103" s="146"/>
      <c r="B103" s="3607">
        <v>4</v>
      </c>
      <c r="C103" s="3608"/>
      <c r="D103" s="3735" t="str">
        <f t="shared" ref="D103" si="1">IF(ISBLANK(D84),"",D84)</f>
        <v/>
      </c>
      <c r="E103" s="3736"/>
      <c r="F103" s="3736"/>
      <c r="G103" s="3736"/>
      <c r="H103" s="3736"/>
      <c r="I103" s="3736"/>
      <c r="J103" s="3736"/>
      <c r="K103" s="3737"/>
      <c r="L103" s="3744"/>
      <c r="M103" s="3745"/>
      <c r="N103" s="3745"/>
      <c r="O103" s="3745"/>
      <c r="P103" s="3745"/>
      <c r="Q103" s="3745"/>
      <c r="R103" s="3745"/>
      <c r="S103" s="3745"/>
      <c r="T103" s="3745"/>
      <c r="U103" s="3745"/>
      <c r="V103" s="3746"/>
      <c r="W103" s="3753"/>
      <c r="X103" s="3754"/>
      <c r="Y103" s="3754"/>
      <c r="Z103" s="3754"/>
      <c r="AA103" s="3754"/>
      <c r="AB103" s="3754"/>
      <c r="AC103" s="3754"/>
      <c r="AD103" s="3754"/>
      <c r="AE103" s="3754"/>
      <c r="AF103" s="3755"/>
      <c r="AG103" s="3611"/>
      <c r="AH103" s="3612"/>
      <c r="AI103" s="3612"/>
      <c r="AJ103" s="3612"/>
      <c r="AK103" s="3613"/>
      <c r="AL103" s="3779"/>
      <c r="AM103" s="3780"/>
      <c r="AN103" s="3780"/>
      <c r="AO103" s="3780"/>
      <c r="AP103" s="3780"/>
      <c r="AQ103" s="3780"/>
      <c r="AR103" s="3780"/>
      <c r="AS103" s="3780"/>
      <c r="AT103" s="3780"/>
      <c r="AU103" s="3780"/>
      <c r="AV103" s="3780"/>
      <c r="AW103" s="3780"/>
      <c r="AX103" s="3780"/>
      <c r="AY103" s="3780"/>
      <c r="AZ103" s="3780"/>
      <c r="BA103" s="3780"/>
      <c r="BB103" s="3780"/>
      <c r="BC103" s="3780"/>
      <c r="BD103" s="3780"/>
      <c r="BE103" s="3780"/>
      <c r="BF103" s="3780"/>
      <c r="BG103" s="3780"/>
      <c r="BH103" s="3780"/>
      <c r="BI103" s="3781"/>
      <c r="BJ103" s="3788"/>
      <c r="BK103" s="3789"/>
      <c r="BL103" s="3789"/>
      <c r="BM103" s="3789"/>
      <c r="BN103" s="3789"/>
      <c r="BO103" s="3790"/>
      <c r="BP103" s="3826"/>
      <c r="BQ103" s="3827"/>
      <c r="BR103" s="3827"/>
      <c r="BS103" s="3831"/>
      <c r="BT103" s="3831"/>
      <c r="BU103" s="3831"/>
      <c r="BV103" s="3810"/>
      <c r="BW103" s="3810"/>
      <c r="BX103" s="3807"/>
      <c r="BY103" s="3807"/>
      <c r="BZ103" s="3807"/>
      <c r="CA103" s="3810"/>
      <c r="CB103" s="3810"/>
      <c r="CC103" s="3813"/>
      <c r="CD103" s="3813"/>
      <c r="CE103" s="3813"/>
      <c r="CF103" s="3817"/>
      <c r="CG103" s="3818"/>
      <c r="CH103" s="3650"/>
      <c r="CI103" s="3651"/>
      <c r="CJ103" s="3651"/>
      <c r="CK103" s="3651"/>
      <c r="CL103" s="3652"/>
      <c r="CM103" s="3803" t="str">
        <f>IF(AG103="更新", "※「設置場所」が必須項目となります。", "")</f>
        <v/>
      </c>
      <c r="CN103" s="3804"/>
      <c r="CO103" s="3804"/>
      <c r="CP103" s="3804"/>
      <c r="CQ103" s="3804"/>
      <c r="CR103" s="3804"/>
      <c r="CS103" s="3804"/>
      <c r="CT103" s="3804"/>
      <c r="CU103" s="3804"/>
      <c r="CV103" s="3804"/>
      <c r="CW103" s="3804"/>
      <c r="CX103" s="3804"/>
      <c r="CY103" s="3804"/>
      <c r="CZ103" s="3804"/>
      <c r="DA103" s="3804"/>
      <c r="DB103" s="3804"/>
      <c r="DC103" s="3804"/>
      <c r="DD103" s="3804"/>
      <c r="DE103" s="3804"/>
      <c r="DF103" s="3804"/>
      <c r="DG103" s="3804"/>
      <c r="DH103" s="3804"/>
      <c r="DI103" s="3804"/>
      <c r="DJ103" s="3804"/>
      <c r="DK103" s="3805"/>
      <c r="DL103" s="156"/>
      <c r="DM103" s="156"/>
      <c r="DN103" s="156"/>
      <c r="DO103" s="156"/>
      <c r="DP103" s="157"/>
      <c r="DQ103" s="147"/>
      <c r="DR103" s="147"/>
      <c r="DS103" s="147"/>
      <c r="DT103" s="147"/>
      <c r="DU103" s="147"/>
      <c r="DV103" s="147"/>
      <c r="DW103" s="147"/>
      <c r="DX103" s="147"/>
      <c r="DY103" s="147"/>
      <c r="DZ103" s="147"/>
      <c r="EA103" s="147"/>
      <c r="EB103" s="147"/>
      <c r="EC103" s="147"/>
      <c r="ED103" s="147"/>
      <c r="EE103" s="147"/>
      <c r="EF103" s="147"/>
      <c r="EG103" s="147"/>
      <c r="EH103" s="147"/>
      <c r="EI103" s="147"/>
      <c r="EJ103" s="147"/>
      <c r="EK103" s="147"/>
      <c r="EL103" s="147"/>
      <c r="EM103" s="147"/>
    </row>
    <row r="104" spans="1:146" ht="6.75" customHeight="1" thickBot="1">
      <c r="A104" s="146"/>
      <c r="B104" s="3607"/>
      <c r="C104" s="3608"/>
      <c r="D104" s="3738"/>
      <c r="E104" s="3739"/>
      <c r="F104" s="3739"/>
      <c r="G104" s="3739"/>
      <c r="H104" s="3739"/>
      <c r="I104" s="3739"/>
      <c r="J104" s="3739"/>
      <c r="K104" s="3740"/>
      <c r="L104" s="3744"/>
      <c r="M104" s="3745"/>
      <c r="N104" s="3745"/>
      <c r="O104" s="3745"/>
      <c r="P104" s="3745"/>
      <c r="Q104" s="3745"/>
      <c r="R104" s="3745"/>
      <c r="S104" s="3745"/>
      <c r="T104" s="3745"/>
      <c r="U104" s="3745"/>
      <c r="V104" s="3746"/>
      <c r="W104" s="3753"/>
      <c r="X104" s="3754"/>
      <c r="Y104" s="3754"/>
      <c r="Z104" s="3754"/>
      <c r="AA104" s="3754"/>
      <c r="AB104" s="3754"/>
      <c r="AC104" s="3754"/>
      <c r="AD104" s="3754"/>
      <c r="AE104" s="3754"/>
      <c r="AF104" s="3755"/>
      <c r="AG104" s="3611"/>
      <c r="AH104" s="3612"/>
      <c r="AI104" s="3612"/>
      <c r="AJ104" s="3612"/>
      <c r="AK104" s="3613"/>
      <c r="AL104" s="3779"/>
      <c r="AM104" s="3780"/>
      <c r="AN104" s="3780"/>
      <c r="AO104" s="3780"/>
      <c r="AP104" s="3780"/>
      <c r="AQ104" s="3780"/>
      <c r="AR104" s="3780"/>
      <c r="AS104" s="3780"/>
      <c r="AT104" s="3780"/>
      <c r="AU104" s="3780"/>
      <c r="AV104" s="3780"/>
      <c r="AW104" s="3780"/>
      <c r="AX104" s="3780"/>
      <c r="AY104" s="3780"/>
      <c r="AZ104" s="3780"/>
      <c r="BA104" s="3780"/>
      <c r="BB104" s="3780"/>
      <c r="BC104" s="3780"/>
      <c r="BD104" s="3780"/>
      <c r="BE104" s="3780"/>
      <c r="BF104" s="3780"/>
      <c r="BG104" s="3780"/>
      <c r="BH104" s="3780"/>
      <c r="BI104" s="3781"/>
      <c r="BJ104" s="3788"/>
      <c r="BK104" s="3789"/>
      <c r="BL104" s="3789"/>
      <c r="BM104" s="3789"/>
      <c r="BN104" s="3789"/>
      <c r="BO104" s="3790"/>
      <c r="BP104" s="3826"/>
      <c r="BQ104" s="3827"/>
      <c r="BR104" s="3827"/>
      <c r="BS104" s="3831"/>
      <c r="BT104" s="3831"/>
      <c r="BU104" s="3831"/>
      <c r="BV104" s="3810"/>
      <c r="BW104" s="3810"/>
      <c r="BX104" s="3807"/>
      <c r="BY104" s="3807"/>
      <c r="BZ104" s="3807"/>
      <c r="CA104" s="3810"/>
      <c r="CB104" s="3810"/>
      <c r="CC104" s="3813"/>
      <c r="CD104" s="3813"/>
      <c r="CE104" s="3813"/>
      <c r="CF104" s="3817"/>
      <c r="CG104" s="3818"/>
      <c r="CH104" s="3638"/>
      <c r="CI104" s="3639"/>
      <c r="CJ104" s="3639"/>
      <c r="CK104" s="3639"/>
      <c r="CL104" s="3640"/>
      <c r="CM104" s="3800"/>
      <c r="CN104" s="3801"/>
      <c r="CO104" s="3801"/>
      <c r="CP104" s="3801"/>
      <c r="CQ104" s="3801"/>
      <c r="CR104" s="3801"/>
      <c r="CS104" s="3801"/>
      <c r="CT104" s="3801"/>
      <c r="CU104" s="3801"/>
      <c r="CV104" s="3801"/>
      <c r="CW104" s="3801"/>
      <c r="CX104" s="3801"/>
      <c r="CY104" s="3801"/>
      <c r="CZ104" s="3801"/>
      <c r="DA104" s="3801"/>
      <c r="DB104" s="3801"/>
      <c r="DC104" s="3801"/>
      <c r="DD104" s="3801"/>
      <c r="DE104" s="3801"/>
      <c r="DF104" s="3801"/>
      <c r="DG104" s="3801"/>
      <c r="DH104" s="3801"/>
      <c r="DI104" s="3801"/>
      <c r="DJ104" s="3801"/>
      <c r="DK104" s="3802"/>
      <c r="DL104" s="156"/>
      <c r="DM104" s="156"/>
      <c r="DN104" s="156"/>
      <c r="DO104" s="156"/>
      <c r="DP104" s="157"/>
      <c r="DQ104" s="147"/>
      <c r="DR104" s="147"/>
      <c r="DS104" s="147"/>
      <c r="DT104" s="147"/>
      <c r="DU104" s="147"/>
      <c r="DV104" s="147"/>
      <c r="DW104" s="147"/>
      <c r="DX104" s="147"/>
      <c r="DY104" s="147"/>
      <c r="DZ104" s="147"/>
      <c r="EA104" s="147"/>
      <c r="EB104" s="147"/>
      <c r="EC104" s="147"/>
      <c r="ED104" s="147"/>
      <c r="EE104" s="147"/>
      <c r="EF104" s="147"/>
      <c r="EG104" s="147"/>
      <c r="EH104" s="147"/>
      <c r="EI104" s="147"/>
      <c r="EJ104" s="147"/>
      <c r="EK104" s="147"/>
      <c r="EL104" s="147"/>
      <c r="EM104" s="147"/>
    </row>
    <row r="105" spans="1:146" ht="6.75" customHeight="1" thickTop="1">
      <c r="A105" s="146"/>
      <c r="B105" s="3607">
        <v>5</v>
      </c>
      <c r="C105" s="3608"/>
      <c r="D105" s="3735" t="str">
        <f t="shared" ref="D105" si="2">IF(ISBLANK(D86),"",D86)</f>
        <v/>
      </c>
      <c r="E105" s="3736"/>
      <c r="F105" s="3736"/>
      <c r="G105" s="3736"/>
      <c r="H105" s="3736"/>
      <c r="I105" s="3736"/>
      <c r="J105" s="3736"/>
      <c r="K105" s="3737"/>
      <c r="L105" s="3744"/>
      <c r="M105" s="3745"/>
      <c r="N105" s="3745"/>
      <c r="O105" s="3745"/>
      <c r="P105" s="3745"/>
      <c r="Q105" s="3745"/>
      <c r="R105" s="3745"/>
      <c r="S105" s="3745"/>
      <c r="T105" s="3745"/>
      <c r="U105" s="3745"/>
      <c r="V105" s="3746"/>
      <c r="W105" s="3753"/>
      <c r="X105" s="3754"/>
      <c r="Y105" s="3754"/>
      <c r="Z105" s="3754"/>
      <c r="AA105" s="3754"/>
      <c r="AB105" s="3754"/>
      <c r="AC105" s="3754"/>
      <c r="AD105" s="3754"/>
      <c r="AE105" s="3754"/>
      <c r="AF105" s="3755"/>
      <c r="AG105" s="3611"/>
      <c r="AH105" s="3612"/>
      <c r="AI105" s="3612"/>
      <c r="AJ105" s="3612"/>
      <c r="AK105" s="3613"/>
      <c r="AL105" s="3779"/>
      <c r="AM105" s="3780"/>
      <c r="AN105" s="3780"/>
      <c r="AO105" s="3780"/>
      <c r="AP105" s="3780"/>
      <c r="AQ105" s="3780"/>
      <c r="AR105" s="3780"/>
      <c r="AS105" s="3780"/>
      <c r="AT105" s="3780"/>
      <c r="AU105" s="3780"/>
      <c r="AV105" s="3780"/>
      <c r="AW105" s="3780"/>
      <c r="AX105" s="3780"/>
      <c r="AY105" s="3780"/>
      <c r="AZ105" s="3780"/>
      <c r="BA105" s="3780"/>
      <c r="BB105" s="3780"/>
      <c r="BC105" s="3780"/>
      <c r="BD105" s="3780"/>
      <c r="BE105" s="3780"/>
      <c r="BF105" s="3780"/>
      <c r="BG105" s="3780"/>
      <c r="BH105" s="3780"/>
      <c r="BI105" s="3781"/>
      <c r="BJ105" s="3788"/>
      <c r="BK105" s="3789"/>
      <c r="BL105" s="3789"/>
      <c r="BM105" s="3789"/>
      <c r="BN105" s="3789"/>
      <c r="BO105" s="3790"/>
      <c r="BP105" s="3826"/>
      <c r="BQ105" s="3827"/>
      <c r="BR105" s="3827"/>
      <c r="BS105" s="3831"/>
      <c r="BT105" s="3831"/>
      <c r="BU105" s="3831"/>
      <c r="BV105" s="3810"/>
      <c r="BW105" s="3810"/>
      <c r="BX105" s="3807"/>
      <c r="BY105" s="3807"/>
      <c r="BZ105" s="3807"/>
      <c r="CA105" s="3810"/>
      <c r="CB105" s="3810"/>
      <c r="CC105" s="3813"/>
      <c r="CD105" s="3813"/>
      <c r="CE105" s="3813"/>
      <c r="CF105" s="3817"/>
      <c r="CG105" s="3818"/>
      <c r="CH105" s="3650"/>
      <c r="CI105" s="3651"/>
      <c r="CJ105" s="3651"/>
      <c r="CK105" s="3651"/>
      <c r="CL105" s="3652"/>
      <c r="CM105" s="3803" t="str">
        <f>IF(AG105="更新", "※「設置場所」が必須項目となります。", "")</f>
        <v/>
      </c>
      <c r="CN105" s="3804"/>
      <c r="CO105" s="3804"/>
      <c r="CP105" s="3804"/>
      <c r="CQ105" s="3804"/>
      <c r="CR105" s="3804"/>
      <c r="CS105" s="3804"/>
      <c r="CT105" s="3804"/>
      <c r="CU105" s="3804"/>
      <c r="CV105" s="3804"/>
      <c r="CW105" s="3804"/>
      <c r="CX105" s="3804"/>
      <c r="CY105" s="3804"/>
      <c r="CZ105" s="3804"/>
      <c r="DA105" s="3804"/>
      <c r="DB105" s="3804"/>
      <c r="DC105" s="3804"/>
      <c r="DD105" s="3804"/>
      <c r="DE105" s="3804"/>
      <c r="DF105" s="3804"/>
      <c r="DG105" s="3804"/>
      <c r="DH105" s="3804"/>
      <c r="DI105" s="3804"/>
      <c r="DJ105" s="3804"/>
      <c r="DK105" s="3805"/>
      <c r="DL105" s="156"/>
      <c r="DM105" s="156"/>
      <c r="DN105" s="156"/>
      <c r="DO105" s="156"/>
      <c r="DP105" s="157"/>
      <c r="DQ105" s="147"/>
      <c r="DR105" s="147"/>
      <c r="DS105" s="147"/>
      <c r="DT105" s="147"/>
      <c r="DU105" s="147"/>
      <c r="DV105" s="147"/>
      <c r="DW105" s="147"/>
      <c r="DX105" s="147"/>
      <c r="DY105" s="147"/>
      <c r="DZ105" s="147"/>
      <c r="EA105" s="147"/>
      <c r="EB105" s="147"/>
      <c r="EC105" s="147"/>
      <c r="ED105" s="147"/>
      <c r="EE105" s="147"/>
      <c r="EF105" s="147"/>
      <c r="EG105" s="147"/>
      <c r="EH105" s="147"/>
      <c r="EI105" s="147"/>
      <c r="EJ105" s="147"/>
      <c r="EK105" s="147"/>
      <c r="EL105" s="147"/>
      <c r="EM105" s="147"/>
    </row>
    <row r="106" spans="1:146" ht="6.75" customHeight="1" thickBot="1">
      <c r="A106" s="146"/>
      <c r="B106" s="3609"/>
      <c r="C106" s="3610"/>
      <c r="D106" s="3738"/>
      <c r="E106" s="3739"/>
      <c r="F106" s="3739"/>
      <c r="G106" s="3739"/>
      <c r="H106" s="3739"/>
      <c r="I106" s="3739"/>
      <c r="J106" s="3739"/>
      <c r="K106" s="3740"/>
      <c r="L106" s="3747"/>
      <c r="M106" s="3748"/>
      <c r="N106" s="3748"/>
      <c r="O106" s="3748"/>
      <c r="P106" s="3748"/>
      <c r="Q106" s="3748"/>
      <c r="R106" s="3748"/>
      <c r="S106" s="3748"/>
      <c r="T106" s="3748"/>
      <c r="U106" s="3748"/>
      <c r="V106" s="3749"/>
      <c r="W106" s="3794"/>
      <c r="X106" s="3795"/>
      <c r="Y106" s="3795"/>
      <c r="Z106" s="3795"/>
      <c r="AA106" s="3795"/>
      <c r="AB106" s="3795"/>
      <c r="AC106" s="3795"/>
      <c r="AD106" s="3795"/>
      <c r="AE106" s="3795"/>
      <c r="AF106" s="3796"/>
      <c r="AG106" s="3614"/>
      <c r="AH106" s="3615"/>
      <c r="AI106" s="3615"/>
      <c r="AJ106" s="3615"/>
      <c r="AK106" s="3616"/>
      <c r="AL106" s="3782"/>
      <c r="AM106" s="3783"/>
      <c r="AN106" s="3783"/>
      <c r="AO106" s="3783"/>
      <c r="AP106" s="3783"/>
      <c r="AQ106" s="3783"/>
      <c r="AR106" s="3783"/>
      <c r="AS106" s="3783"/>
      <c r="AT106" s="3783"/>
      <c r="AU106" s="3783"/>
      <c r="AV106" s="3783"/>
      <c r="AW106" s="3783"/>
      <c r="AX106" s="3783"/>
      <c r="AY106" s="3783"/>
      <c r="AZ106" s="3783"/>
      <c r="BA106" s="3783"/>
      <c r="BB106" s="3783"/>
      <c r="BC106" s="3783"/>
      <c r="BD106" s="3783"/>
      <c r="BE106" s="3783"/>
      <c r="BF106" s="3783"/>
      <c r="BG106" s="3783"/>
      <c r="BH106" s="3783"/>
      <c r="BI106" s="3784"/>
      <c r="BJ106" s="3791"/>
      <c r="BK106" s="3792"/>
      <c r="BL106" s="3792"/>
      <c r="BM106" s="3792"/>
      <c r="BN106" s="3792"/>
      <c r="BO106" s="3793"/>
      <c r="BP106" s="3828"/>
      <c r="BQ106" s="3829"/>
      <c r="BR106" s="3829"/>
      <c r="BS106" s="3832"/>
      <c r="BT106" s="3832"/>
      <c r="BU106" s="3832"/>
      <c r="BV106" s="3811"/>
      <c r="BW106" s="3811"/>
      <c r="BX106" s="3808"/>
      <c r="BY106" s="3808"/>
      <c r="BZ106" s="3808"/>
      <c r="CA106" s="3811"/>
      <c r="CB106" s="3811"/>
      <c r="CC106" s="3814"/>
      <c r="CD106" s="3814"/>
      <c r="CE106" s="3814"/>
      <c r="CF106" s="3819"/>
      <c r="CG106" s="3820"/>
      <c r="CH106" s="3614"/>
      <c r="CI106" s="3615"/>
      <c r="CJ106" s="3615"/>
      <c r="CK106" s="3615"/>
      <c r="CL106" s="3616"/>
      <c r="CM106" s="3821"/>
      <c r="CN106" s="3822"/>
      <c r="CO106" s="3822"/>
      <c r="CP106" s="3822"/>
      <c r="CQ106" s="3822"/>
      <c r="CR106" s="3822"/>
      <c r="CS106" s="3822"/>
      <c r="CT106" s="3822"/>
      <c r="CU106" s="3822"/>
      <c r="CV106" s="3822"/>
      <c r="CW106" s="3822"/>
      <c r="CX106" s="3822"/>
      <c r="CY106" s="3822"/>
      <c r="CZ106" s="3822"/>
      <c r="DA106" s="3822"/>
      <c r="DB106" s="3822"/>
      <c r="DC106" s="3822"/>
      <c r="DD106" s="3822"/>
      <c r="DE106" s="3822"/>
      <c r="DF106" s="3822"/>
      <c r="DG106" s="3822"/>
      <c r="DH106" s="3822"/>
      <c r="DI106" s="3822"/>
      <c r="DJ106" s="3822"/>
      <c r="DK106" s="3823"/>
      <c r="DL106" s="156"/>
      <c r="DM106" s="156"/>
      <c r="DN106" s="156"/>
      <c r="DO106" s="156"/>
      <c r="DP106" s="15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row>
    <row r="107" spans="1:146" ht="6.75" customHeight="1" thickTop="1" thickBot="1">
      <c r="A107" s="146"/>
      <c r="B107" s="158"/>
      <c r="C107" s="158"/>
      <c r="D107" s="159"/>
      <c r="E107" s="159"/>
      <c r="F107" s="159"/>
      <c r="G107" s="159"/>
      <c r="H107" s="159"/>
      <c r="I107" s="159"/>
      <c r="J107" s="159"/>
      <c r="K107" s="159"/>
      <c r="L107" s="159"/>
      <c r="M107" s="159"/>
      <c r="N107" s="160"/>
      <c r="O107" s="160"/>
      <c r="P107" s="160"/>
      <c r="Q107" s="160"/>
      <c r="R107" s="160"/>
      <c r="S107" s="160"/>
      <c r="T107" s="160"/>
      <c r="U107" s="160"/>
      <c r="V107" s="160"/>
      <c r="W107" s="160"/>
      <c r="X107" s="160"/>
      <c r="Y107" s="160"/>
      <c r="Z107" s="161"/>
      <c r="AA107" s="161"/>
      <c r="AB107" s="161"/>
      <c r="AC107" s="161"/>
      <c r="AD107" s="161"/>
      <c r="AE107" s="161"/>
      <c r="AF107" s="161"/>
      <c r="AG107" s="161"/>
      <c r="AH107" s="161"/>
      <c r="AI107" s="161"/>
      <c r="AJ107" s="161"/>
      <c r="AK107" s="161"/>
      <c r="AL107" s="159"/>
      <c r="AM107" s="159"/>
      <c r="AN107" s="159"/>
      <c r="AO107" s="159"/>
      <c r="AP107" s="159"/>
      <c r="AQ107" s="159"/>
      <c r="AR107" s="159"/>
      <c r="AS107" s="159"/>
      <c r="AT107" s="162"/>
      <c r="AU107" s="162"/>
      <c r="AV107" s="162"/>
      <c r="AW107" s="162"/>
      <c r="AX107" s="162"/>
      <c r="AY107" s="162"/>
      <c r="AZ107" s="163"/>
      <c r="BA107" s="163"/>
      <c r="BB107" s="164"/>
      <c r="BC107" s="164"/>
      <c r="BD107" s="165"/>
      <c r="BE107" s="165"/>
      <c r="BF107" s="166"/>
      <c r="BG107" s="166"/>
      <c r="BH107" s="167"/>
      <c r="BI107" s="167"/>
      <c r="BJ107" s="166"/>
      <c r="BK107" s="166"/>
      <c r="BL107" s="167"/>
      <c r="BM107" s="167"/>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0"/>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c r="DL107" s="155"/>
      <c r="DM107" s="156"/>
      <c r="DN107" s="156"/>
      <c r="DO107" s="156"/>
      <c r="DP107" s="156"/>
      <c r="DQ107" s="156"/>
      <c r="DR107" s="156"/>
      <c r="DS107" s="157"/>
      <c r="DT107" s="147"/>
      <c r="DU107" s="147"/>
      <c r="DV107" s="147"/>
      <c r="DW107" s="147"/>
      <c r="DX107" s="147"/>
      <c r="DY107" s="147"/>
      <c r="DZ107" s="147"/>
      <c r="EA107" s="147"/>
      <c r="EB107" s="147"/>
      <c r="EC107" s="147"/>
      <c r="ED107" s="147"/>
      <c r="EE107" s="147"/>
      <c r="EF107" s="147"/>
      <c r="EG107" s="147"/>
      <c r="EH107" s="147"/>
      <c r="EI107" s="147"/>
      <c r="EJ107" s="147"/>
      <c r="EK107" s="147"/>
      <c r="EL107" s="147"/>
      <c r="EM107" s="147"/>
      <c r="EN107" s="147"/>
      <c r="EO107" s="147"/>
      <c r="EP107" s="147"/>
    </row>
    <row r="108" spans="1:146" ht="6.75" customHeight="1" thickTop="1">
      <c r="A108" s="146"/>
      <c r="B108" s="4058" t="s">
        <v>297</v>
      </c>
      <c r="C108" s="4059"/>
      <c r="D108" s="4059"/>
      <c r="E108" s="4059"/>
      <c r="F108" s="4059"/>
      <c r="G108" s="4059"/>
      <c r="H108" s="4059"/>
      <c r="I108" s="4059"/>
      <c r="J108" s="4059"/>
      <c r="K108" s="4059"/>
      <c r="L108" s="4059"/>
      <c r="M108" s="4059"/>
      <c r="N108" s="4059"/>
      <c r="O108" s="4059"/>
      <c r="P108" s="4059"/>
      <c r="Q108" s="4059"/>
      <c r="R108" s="4059"/>
      <c r="S108" s="4059"/>
      <c r="T108" s="4059"/>
      <c r="U108" s="4033" t="s">
        <v>298</v>
      </c>
      <c r="V108" s="3918"/>
      <c r="W108" s="3918"/>
      <c r="X108" s="3918"/>
      <c r="Y108" s="3918"/>
      <c r="Z108" s="3918"/>
      <c r="AA108" s="3918"/>
      <c r="AB108" s="3918"/>
      <c r="AC108" s="3918"/>
      <c r="AD108" s="3918"/>
      <c r="AE108" s="3918"/>
      <c r="AF108" s="3918"/>
      <c r="AG108" s="3918"/>
      <c r="AH108" s="3918"/>
      <c r="AI108" s="3918"/>
      <c r="AJ108" s="3918"/>
      <c r="AK108" s="3918"/>
      <c r="AL108" s="3918"/>
      <c r="AM108" s="3918"/>
      <c r="AN108" s="3918"/>
      <c r="AO108" s="4052"/>
      <c r="AP108" s="4053"/>
      <c r="AQ108" s="4053"/>
      <c r="AR108" s="4053"/>
      <c r="AS108" s="4053"/>
      <c r="AT108" s="4053"/>
      <c r="AU108" s="4053"/>
      <c r="AV108" s="4053"/>
      <c r="AW108" s="4053"/>
      <c r="AX108" s="4053"/>
      <c r="AY108" s="4053"/>
      <c r="AZ108" s="4053"/>
      <c r="BA108" s="4053"/>
      <c r="BB108" s="4053"/>
      <c r="BC108" s="4053"/>
      <c r="BD108" s="4053"/>
      <c r="BE108" s="4053"/>
      <c r="BF108" s="4053"/>
      <c r="BG108" s="4053"/>
      <c r="BH108" s="4053"/>
      <c r="BI108" s="4053"/>
      <c r="BJ108" s="4053"/>
      <c r="BK108" s="4053"/>
      <c r="BL108" s="4053"/>
      <c r="BM108" s="4053"/>
      <c r="BN108" s="4053"/>
      <c r="BO108" s="4053"/>
      <c r="BP108" s="4053"/>
      <c r="BQ108" s="4053"/>
      <c r="BR108" s="4053"/>
      <c r="BS108" s="4053"/>
      <c r="BT108" s="4053"/>
      <c r="BU108" s="4053"/>
      <c r="BV108" s="4053"/>
      <c r="BW108" s="4053"/>
      <c r="BX108" s="4053"/>
      <c r="BY108" s="4053"/>
      <c r="BZ108" s="4053"/>
      <c r="CA108" s="4053"/>
      <c r="CB108" s="4053"/>
      <c r="CC108" s="4053"/>
      <c r="CD108" s="4053"/>
      <c r="CE108" s="4053"/>
      <c r="CF108" s="4053"/>
      <c r="CG108" s="4053"/>
      <c r="CH108" s="4053"/>
      <c r="CI108" s="4053"/>
      <c r="CJ108" s="4053"/>
      <c r="CK108" s="4053"/>
      <c r="CL108" s="4053"/>
      <c r="CM108" s="4053"/>
      <c r="CN108" s="4053"/>
      <c r="CO108" s="4053"/>
      <c r="CP108" s="4053"/>
      <c r="CQ108" s="4053"/>
      <c r="CR108" s="4053"/>
      <c r="CS108" s="4053"/>
      <c r="CT108" s="4053"/>
      <c r="CU108" s="4053"/>
      <c r="CV108" s="4053"/>
      <c r="CW108" s="4053"/>
      <c r="CX108" s="4053"/>
      <c r="CY108" s="4053"/>
      <c r="CZ108" s="4053"/>
      <c r="DA108" s="4053"/>
      <c r="DB108" s="4053"/>
      <c r="DC108" s="4053"/>
      <c r="DD108" s="4053"/>
      <c r="DE108" s="4053"/>
      <c r="DF108" s="4053"/>
      <c r="DG108" s="4053"/>
      <c r="DH108" s="4053"/>
      <c r="DI108" s="4053"/>
      <c r="DJ108" s="4053"/>
      <c r="DK108" s="4054"/>
      <c r="DL108" s="128"/>
    </row>
    <row r="109" spans="1:146" ht="6.75" customHeight="1" thickBot="1">
      <c r="A109" s="146"/>
      <c r="B109" s="4060"/>
      <c r="C109" s="4061"/>
      <c r="D109" s="4061"/>
      <c r="E109" s="4061"/>
      <c r="F109" s="4061"/>
      <c r="G109" s="4061"/>
      <c r="H109" s="4061"/>
      <c r="I109" s="4061"/>
      <c r="J109" s="4061"/>
      <c r="K109" s="4061"/>
      <c r="L109" s="4061"/>
      <c r="M109" s="4061"/>
      <c r="N109" s="4061"/>
      <c r="O109" s="4061"/>
      <c r="P109" s="4061"/>
      <c r="Q109" s="4061"/>
      <c r="R109" s="4061"/>
      <c r="S109" s="4061"/>
      <c r="T109" s="4061"/>
      <c r="U109" s="3919"/>
      <c r="V109" s="3919"/>
      <c r="W109" s="3919"/>
      <c r="X109" s="3919"/>
      <c r="Y109" s="3919"/>
      <c r="Z109" s="3919"/>
      <c r="AA109" s="3919"/>
      <c r="AB109" s="3919"/>
      <c r="AC109" s="3919"/>
      <c r="AD109" s="3919"/>
      <c r="AE109" s="3919"/>
      <c r="AF109" s="3919"/>
      <c r="AG109" s="3919"/>
      <c r="AH109" s="3919"/>
      <c r="AI109" s="3919"/>
      <c r="AJ109" s="3919"/>
      <c r="AK109" s="3919"/>
      <c r="AL109" s="3919"/>
      <c r="AM109" s="3919"/>
      <c r="AN109" s="3919"/>
      <c r="AO109" s="4055"/>
      <c r="AP109" s="4055"/>
      <c r="AQ109" s="4055"/>
      <c r="AR109" s="4055"/>
      <c r="AS109" s="4055"/>
      <c r="AT109" s="4055"/>
      <c r="AU109" s="4055"/>
      <c r="AV109" s="4055"/>
      <c r="AW109" s="4055"/>
      <c r="AX109" s="4055"/>
      <c r="AY109" s="4055"/>
      <c r="AZ109" s="4055"/>
      <c r="BA109" s="4055"/>
      <c r="BB109" s="4055"/>
      <c r="BC109" s="4055"/>
      <c r="BD109" s="4055"/>
      <c r="BE109" s="4055"/>
      <c r="BF109" s="4055"/>
      <c r="BG109" s="4055"/>
      <c r="BH109" s="4055"/>
      <c r="BI109" s="4055"/>
      <c r="BJ109" s="4055"/>
      <c r="BK109" s="4055"/>
      <c r="BL109" s="4055"/>
      <c r="BM109" s="4055"/>
      <c r="BN109" s="4055"/>
      <c r="BO109" s="4055"/>
      <c r="BP109" s="4055"/>
      <c r="BQ109" s="4055"/>
      <c r="BR109" s="4055"/>
      <c r="BS109" s="4055"/>
      <c r="BT109" s="4055"/>
      <c r="BU109" s="4055"/>
      <c r="BV109" s="4055"/>
      <c r="BW109" s="4055"/>
      <c r="BX109" s="4055"/>
      <c r="BY109" s="4055"/>
      <c r="BZ109" s="4055"/>
      <c r="CA109" s="4055"/>
      <c r="CB109" s="4055"/>
      <c r="CC109" s="4055"/>
      <c r="CD109" s="4055"/>
      <c r="CE109" s="4055"/>
      <c r="CF109" s="4055"/>
      <c r="CG109" s="4055"/>
      <c r="CH109" s="4055"/>
      <c r="CI109" s="4055"/>
      <c r="CJ109" s="4055"/>
      <c r="CK109" s="4055"/>
      <c r="CL109" s="4055"/>
      <c r="CM109" s="4055"/>
      <c r="CN109" s="4055"/>
      <c r="CO109" s="4055"/>
      <c r="CP109" s="4055"/>
      <c r="CQ109" s="4055"/>
      <c r="CR109" s="4055"/>
      <c r="CS109" s="4055"/>
      <c r="CT109" s="4055"/>
      <c r="CU109" s="4055"/>
      <c r="CV109" s="4055"/>
      <c r="CW109" s="4055"/>
      <c r="CX109" s="4055"/>
      <c r="CY109" s="4055"/>
      <c r="CZ109" s="4055"/>
      <c r="DA109" s="4055"/>
      <c r="DB109" s="4055"/>
      <c r="DC109" s="4055"/>
      <c r="DD109" s="4055"/>
      <c r="DE109" s="4055"/>
      <c r="DF109" s="4055"/>
      <c r="DG109" s="4055"/>
      <c r="DH109" s="4055"/>
      <c r="DI109" s="4055"/>
      <c r="DJ109" s="4055"/>
      <c r="DK109" s="4056"/>
      <c r="DL109" s="134"/>
    </row>
    <row r="110" spans="1:146" ht="6.75" customHeight="1">
      <c r="A110" s="146"/>
      <c r="B110" s="3571" t="s">
        <v>299</v>
      </c>
      <c r="C110" s="3572"/>
      <c r="D110" s="3577" t="s">
        <v>300</v>
      </c>
      <c r="E110" s="3578"/>
      <c r="F110" s="3578"/>
      <c r="G110" s="3578"/>
      <c r="H110" s="3578"/>
      <c r="I110" s="3578"/>
      <c r="J110" s="3578"/>
      <c r="K110" s="3578"/>
      <c r="L110" s="3578"/>
      <c r="M110" s="3578"/>
      <c r="N110" s="3578"/>
      <c r="O110" s="3578"/>
      <c r="P110" s="3578"/>
      <c r="Q110" s="3579"/>
      <c r="R110" s="3719" t="s">
        <v>301</v>
      </c>
      <c r="S110" s="3720"/>
      <c r="T110" s="3720"/>
      <c r="U110" s="3720"/>
      <c r="V110" s="3720"/>
      <c r="W110" s="3720"/>
      <c r="X110" s="3720"/>
      <c r="Y110" s="3720"/>
      <c r="Z110" s="3720"/>
      <c r="AA110" s="3720"/>
      <c r="AB110" s="3720"/>
      <c r="AC110" s="3720"/>
      <c r="AD110" s="3720"/>
      <c r="AE110" s="3720"/>
      <c r="AF110" s="3720"/>
      <c r="AG110" s="3720"/>
      <c r="AH110" s="3720"/>
      <c r="AI110" s="3720"/>
      <c r="AJ110" s="3720"/>
      <c r="AK110" s="3720"/>
      <c r="AL110" s="3720"/>
      <c r="AM110" s="3720"/>
      <c r="AN110" s="3720"/>
      <c r="AO110" s="3720"/>
      <c r="AP110" s="3720"/>
      <c r="AQ110" s="3720"/>
      <c r="AR110" s="3720"/>
      <c r="AS110" s="3720"/>
      <c r="AT110" s="3720"/>
      <c r="AU110" s="3720"/>
      <c r="AV110" s="3720"/>
      <c r="AW110" s="3720"/>
      <c r="AX110" s="3720"/>
      <c r="AY110" s="3720"/>
      <c r="AZ110" s="3720"/>
      <c r="BA110" s="3720"/>
      <c r="BB110" s="3720"/>
      <c r="BC110" s="3720"/>
      <c r="BD110" s="3720"/>
      <c r="BE110" s="3720"/>
      <c r="BF110" s="3720"/>
      <c r="BG110" s="3720"/>
      <c r="BH110" s="3720"/>
      <c r="BI110" s="3720"/>
      <c r="BJ110" s="3720"/>
      <c r="BK110" s="3720"/>
      <c r="BL110" s="3720"/>
      <c r="BM110" s="3720"/>
      <c r="BN110" s="3720"/>
      <c r="BO110" s="3720"/>
      <c r="BP110" s="3720"/>
      <c r="BQ110" s="3720"/>
      <c r="BR110" s="3720"/>
      <c r="BS110" s="3720"/>
      <c r="BT110" s="3720"/>
      <c r="BU110" s="3720"/>
      <c r="BV110" s="3720"/>
      <c r="BW110" s="3720"/>
      <c r="BX110" s="3720"/>
      <c r="BY110" s="3720"/>
      <c r="BZ110" s="3720"/>
      <c r="CA110" s="3720"/>
      <c r="CB110" s="3720"/>
      <c r="CC110" s="3720"/>
      <c r="CD110" s="3720"/>
      <c r="CE110" s="3720"/>
      <c r="CF110" s="3720"/>
      <c r="CG110" s="3720"/>
      <c r="CH110" s="3720"/>
      <c r="CI110" s="3720"/>
      <c r="CJ110" s="3720"/>
      <c r="CK110" s="3720"/>
      <c r="CL110" s="3720"/>
      <c r="CM110" s="3720"/>
      <c r="CN110" s="3720"/>
      <c r="CO110" s="3720"/>
      <c r="CP110" s="3720"/>
      <c r="CQ110" s="3720"/>
      <c r="CR110" s="3720"/>
      <c r="CS110" s="3720"/>
      <c r="CT110" s="3720"/>
      <c r="CU110" s="3720"/>
      <c r="CV110" s="3720"/>
      <c r="CW110" s="3720"/>
      <c r="CX110" s="3720"/>
      <c r="CY110" s="3720"/>
      <c r="CZ110" s="3720"/>
      <c r="DA110" s="3720"/>
      <c r="DB110" s="3720"/>
      <c r="DC110" s="3720"/>
      <c r="DD110" s="3720"/>
      <c r="DE110" s="3720"/>
      <c r="DF110" s="3720"/>
      <c r="DG110" s="3720"/>
      <c r="DH110" s="3720"/>
      <c r="DI110" s="3720"/>
      <c r="DJ110" s="3720"/>
      <c r="DK110" s="393"/>
      <c r="DL110" s="128"/>
    </row>
    <row r="111" spans="1:146" ht="6.75" customHeight="1">
      <c r="A111" s="146"/>
      <c r="B111" s="3573"/>
      <c r="C111" s="3574"/>
      <c r="D111" s="3580"/>
      <c r="E111" s="3581"/>
      <c r="F111" s="3581"/>
      <c r="G111" s="3581"/>
      <c r="H111" s="3581"/>
      <c r="I111" s="3581"/>
      <c r="J111" s="3581"/>
      <c r="K111" s="3581"/>
      <c r="L111" s="3581"/>
      <c r="M111" s="3581"/>
      <c r="N111" s="3581"/>
      <c r="O111" s="3581"/>
      <c r="P111" s="3581"/>
      <c r="Q111" s="3582"/>
      <c r="R111" s="3722"/>
      <c r="S111" s="3723"/>
      <c r="T111" s="3723"/>
      <c r="U111" s="3723"/>
      <c r="V111" s="3723"/>
      <c r="W111" s="3723"/>
      <c r="X111" s="3723"/>
      <c r="Y111" s="3723"/>
      <c r="Z111" s="3723"/>
      <c r="AA111" s="3723"/>
      <c r="AB111" s="3723"/>
      <c r="AC111" s="3723"/>
      <c r="AD111" s="3723"/>
      <c r="AE111" s="3723"/>
      <c r="AF111" s="3723"/>
      <c r="AG111" s="3723"/>
      <c r="AH111" s="3723"/>
      <c r="AI111" s="3723"/>
      <c r="AJ111" s="3723"/>
      <c r="AK111" s="3723"/>
      <c r="AL111" s="3723"/>
      <c r="AM111" s="3723"/>
      <c r="AN111" s="3723"/>
      <c r="AO111" s="3723"/>
      <c r="AP111" s="3723"/>
      <c r="AQ111" s="3723"/>
      <c r="AR111" s="3723"/>
      <c r="AS111" s="3723"/>
      <c r="AT111" s="3723"/>
      <c r="AU111" s="3723"/>
      <c r="AV111" s="3723"/>
      <c r="AW111" s="3723"/>
      <c r="AX111" s="3723"/>
      <c r="AY111" s="3723"/>
      <c r="AZ111" s="3723"/>
      <c r="BA111" s="3723"/>
      <c r="BB111" s="3723"/>
      <c r="BC111" s="3723"/>
      <c r="BD111" s="3723"/>
      <c r="BE111" s="3723"/>
      <c r="BF111" s="3723"/>
      <c r="BG111" s="3723"/>
      <c r="BH111" s="3723"/>
      <c r="BI111" s="3723"/>
      <c r="BJ111" s="3723"/>
      <c r="BK111" s="3723"/>
      <c r="BL111" s="3723"/>
      <c r="BM111" s="3723"/>
      <c r="BN111" s="3723"/>
      <c r="BO111" s="3723"/>
      <c r="BP111" s="3723"/>
      <c r="BQ111" s="3723"/>
      <c r="BR111" s="3723"/>
      <c r="BS111" s="3723"/>
      <c r="BT111" s="3723"/>
      <c r="BU111" s="3723"/>
      <c r="BV111" s="3723"/>
      <c r="BW111" s="3723"/>
      <c r="BX111" s="3723"/>
      <c r="BY111" s="3723"/>
      <c r="BZ111" s="3723"/>
      <c r="CA111" s="3723"/>
      <c r="CB111" s="3723"/>
      <c r="CC111" s="3723"/>
      <c r="CD111" s="3723"/>
      <c r="CE111" s="3723"/>
      <c r="CF111" s="3723"/>
      <c r="CG111" s="3723"/>
      <c r="CH111" s="3723"/>
      <c r="CI111" s="3723"/>
      <c r="CJ111" s="3723"/>
      <c r="CK111" s="3723"/>
      <c r="CL111" s="3723"/>
      <c r="CM111" s="3723"/>
      <c r="CN111" s="3723"/>
      <c r="CO111" s="3723"/>
      <c r="CP111" s="3723"/>
      <c r="CQ111" s="3723"/>
      <c r="CR111" s="3723"/>
      <c r="CS111" s="3723"/>
      <c r="CT111" s="3723"/>
      <c r="CU111" s="3723"/>
      <c r="CV111" s="3723"/>
      <c r="CW111" s="3723"/>
      <c r="CX111" s="3723"/>
      <c r="CY111" s="3723"/>
      <c r="CZ111" s="3723"/>
      <c r="DA111" s="3723"/>
      <c r="DB111" s="3723"/>
      <c r="DC111" s="3723"/>
      <c r="DD111" s="3723"/>
      <c r="DE111" s="3723"/>
      <c r="DF111" s="3723"/>
      <c r="DG111" s="3723"/>
      <c r="DH111" s="3723"/>
      <c r="DI111" s="3723"/>
      <c r="DJ111" s="3723"/>
      <c r="DK111" s="394"/>
      <c r="DL111" s="128"/>
    </row>
    <row r="112" spans="1:146" ht="6.75" customHeight="1">
      <c r="A112" s="146"/>
      <c r="B112" s="3573"/>
      <c r="C112" s="3574"/>
      <c r="D112" s="3580"/>
      <c r="E112" s="3581"/>
      <c r="F112" s="3581"/>
      <c r="G112" s="3581"/>
      <c r="H112" s="3581"/>
      <c r="I112" s="3581"/>
      <c r="J112" s="3581"/>
      <c r="K112" s="3581"/>
      <c r="L112" s="3581"/>
      <c r="M112" s="3581"/>
      <c r="N112" s="3581"/>
      <c r="O112" s="3581"/>
      <c r="P112" s="3581"/>
      <c r="Q112" s="3582"/>
      <c r="R112" s="3869" t="s">
        <v>302</v>
      </c>
      <c r="S112" s="3870"/>
      <c r="T112" s="3870"/>
      <c r="U112" s="3870"/>
      <c r="V112" s="3870"/>
      <c r="W112" s="3870"/>
      <c r="X112" s="3870"/>
      <c r="Y112" s="3871"/>
      <c r="Z112" s="3873" t="s">
        <v>40</v>
      </c>
      <c r="AA112" s="3870"/>
      <c r="AB112" s="3870"/>
      <c r="AC112" s="3870"/>
      <c r="AD112" s="3870"/>
      <c r="AE112" s="3870"/>
      <c r="AF112" s="3870"/>
      <c r="AG112" s="3870"/>
      <c r="AH112" s="3870"/>
      <c r="AI112" s="3870"/>
      <c r="AJ112" s="3870"/>
      <c r="AK112" s="3870"/>
      <c r="AL112" s="3870"/>
      <c r="AM112" s="3870"/>
      <c r="AN112" s="3870"/>
      <c r="AO112" s="3870"/>
      <c r="AP112" s="3870"/>
      <c r="AQ112" s="3870"/>
      <c r="AR112" s="3870"/>
      <c r="AS112" s="3870"/>
      <c r="AT112" s="3870"/>
      <c r="AU112" s="3870"/>
      <c r="AV112" s="3870"/>
      <c r="AW112" s="3870"/>
      <c r="AX112" s="3870"/>
      <c r="AY112" s="3870"/>
      <c r="AZ112" s="3870"/>
      <c r="BA112" s="3870"/>
      <c r="BB112" s="3870"/>
      <c r="BC112" s="3870"/>
      <c r="BD112" s="3870"/>
      <c r="BE112" s="3870"/>
      <c r="BF112" s="3871"/>
      <c r="BG112" s="3873" t="s">
        <v>303</v>
      </c>
      <c r="BH112" s="3870"/>
      <c r="BI112" s="3870"/>
      <c r="BJ112" s="3870"/>
      <c r="BK112" s="3870"/>
      <c r="BL112" s="3870"/>
      <c r="BM112" s="3871"/>
      <c r="BN112" s="3873" t="s">
        <v>304</v>
      </c>
      <c r="BO112" s="3870"/>
      <c r="BP112" s="3870"/>
      <c r="BQ112" s="3870"/>
      <c r="BR112" s="3871"/>
      <c r="BS112" s="3873" t="s">
        <v>305</v>
      </c>
      <c r="BT112" s="3870"/>
      <c r="BU112" s="3870"/>
      <c r="BV112" s="3870"/>
      <c r="BW112" s="3870"/>
      <c r="BX112" s="3870"/>
      <c r="BY112" s="3870"/>
      <c r="BZ112" s="3871"/>
      <c r="CA112" s="3873" t="s">
        <v>306</v>
      </c>
      <c r="CB112" s="3870"/>
      <c r="CC112" s="3870"/>
      <c r="CD112" s="3870"/>
      <c r="CE112" s="3870"/>
      <c r="CF112" s="3870"/>
      <c r="CG112" s="3870"/>
      <c r="CH112" s="3870"/>
      <c r="CI112" s="3870"/>
      <c r="CJ112" s="3870"/>
      <c r="CK112" s="3870"/>
      <c r="CL112" s="3871"/>
      <c r="CM112" s="3873" t="s">
        <v>307</v>
      </c>
      <c r="CN112" s="3870"/>
      <c r="CO112" s="3870"/>
      <c r="CP112" s="3870"/>
      <c r="CQ112" s="3870"/>
      <c r="CR112" s="3870"/>
      <c r="CS112" s="3870"/>
      <c r="CT112" s="3870"/>
      <c r="CU112" s="3870"/>
      <c r="CV112" s="3870"/>
      <c r="CW112" s="3870"/>
      <c r="CX112" s="3870"/>
      <c r="CY112" s="3870"/>
      <c r="CZ112" s="3870"/>
      <c r="DA112" s="3871"/>
      <c r="DB112" s="3873" t="s">
        <v>308</v>
      </c>
      <c r="DC112" s="3870"/>
      <c r="DD112" s="3870"/>
      <c r="DE112" s="3870"/>
      <c r="DF112" s="3870"/>
      <c r="DG112" s="3870"/>
      <c r="DH112" s="3870"/>
      <c r="DI112" s="3870"/>
      <c r="DJ112" s="3870"/>
      <c r="DK112" s="4057"/>
      <c r="DL112" s="128"/>
    </row>
    <row r="113" spans="1:148" ht="6.75" customHeight="1">
      <c r="A113" s="146"/>
      <c r="B113" s="3575"/>
      <c r="C113" s="3576"/>
      <c r="D113" s="3583"/>
      <c r="E113" s="3584"/>
      <c r="F113" s="3584"/>
      <c r="G113" s="3584"/>
      <c r="H113" s="3584"/>
      <c r="I113" s="3584"/>
      <c r="J113" s="3584"/>
      <c r="K113" s="3584"/>
      <c r="L113" s="3584"/>
      <c r="M113" s="3584"/>
      <c r="N113" s="3584"/>
      <c r="O113" s="3584"/>
      <c r="P113" s="3584"/>
      <c r="Q113" s="3585"/>
      <c r="R113" s="3554"/>
      <c r="S113" s="3555"/>
      <c r="T113" s="3555"/>
      <c r="U113" s="3555"/>
      <c r="V113" s="3555"/>
      <c r="W113" s="3555"/>
      <c r="X113" s="3555"/>
      <c r="Y113" s="3872"/>
      <c r="Z113" s="3874"/>
      <c r="AA113" s="3555"/>
      <c r="AB113" s="3555"/>
      <c r="AC113" s="3555"/>
      <c r="AD113" s="3555"/>
      <c r="AE113" s="3555"/>
      <c r="AF113" s="3555"/>
      <c r="AG113" s="3555"/>
      <c r="AH113" s="3555"/>
      <c r="AI113" s="3555"/>
      <c r="AJ113" s="3555"/>
      <c r="AK113" s="3555"/>
      <c r="AL113" s="3555"/>
      <c r="AM113" s="3555"/>
      <c r="AN113" s="3555"/>
      <c r="AO113" s="3555"/>
      <c r="AP113" s="3555"/>
      <c r="AQ113" s="3555"/>
      <c r="AR113" s="3555"/>
      <c r="AS113" s="3555"/>
      <c r="AT113" s="3555"/>
      <c r="AU113" s="3555"/>
      <c r="AV113" s="3555"/>
      <c r="AW113" s="3555"/>
      <c r="AX113" s="3555"/>
      <c r="AY113" s="3555"/>
      <c r="AZ113" s="3555"/>
      <c r="BA113" s="3555"/>
      <c r="BB113" s="3555"/>
      <c r="BC113" s="3555"/>
      <c r="BD113" s="3555"/>
      <c r="BE113" s="3555"/>
      <c r="BF113" s="3872"/>
      <c r="BG113" s="3874"/>
      <c r="BH113" s="3555"/>
      <c r="BI113" s="3555"/>
      <c r="BJ113" s="3555"/>
      <c r="BK113" s="3555"/>
      <c r="BL113" s="3555"/>
      <c r="BM113" s="3872"/>
      <c r="BN113" s="3874"/>
      <c r="BO113" s="3555"/>
      <c r="BP113" s="3555"/>
      <c r="BQ113" s="3555"/>
      <c r="BR113" s="3872"/>
      <c r="BS113" s="3874"/>
      <c r="BT113" s="3555"/>
      <c r="BU113" s="3555"/>
      <c r="BV113" s="3555"/>
      <c r="BW113" s="3555"/>
      <c r="BX113" s="3555"/>
      <c r="BY113" s="3555"/>
      <c r="BZ113" s="3872"/>
      <c r="CA113" s="3874"/>
      <c r="CB113" s="3555"/>
      <c r="CC113" s="3555"/>
      <c r="CD113" s="3555"/>
      <c r="CE113" s="3555"/>
      <c r="CF113" s="3555"/>
      <c r="CG113" s="3555"/>
      <c r="CH113" s="3555"/>
      <c r="CI113" s="3555"/>
      <c r="CJ113" s="3555"/>
      <c r="CK113" s="3555"/>
      <c r="CL113" s="3872"/>
      <c r="CM113" s="3874"/>
      <c r="CN113" s="3555"/>
      <c r="CO113" s="3555"/>
      <c r="CP113" s="3555"/>
      <c r="CQ113" s="3555"/>
      <c r="CR113" s="3555"/>
      <c r="CS113" s="3555"/>
      <c r="CT113" s="3555"/>
      <c r="CU113" s="3555"/>
      <c r="CV113" s="3555"/>
      <c r="CW113" s="3555"/>
      <c r="CX113" s="3555"/>
      <c r="CY113" s="3555"/>
      <c r="CZ113" s="3555"/>
      <c r="DA113" s="3872"/>
      <c r="DB113" s="3874"/>
      <c r="DC113" s="3555"/>
      <c r="DD113" s="3555"/>
      <c r="DE113" s="3555"/>
      <c r="DF113" s="3555"/>
      <c r="DG113" s="3555"/>
      <c r="DH113" s="3555"/>
      <c r="DI113" s="3555"/>
      <c r="DJ113" s="3555"/>
      <c r="DK113" s="3556"/>
      <c r="DL113" s="128"/>
    </row>
    <row r="114" spans="1:148" ht="6.75" customHeight="1">
      <c r="A114" s="146"/>
      <c r="B114" s="3700" t="s">
        <v>277</v>
      </c>
      <c r="C114" s="3701"/>
      <c r="D114" s="3673" t="str">
        <f>IF(ISBLANK(D95),"",D95)</f>
        <v>SPA_4000_M6</v>
      </c>
      <c r="E114" s="3674"/>
      <c r="F114" s="3674"/>
      <c r="G114" s="3674"/>
      <c r="H114" s="3674"/>
      <c r="I114" s="3674"/>
      <c r="J114" s="3674"/>
      <c r="K114" s="3674"/>
      <c r="L114" s="3674"/>
      <c r="M114" s="3674"/>
      <c r="N114" s="3674"/>
      <c r="O114" s="3674"/>
      <c r="P114" s="3674"/>
      <c r="Q114" s="3677"/>
      <c r="R114" s="3756" t="s">
        <v>335</v>
      </c>
      <c r="S114" s="3757"/>
      <c r="T114" s="3757"/>
      <c r="U114" s="3757"/>
      <c r="V114" s="3757"/>
      <c r="W114" s="3757"/>
      <c r="X114" s="3757"/>
      <c r="Y114" s="4129"/>
      <c r="Z114" s="4068" t="s">
        <v>310</v>
      </c>
      <c r="AA114" s="3921"/>
      <c r="AB114" s="3921"/>
      <c r="AC114" s="3921"/>
      <c r="AD114" s="3921"/>
      <c r="AE114" s="3921"/>
      <c r="AF114" s="3921"/>
      <c r="AG114" s="3921"/>
      <c r="AH114" s="3921"/>
      <c r="AI114" s="3921"/>
      <c r="AJ114" s="3921"/>
      <c r="AK114" s="3921"/>
      <c r="AL114" s="3921"/>
      <c r="AM114" s="3921"/>
      <c r="AN114" s="3921"/>
      <c r="AO114" s="3921"/>
      <c r="AP114" s="3921"/>
      <c r="AQ114" s="3921"/>
      <c r="AR114" s="3921"/>
      <c r="AS114" s="3921"/>
      <c r="AT114" s="3921"/>
      <c r="AU114" s="3921"/>
      <c r="AV114" s="3921"/>
      <c r="AW114" s="3921"/>
      <c r="AX114" s="3921"/>
      <c r="AY114" s="3921"/>
      <c r="AZ114" s="3921"/>
      <c r="BA114" s="3921"/>
      <c r="BB114" s="3921"/>
      <c r="BC114" s="3921"/>
      <c r="BD114" s="3921"/>
      <c r="BE114" s="3921"/>
      <c r="BF114" s="4069"/>
      <c r="BG114" s="4073" t="s">
        <v>311</v>
      </c>
      <c r="BH114" s="4074"/>
      <c r="BI114" s="4077" t="s">
        <v>312</v>
      </c>
      <c r="BJ114" s="4077"/>
      <c r="BK114" s="4077"/>
      <c r="BL114" s="4077"/>
      <c r="BM114" s="4078"/>
      <c r="BN114" s="3875" t="s">
        <v>313</v>
      </c>
      <c r="BO114" s="3876"/>
      <c r="BP114" s="3876"/>
      <c r="BQ114" s="3876"/>
      <c r="BR114" s="3877"/>
      <c r="BS114" s="3875" t="s">
        <v>314</v>
      </c>
      <c r="BT114" s="3876"/>
      <c r="BU114" s="3876"/>
      <c r="BV114" s="3876"/>
      <c r="BW114" s="3876"/>
      <c r="BX114" s="3876"/>
      <c r="BY114" s="3876"/>
      <c r="BZ114" s="3877"/>
      <c r="CA114" s="3875" t="s">
        <v>315</v>
      </c>
      <c r="CB114" s="3876"/>
      <c r="CC114" s="3876"/>
      <c r="CD114" s="3876"/>
      <c r="CE114" s="3876"/>
      <c r="CF114" s="3876"/>
      <c r="CG114" s="3876"/>
      <c r="CH114" s="3876"/>
      <c r="CI114" s="3876"/>
      <c r="CJ114" s="3876"/>
      <c r="CK114" s="3876"/>
      <c r="CL114" s="3877"/>
      <c r="CM114" s="4150" t="s">
        <v>316</v>
      </c>
      <c r="CN114" s="4151"/>
      <c r="CO114" s="4151"/>
      <c r="CP114" s="4151"/>
      <c r="CQ114" s="4151"/>
      <c r="CR114" s="4151"/>
      <c r="CS114" s="4151"/>
      <c r="CT114" s="4151"/>
      <c r="CU114" s="4151"/>
      <c r="CV114" s="4151"/>
      <c r="CW114" s="4151"/>
      <c r="CX114" s="4151"/>
      <c r="CY114" s="4151"/>
      <c r="CZ114" s="4151"/>
      <c r="DA114" s="4152"/>
      <c r="DB114" s="4062" t="s">
        <v>317</v>
      </c>
      <c r="DC114" s="4063"/>
      <c r="DD114" s="4063"/>
      <c r="DE114" s="4063"/>
      <c r="DF114" s="4063"/>
      <c r="DG114" s="4063"/>
      <c r="DH114" s="4063"/>
      <c r="DI114" s="4063"/>
      <c r="DJ114" s="4063"/>
      <c r="DK114" s="4064"/>
      <c r="DL114" s="153"/>
      <c r="DM114" s="154"/>
      <c r="DN114" s="154"/>
      <c r="DO114" s="154"/>
      <c r="DP114" s="154"/>
      <c r="DQ114" s="154"/>
    </row>
    <row r="115" spans="1:148" ht="6.75" customHeight="1" thickBot="1">
      <c r="A115" s="146"/>
      <c r="B115" s="3702"/>
      <c r="C115" s="3703"/>
      <c r="D115" s="3675"/>
      <c r="E115" s="3676"/>
      <c r="F115" s="3676"/>
      <c r="G115" s="3676"/>
      <c r="H115" s="3676"/>
      <c r="I115" s="3676"/>
      <c r="J115" s="3676"/>
      <c r="K115" s="3676"/>
      <c r="L115" s="3676"/>
      <c r="M115" s="3676"/>
      <c r="N115" s="3676"/>
      <c r="O115" s="3676"/>
      <c r="P115" s="3676"/>
      <c r="Q115" s="3678"/>
      <c r="R115" s="3759"/>
      <c r="S115" s="3760"/>
      <c r="T115" s="3760"/>
      <c r="U115" s="3760"/>
      <c r="V115" s="3760"/>
      <c r="W115" s="3760"/>
      <c r="X115" s="3760"/>
      <c r="Y115" s="4130"/>
      <c r="Z115" s="4070"/>
      <c r="AA115" s="4071"/>
      <c r="AB115" s="4071"/>
      <c r="AC115" s="4071"/>
      <c r="AD115" s="4071"/>
      <c r="AE115" s="4071"/>
      <c r="AF115" s="4071"/>
      <c r="AG115" s="4071"/>
      <c r="AH115" s="4071"/>
      <c r="AI115" s="4071"/>
      <c r="AJ115" s="4071"/>
      <c r="AK115" s="4071"/>
      <c r="AL115" s="4071"/>
      <c r="AM115" s="4071"/>
      <c r="AN115" s="4071"/>
      <c r="AO115" s="4071"/>
      <c r="AP115" s="4071"/>
      <c r="AQ115" s="4071"/>
      <c r="AR115" s="4071"/>
      <c r="AS115" s="4071"/>
      <c r="AT115" s="4071"/>
      <c r="AU115" s="4071"/>
      <c r="AV115" s="4071"/>
      <c r="AW115" s="4071"/>
      <c r="AX115" s="4071"/>
      <c r="AY115" s="4071"/>
      <c r="AZ115" s="4071"/>
      <c r="BA115" s="4071"/>
      <c r="BB115" s="4071"/>
      <c r="BC115" s="4071"/>
      <c r="BD115" s="4071"/>
      <c r="BE115" s="4071"/>
      <c r="BF115" s="4072"/>
      <c r="BG115" s="4075"/>
      <c r="BH115" s="4076"/>
      <c r="BI115" s="4079"/>
      <c r="BJ115" s="4079"/>
      <c r="BK115" s="4079"/>
      <c r="BL115" s="4079"/>
      <c r="BM115" s="4080"/>
      <c r="BN115" s="3878"/>
      <c r="BO115" s="3879"/>
      <c r="BP115" s="3879"/>
      <c r="BQ115" s="3879"/>
      <c r="BR115" s="3880"/>
      <c r="BS115" s="3878"/>
      <c r="BT115" s="3879"/>
      <c r="BU115" s="3879"/>
      <c r="BV115" s="3879"/>
      <c r="BW115" s="3879"/>
      <c r="BX115" s="3879"/>
      <c r="BY115" s="3879"/>
      <c r="BZ115" s="3880"/>
      <c r="CA115" s="3878"/>
      <c r="CB115" s="3879"/>
      <c r="CC115" s="3879"/>
      <c r="CD115" s="3879"/>
      <c r="CE115" s="3879"/>
      <c r="CF115" s="3879"/>
      <c r="CG115" s="3879"/>
      <c r="CH115" s="3879"/>
      <c r="CI115" s="3879"/>
      <c r="CJ115" s="3879"/>
      <c r="CK115" s="3879"/>
      <c r="CL115" s="3880"/>
      <c r="CM115" s="4153"/>
      <c r="CN115" s="4154"/>
      <c r="CO115" s="4154"/>
      <c r="CP115" s="4154"/>
      <c r="CQ115" s="4154"/>
      <c r="CR115" s="4154"/>
      <c r="CS115" s="4154"/>
      <c r="CT115" s="4154"/>
      <c r="CU115" s="4154"/>
      <c r="CV115" s="4154"/>
      <c r="CW115" s="4154"/>
      <c r="CX115" s="4154"/>
      <c r="CY115" s="4154"/>
      <c r="CZ115" s="4154"/>
      <c r="DA115" s="4155"/>
      <c r="DB115" s="4065"/>
      <c r="DC115" s="4066"/>
      <c r="DD115" s="4066"/>
      <c r="DE115" s="4066"/>
      <c r="DF115" s="4066"/>
      <c r="DG115" s="4066"/>
      <c r="DH115" s="4066"/>
      <c r="DI115" s="4066"/>
      <c r="DJ115" s="4066"/>
      <c r="DK115" s="4067"/>
      <c r="DL115" s="153"/>
      <c r="DM115" s="154"/>
      <c r="DN115" s="154"/>
      <c r="DO115" s="154"/>
      <c r="DP115" s="154"/>
      <c r="DQ115" s="154"/>
    </row>
    <row r="116" spans="1:148" ht="6.75" customHeight="1" thickTop="1">
      <c r="A116" s="146"/>
      <c r="B116" s="3725">
        <v>1</v>
      </c>
      <c r="C116" s="3726"/>
      <c r="D116" s="3833" t="str">
        <f>IF(ISBLANK(D97),"",D97)</f>
        <v/>
      </c>
      <c r="E116" s="3815"/>
      <c r="F116" s="3815"/>
      <c r="G116" s="3815"/>
      <c r="H116" s="3815"/>
      <c r="I116" s="3815"/>
      <c r="J116" s="3815"/>
      <c r="K116" s="3815"/>
      <c r="L116" s="3815"/>
      <c r="M116" s="3815"/>
      <c r="N116" s="3815"/>
      <c r="O116" s="3815"/>
      <c r="P116" s="3815"/>
      <c r="Q116" s="3816"/>
      <c r="R116" s="3837"/>
      <c r="S116" s="3838"/>
      <c r="T116" s="3838"/>
      <c r="U116" s="3838"/>
      <c r="V116" s="3838"/>
      <c r="W116" s="3838"/>
      <c r="X116" s="3838"/>
      <c r="Y116" s="3839"/>
      <c r="Z116" s="3863"/>
      <c r="AA116" s="3864"/>
      <c r="AB116" s="3864"/>
      <c r="AC116" s="3864"/>
      <c r="AD116" s="3864"/>
      <c r="AE116" s="3864"/>
      <c r="AF116" s="3864"/>
      <c r="AG116" s="3864"/>
      <c r="AH116" s="3864"/>
      <c r="AI116" s="3864"/>
      <c r="AJ116" s="3864"/>
      <c r="AK116" s="3864"/>
      <c r="AL116" s="3864"/>
      <c r="AM116" s="3864"/>
      <c r="AN116" s="3864"/>
      <c r="AO116" s="3864"/>
      <c r="AP116" s="3864"/>
      <c r="AQ116" s="3864"/>
      <c r="AR116" s="3864"/>
      <c r="AS116" s="3864"/>
      <c r="AT116" s="3864"/>
      <c r="AU116" s="3864"/>
      <c r="AV116" s="3864"/>
      <c r="AW116" s="3864"/>
      <c r="AX116" s="3864"/>
      <c r="AY116" s="3864"/>
      <c r="AZ116" s="3864"/>
      <c r="BA116" s="3864"/>
      <c r="BB116" s="3864"/>
      <c r="BC116" s="3864"/>
      <c r="BD116" s="3864"/>
      <c r="BE116" s="3864"/>
      <c r="BF116" s="3865"/>
      <c r="BG116" s="3843" t="s">
        <v>1232</v>
      </c>
      <c r="BH116" s="3844"/>
      <c r="BI116" s="3847"/>
      <c r="BJ116" s="3847"/>
      <c r="BK116" s="3847"/>
      <c r="BL116" s="3847"/>
      <c r="BM116" s="3848"/>
      <c r="BN116" s="3851"/>
      <c r="BO116" s="3852"/>
      <c r="BP116" s="3852"/>
      <c r="BQ116" s="3852"/>
      <c r="BR116" s="3853"/>
      <c r="BS116" s="3857"/>
      <c r="BT116" s="3858"/>
      <c r="BU116" s="3858"/>
      <c r="BV116" s="3858"/>
      <c r="BW116" s="3858"/>
      <c r="BX116" s="3858"/>
      <c r="BY116" s="3858"/>
      <c r="BZ116" s="3859"/>
      <c r="CA116" s="3857"/>
      <c r="CB116" s="3858"/>
      <c r="CC116" s="3858"/>
      <c r="CD116" s="3858"/>
      <c r="CE116" s="3858"/>
      <c r="CF116" s="3858"/>
      <c r="CG116" s="3858"/>
      <c r="CH116" s="3858"/>
      <c r="CI116" s="3858"/>
      <c r="CJ116" s="3858"/>
      <c r="CK116" s="3858"/>
      <c r="CL116" s="3859"/>
      <c r="CM116" s="4046"/>
      <c r="CN116" s="4047"/>
      <c r="CO116" s="4047"/>
      <c r="CP116" s="4047"/>
      <c r="CQ116" s="4047"/>
      <c r="CR116" s="4047"/>
      <c r="CS116" s="4047"/>
      <c r="CT116" s="4047"/>
      <c r="CU116" s="4047"/>
      <c r="CV116" s="4047"/>
      <c r="CW116" s="4047"/>
      <c r="CX116" s="4047"/>
      <c r="CY116" s="4047"/>
      <c r="CZ116" s="4047"/>
      <c r="DA116" s="4048"/>
      <c r="DB116" s="4049"/>
      <c r="DC116" s="4050"/>
      <c r="DD116" s="4050"/>
      <c r="DE116" s="4050"/>
      <c r="DF116" s="4050"/>
      <c r="DG116" s="4050"/>
      <c r="DH116" s="4050"/>
      <c r="DI116" s="4050"/>
      <c r="DJ116" s="4050"/>
      <c r="DK116" s="4051"/>
      <c r="DL116" s="153"/>
      <c r="DM116" s="154"/>
      <c r="DN116" s="154"/>
      <c r="DO116" s="154"/>
      <c r="DP116" s="154"/>
      <c r="DQ116" s="154"/>
    </row>
    <row r="117" spans="1:148" ht="6.75" customHeight="1" thickBot="1">
      <c r="A117" s="146"/>
      <c r="B117" s="3607"/>
      <c r="C117" s="3608"/>
      <c r="D117" s="3834"/>
      <c r="E117" s="3835"/>
      <c r="F117" s="3835"/>
      <c r="G117" s="3835"/>
      <c r="H117" s="3835"/>
      <c r="I117" s="3835"/>
      <c r="J117" s="3835"/>
      <c r="K117" s="3835"/>
      <c r="L117" s="3835"/>
      <c r="M117" s="3835"/>
      <c r="N117" s="3835"/>
      <c r="O117" s="3835"/>
      <c r="P117" s="3835"/>
      <c r="Q117" s="3836"/>
      <c r="R117" s="3840"/>
      <c r="S117" s="3841"/>
      <c r="T117" s="3841"/>
      <c r="U117" s="3841"/>
      <c r="V117" s="3841"/>
      <c r="W117" s="3841"/>
      <c r="X117" s="3841"/>
      <c r="Y117" s="3842"/>
      <c r="Z117" s="3866"/>
      <c r="AA117" s="3867"/>
      <c r="AB117" s="3867"/>
      <c r="AC117" s="3867"/>
      <c r="AD117" s="3867"/>
      <c r="AE117" s="3867"/>
      <c r="AF117" s="3867"/>
      <c r="AG117" s="3867"/>
      <c r="AH117" s="3867"/>
      <c r="AI117" s="3867"/>
      <c r="AJ117" s="3867"/>
      <c r="AK117" s="3867"/>
      <c r="AL117" s="3867"/>
      <c r="AM117" s="3867"/>
      <c r="AN117" s="3867"/>
      <c r="AO117" s="3867"/>
      <c r="AP117" s="3867"/>
      <c r="AQ117" s="3867"/>
      <c r="AR117" s="3867"/>
      <c r="AS117" s="3867"/>
      <c r="AT117" s="3867"/>
      <c r="AU117" s="3867"/>
      <c r="AV117" s="3867"/>
      <c r="AW117" s="3867"/>
      <c r="AX117" s="3867"/>
      <c r="AY117" s="3867"/>
      <c r="AZ117" s="3867"/>
      <c r="BA117" s="3867"/>
      <c r="BB117" s="3867"/>
      <c r="BC117" s="3867"/>
      <c r="BD117" s="3867"/>
      <c r="BE117" s="3867"/>
      <c r="BF117" s="3868"/>
      <c r="BG117" s="3845"/>
      <c r="BH117" s="3846"/>
      <c r="BI117" s="3849"/>
      <c r="BJ117" s="3849"/>
      <c r="BK117" s="3849"/>
      <c r="BL117" s="3849"/>
      <c r="BM117" s="3850"/>
      <c r="BN117" s="3854"/>
      <c r="BO117" s="3855"/>
      <c r="BP117" s="3855"/>
      <c r="BQ117" s="3855"/>
      <c r="BR117" s="3856"/>
      <c r="BS117" s="3860"/>
      <c r="BT117" s="3861"/>
      <c r="BU117" s="3861"/>
      <c r="BV117" s="3861"/>
      <c r="BW117" s="3861"/>
      <c r="BX117" s="3861"/>
      <c r="BY117" s="3861"/>
      <c r="BZ117" s="3862"/>
      <c r="CA117" s="3860"/>
      <c r="CB117" s="3861"/>
      <c r="CC117" s="3861"/>
      <c r="CD117" s="3861"/>
      <c r="CE117" s="3861"/>
      <c r="CF117" s="3861"/>
      <c r="CG117" s="3861"/>
      <c r="CH117" s="3861"/>
      <c r="CI117" s="3861"/>
      <c r="CJ117" s="3861"/>
      <c r="CK117" s="3861"/>
      <c r="CL117" s="3862"/>
      <c r="CM117" s="4037"/>
      <c r="CN117" s="4038"/>
      <c r="CO117" s="4038"/>
      <c r="CP117" s="4038"/>
      <c r="CQ117" s="4038"/>
      <c r="CR117" s="4038"/>
      <c r="CS117" s="4038"/>
      <c r="CT117" s="4038"/>
      <c r="CU117" s="4038"/>
      <c r="CV117" s="4038"/>
      <c r="CW117" s="4038"/>
      <c r="CX117" s="4038"/>
      <c r="CY117" s="4038"/>
      <c r="CZ117" s="4038"/>
      <c r="DA117" s="4039"/>
      <c r="DB117" s="4043"/>
      <c r="DC117" s="4044"/>
      <c r="DD117" s="4044"/>
      <c r="DE117" s="4044"/>
      <c r="DF117" s="4044"/>
      <c r="DG117" s="4044"/>
      <c r="DH117" s="4044"/>
      <c r="DI117" s="4044"/>
      <c r="DJ117" s="4044"/>
      <c r="DK117" s="4045"/>
      <c r="DL117" s="153"/>
      <c r="DM117" s="154"/>
      <c r="DN117" s="154"/>
      <c r="DO117" s="154"/>
      <c r="DP117" s="154"/>
      <c r="DQ117" s="154"/>
    </row>
    <row r="118" spans="1:148" ht="6.75" customHeight="1" thickTop="1">
      <c r="A118" s="146"/>
      <c r="B118" s="3607">
        <v>2</v>
      </c>
      <c r="C118" s="3608"/>
      <c r="D118" s="3833" t="str">
        <f>IF(ISBLANK(D99),"",D99)</f>
        <v/>
      </c>
      <c r="E118" s="3815"/>
      <c r="F118" s="3815"/>
      <c r="G118" s="3815"/>
      <c r="H118" s="3815"/>
      <c r="I118" s="3815"/>
      <c r="J118" s="3815"/>
      <c r="K118" s="3815"/>
      <c r="L118" s="3815"/>
      <c r="M118" s="3815"/>
      <c r="N118" s="3815"/>
      <c r="O118" s="3815"/>
      <c r="P118" s="3815"/>
      <c r="Q118" s="3816"/>
      <c r="R118" s="3840"/>
      <c r="S118" s="3841"/>
      <c r="T118" s="3841"/>
      <c r="U118" s="3841"/>
      <c r="V118" s="3841"/>
      <c r="W118" s="3841"/>
      <c r="X118" s="3841"/>
      <c r="Y118" s="3842"/>
      <c r="Z118" s="3866"/>
      <c r="AA118" s="3867"/>
      <c r="AB118" s="3867"/>
      <c r="AC118" s="3867"/>
      <c r="AD118" s="3867"/>
      <c r="AE118" s="3867"/>
      <c r="AF118" s="3867"/>
      <c r="AG118" s="3867"/>
      <c r="AH118" s="3867"/>
      <c r="AI118" s="3867"/>
      <c r="AJ118" s="3867"/>
      <c r="AK118" s="3867"/>
      <c r="AL118" s="3867"/>
      <c r="AM118" s="3867"/>
      <c r="AN118" s="3867"/>
      <c r="AO118" s="3867"/>
      <c r="AP118" s="3867"/>
      <c r="AQ118" s="3867"/>
      <c r="AR118" s="3867"/>
      <c r="AS118" s="3867"/>
      <c r="AT118" s="3867"/>
      <c r="AU118" s="3867"/>
      <c r="AV118" s="3867"/>
      <c r="AW118" s="3867"/>
      <c r="AX118" s="3867"/>
      <c r="AY118" s="3867"/>
      <c r="AZ118" s="3867"/>
      <c r="BA118" s="3867"/>
      <c r="BB118" s="3867"/>
      <c r="BC118" s="3867"/>
      <c r="BD118" s="3867"/>
      <c r="BE118" s="3867"/>
      <c r="BF118" s="3868"/>
      <c r="BG118" s="3887" t="s">
        <v>1232</v>
      </c>
      <c r="BH118" s="3888"/>
      <c r="BI118" s="3889"/>
      <c r="BJ118" s="3889"/>
      <c r="BK118" s="3889"/>
      <c r="BL118" s="3889"/>
      <c r="BM118" s="3890"/>
      <c r="BN118" s="3915"/>
      <c r="BO118" s="3916"/>
      <c r="BP118" s="3916"/>
      <c r="BQ118" s="3916"/>
      <c r="BR118" s="3917"/>
      <c r="BS118" s="3884"/>
      <c r="BT118" s="3885"/>
      <c r="BU118" s="3885"/>
      <c r="BV118" s="3885"/>
      <c r="BW118" s="3885"/>
      <c r="BX118" s="3885"/>
      <c r="BY118" s="3885"/>
      <c r="BZ118" s="3886"/>
      <c r="CA118" s="3884"/>
      <c r="CB118" s="3885"/>
      <c r="CC118" s="3885"/>
      <c r="CD118" s="3885"/>
      <c r="CE118" s="3885"/>
      <c r="CF118" s="3885"/>
      <c r="CG118" s="3885"/>
      <c r="CH118" s="3885"/>
      <c r="CI118" s="3885"/>
      <c r="CJ118" s="3885"/>
      <c r="CK118" s="3885"/>
      <c r="CL118" s="3886"/>
      <c r="CM118" s="4034"/>
      <c r="CN118" s="4035"/>
      <c r="CO118" s="4035"/>
      <c r="CP118" s="4035"/>
      <c r="CQ118" s="4035"/>
      <c r="CR118" s="4035"/>
      <c r="CS118" s="4035"/>
      <c r="CT118" s="4035"/>
      <c r="CU118" s="4035"/>
      <c r="CV118" s="4035"/>
      <c r="CW118" s="4035"/>
      <c r="CX118" s="4035"/>
      <c r="CY118" s="4035"/>
      <c r="CZ118" s="4035"/>
      <c r="DA118" s="4036"/>
      <c r="DB118" s="4040"/>
      <c r="DC118" s="4041"/>
      <c r="DD118" s="4041"/>
      <c r="DE118" s="4041"/>
      <c r="DF118" s="4041"/>
      <c r="DG118" s="4041"/>
      <c r="DH118" s="4041"/>
      <c r="DI118" s="4041"/>
      <c r="DJ118" s="4041"/>
      <c r="DK118" s="4042"/>
      <c r="DL118" s="153"/>
      <c r="DM118" s="154"/>
      <c r="DN118" s="154"/>
      <c r="DO118" s="154"/>
      <c r="DP118" s="154"/>
      <c r="DQ118" s="154"/>
    </row>
    <row r="119" spans="1:148" ht="6.75" customHeight="1" thickBot="1">
      <c r="A119" s="146"/>
      <c r="B119" s="3607"/>
      <c r="C119" s="3608"/>
      <c r="D119" s="3834"/>
      <c r="E119" s="3835"/>
      <c r="F119" s="3835"/>
      <c r="G119" s="3835"/>
      <c r="H119" s="3835"/>
      <c r="I119" s="3835"/>
      <c r="J119" s="3835"/>
      <c r="K119" s="3835"/>
      <c r="L119" s="3835"/>
      <c r="M119" s="3835"/>
      <c r="N119" s="3835"/>
      <c r="O119" s="3835"/>
      <c r="P119" s="3835"/>
      <c r="Q119" s="3836"/>
      <c r="R119" s="3840"/>
      <c r="S119" s="3841"/>
      <c r="T119" s="3841"/>
      <c r="U119" s="3841"/>
      <c r="V119" s="3841"/>
      <c r="W119" s="3841"/>
      <c r="X119" s="3841"/>
      <c r="Y119" s="3842"/>
      <c r="Z119" s="3866"/>
      <c r="AA119" s="3867"/>
      <c r="AB119" s="3867"/>
      <c r="AC119" s="3867"/>
      <c r="AD119" s="3867"/>
      <c r="AE119" s="3867"/>
      <c r="AF119" s="3867"/>
      <c r="AG119" s="3867"/>
      <c r="AH119" s="3867"/>
      <c r="AI119" s="3867"/>
      <c r="AJ119" s="3867"/>
      <c r="AK119" s="3867"/>
      <c r="AL119" s="3867"/>
      <c r="AM119" s="3867"/>
      <c r="AN119" s="3867"/>
      <c r="AO119" s="3867"/>
      <c r="AP119" s="3867"/>
      <c r="AQ119" s="3867"/>
      <c r="AR119" s="3867"/>
      <c r="AS119" s="3867"/>
      <c r="AT119" s="3867"/>
      <c r="AU119" s="3867"/>
      <c r="AV119" s="3867"/>
      <c r="AW119" s="3867"/>
      <c r="AX119" s="3867"/>
      <c r="AY119" s="3867"/>
      <c r="AZ119" s="3867"/>
      <c r="BA119" s="3867"/>
      <c r="BB119" s="3867"/>
      <c r="BC119" s="3867"/>
      <c r="BD119" s="3867"/>
      <c r="BE119" s="3867"/>
      <c r="BF119" s="3868"/>
      <c r="BG119" s="3845"/>
      <c r="BH119" s="3846"/>
      <c r="BI119" s="3849"/>
      <c r="BJ119" s="3849"/>
      <c r="BK119" s="3849"/>
      <c r="BL119" s="3849"/>
      <c r="BM119" s="3850"/>
      <c r="BN119" s="3854"/>
      <c r="BO119" s="3855"/>
      <c r="BP119" s="3855"/>
      <c r="BQ119" s="3855"/>
      <c r="BR119" s="3856"/>
      <c r="BS119" s="3860"/>
      <c r="BT119" s="3861"/>
      <c r="BU119" s="3861"/>
      <c r="BV119" s="3861"/>
      <c r="BW119" s="3861"/>
      <c r="BX119" s="3861"/>
      <c r="BY119" s="3861"/>
      <c r="BZ119" s="3862"/>
      <c r="CA119" s="3860"/>
      <c r="CB119" s="3861"/>
      <c r="CC119" s="3861"/>
      <c r="CD119" s="3861"/>
      <c r="CE119" s="3861"/>
      <c r="CF119" s="3861"/>
      <c r="CG119" s="3861"/>
      <c r="CH119" s="3861"/>
      <c r="CI119" s="3861"/>
      <c r="CJ119" s="3861"/>
      <c r="CK119" s="3861"/>
      <c r="CL119" s="3862"/>
      <c r="CM119" s="4037"/>
      <c r="CN119" s="4038"/>
      <c r="CO119" s="4038"/>
      <c r="CP119" s="4038"/>
      <c r="CQ119" s="4038"/>
      <c r="CR119" s="4038"/>
      <c r="CS119" s="4038"/>
      <c r="CT119" s="4038"/>
      <c r="CU119" s="4038"/>
      <c r="CV119" s="4038"/>
      <c r="CW119" s="4038"/>
      <c r="CX119" s="4038"/>
      <c r="CY119" s="4038"/>
      <c r="CZ119" s="4038"/>
      <c r="DA119" s="4039"/>
      <c r="DB119" s="4043"/>
      <c r="DC119" s="4044"/>
      <c r="DD119" s="4044"/>
      <c r="DE119" s="4044"/>
      <c r="DF119" s="4044"/>
      <c r="DG119" s="4044"/>
      <c r="DH119" s="4044"/>
      <c r="DI119" s="4044"/>
      <c r="DJ119" s="4044"/>
      <c r="DK119" s="4045"/>
      <c r="DL119" s="153"/>
      <c r="DM119" s="154"/>
      <c r="DN119" s="154"/>
      <c r="DO119" s="154"/>
      <c r="DP119" s="154"/>
      <c r="DQ119" s="154"/>
    </row>
    <row r="120" spans="1:148" ht="6.75" customHeight="1" thickTop="1">
      <c r="A120" s="146"/>
      <c r="B120" s="3607">
        <v>3</v>
      </c>
      <c r="C120" s="3608"/>
      <c r="D120" s="3833" t="str">
        <f t="shared" ref="D120" si="3">IF(ISBLANK(D101),"",D101)</f>
        <v/>
      </c>
      <c r="E120" s="3815"/>
      <c r="F120" s="3815"/>
      <c r="G120" s="3815"/>
      <c r="H120" s="3815"/>
      <c r="I120" s="3815"/>
      <c r="J120" s="3815"/>
      <c r="K120" s="3815"/>
      <c r="L120" s="3815"/>
      <c r="M120" s="3815"/>
      <c r="N120" s="3815"/>
      <c r="O120" s="3815"/>
      <c r="P120" s="3815"/>
      <c r="Q120" s="3816"/>
      <c r="R120" s="3840"/>
      <c r="S120" s="3841"/>
      <c r="T120" s="3841"/>
      <c r="U120" s="3841"/>
      <c r="V120" s="3841"/>
      <c r="W120" s="3841"/>
      <c r="X120" s="3841"/>
      <c r="Y120" s="3842"/>
      <c r="Z120" s="3866"/>
      <c r="AA120" s="3867"/>
      <c r="AB120" s="3867"/>
      <c r="AC120" s="3867"/>
      <c r="AD120" s="3867"/>
      <c r="AE120" s="3867"/>
      <c r="AF120" s="3867"/>
      <c r="AG120" s="3867"/>
      <c r="AH120" s="3867"/>
      <c r="AI120" s="3867"/>
      <c r="AJ120" s="3867"/>
      <c r="AK120" s="3867"/>
      <c r="AL120" s="3867"/>
      <c r="AM120" s="3867"/>
      <c r="AN120" s="3867"/>
      <c r="AO120" s="3867"/>
      <c r="AP120" s="3867"/>
      <c r="AQ120" s="3867"/>
      <c r="AR120" s="3867"/>
      <c r="AS120" s="3867"/>
      <c r="AT120" s="3867"/>
      <c r="AU120" s="3867"/>
      <c r="AV120" s="3867"/>
      <c r="AW120" s="3867"/>
      <c r="AX120" s="3867"/>
      <c r="AY120" s="3867"/>
      <c r="AZ120" s="3867"/>
      <c r="BA120" s="3867"/>
      <c r="BB120" s="3867"/>
      <c r="BC120" s="3867"/>
      <c r="BD120" s="3867"/>
      <c r="BE120" s="3867"/>
      <c r="BF120" s="3868"/>
      <c r="BG120" s="3887" t="s">
        <v>1232</v>
      </c>
      <c r="BH120" s="3888"/>
      <c r="BI120" s="3889"/>
      <c r="BJ120" s="3889"/>
      <c r="BK120" s="3889"/>
      <c r="BL120" s="3889"/>
      <c r="BM120" s="3890"/>
      <c r="BN120" s="3915"/>
      <c r="BO120" s="3916"/>
      <c r="BP120" s="3916"/>
      <c r="BQ120" s="3916"/>
      <c r="BR120" s="3917"/>
      <c r="BS120" s="3884"/>
      <c r="BT120" s="3885"/>
      <c r="BU120" s="3885"/>
      <c r="BV120" s="3885"/>
      <c r="BW120" s="3885"/>
      <c r="BX120" s="3885"/>
      <c r="BY120" s="3885"/>
      <c r="BZ120" s="3886"/>
      <c r="CA120" s="3884"/>
      <c r="CB120" s="3885"/>
      <c r="CC120" s="3885"/>
      <c r="CD120" s="3885"/>
      <c r="CE120" s="3885"/>
      <c r="CF120" s="3885"/>
      <c r="CG120" s="3885"/>
      <c r="CH120" s="3885"/>
      <c r="CI120" s="3885"/>
      <c r="CJ120" s="3885"/>
      <c r="CK120" s="3885"/>
      <c r="CL120" s="3886"/>
      <c r="CM120" s="4034"/>
      <c r="CN120" s="4035"/>
      <c r="CO120" s="4035"/>
      <c r="CP120" s="4035"/>
      <c r="CQ120" s="4035"/>
      <c r="CR120" s="4035"/>
      <c r="CS120" s="4035"/>
      <c r="CT120" s="4035"/>
      <c r="CU120" s="4035"/>
      <c r="CV120" s="4035"/>
      <c r="CW120" s="4035"/>
      <c r="CX120" s="4035"/>
      <c r="CY120" s="4035"/>
      <c r="CZ120" s="4035"/>
      <c r="DA120" s="4036"/>
      <c r="DB120" s="4040"/>
      <c r="DC120" s="4041"/>
      <c r="DD120" s="4041"/>
      <c r="DE120" s="4041"/>
      <c r="DF120" s="4041"/>
      <c r="DG120" s="4041"/>
      <c r="DH120" s="4041"/>
      <c r="DI120" s="4041"/>
      <c r="DJ120" s="4041"/>
      <c r="DK120" s="4042"/>
      <c r="DL120" s="153"/>
      <c r="DM120" s="154"/>
      <c r="DN120" s="154"/>
      <c r="DO120" s="154"/>
      <c r="DP120" s="154"/>
      <c r="DQ120" s="154"/>
    </row>
    <row r="121" spans="1:148" ht="6.75" customHeight="1" thickBot="1">
      <c r="A121" s="146"/>
      <c r="B121" s="3607"/>
      <c r="C121" s="3608"/>
      <c r="D121" s="3834"/>
      <c r="E121" s="3835"/>
      <c r="F121" s="3835"/>
      <c r="G121" s="3835"/>
      <c r="H121" s="3835"/>
      <c r="I121" s="3835"/>
      <c r="J121" s="3835"/>
      <c r="K121" s="3835"/>
      <c r="L121" s="3835"/>
      <c r="M121" s="3835"/>
      <c r="N121" s="3835"/>
      <c r="O121" s="3835"/>
      <c r="P121" s="3835"/>
      <c r="Q121" s="3836"/>
      <c r="R121" s="3840"/>
      <c r="S121" s="3841"/>
      <c r="T121" s="3841"/>
      <c r="U121" s="3841"/>
      <c r="V121" s="3841"/>
      <c r="W121" s="3841"/>
      <c r="X121" s="3841"/>
      <c r="Y121" s="3842"/>
      <c r="Z121" s="3866"/>
      <c r="AA121" s="3867"/>
      <c r="AB121" s="3867"/>
      <c r="AC121" s="3867"/>
      <c r="AD121" s="3867"/>
      <c r="AE121" s="3867"/>
      <c r="AF121" s="3867"/>
      <c r="AG121" s="3867"/>
      <c r="AH121" s="3867"/>
      <c r="AI121" s="3867"/>
      <c r="AJ121" s="3867"/>
      <c r="AK121" s="3867"/>
      <c r="AL121" s="3867"/>
      <c r="AM121" s="3867"/>
      <c r="AN121" s="3867"/>
      <c r="AO121" s="3867"/>
      <c r="AP121" s="3867"/>
      <c r="AQ121" s="3867"/>
      <c r="AR121" s="3867"/>
      <c r="AS121" s="3867"/>
      <c r="AT121" s="3867"/>
      <c r="AU121" s="3867"/>
      <c r="AV121" s="3867"/>
      <c r="AW121" s="3867"/>
      <c r="AX121" s="3867"/>
      <c r="AY121" s="3867"/>
      <c r="AZ121" s="3867"/>
      <c r="BA121" s="3867"/>
      <c r="BB121" s="3867"/>
      <c r="BC121" s="3867"/>
      <c r="BD121" s="3867"/>
      <c r="BE121" s="3867"/>
      <c r="BF121" s="3868"/>
      <c r="BG121" s="3845"/>
      <c r="BH121" s="3846"/>
      <c r="BI121" s="3849"/>
      <c r="BJ121" s="3849"/>
      <c r="BK121" s="3849"/>
      <c r="BL121" s="3849"/>
      <c r="BM121" s="3850"/>
      <c r="BN121" s="3854"/>
      <c r="BO121" s="3855"/>
      <c r="BP121" s="3855"/>
      <c r="BQ121" s="3855"/>
      <c r="BR121" s="3856"/>
      <c r="BS121" s="3860"/>
      <c r="BT121" s="3861"/>
      <c r="BU121" s="3861"/>
      <c r="BV121" s="3861"/>
      <c r="BW121" s="3861"/>
      <c r="BX121" s="3861"/>
      <c r="BY121" s="3861"/>
      <c r="BZ121" s="3862"/>
      <c r="CA121" s="3860"/>
      <c r="CB121" s="3861"/>
      <c r="CC121" s="3861"/>
      <c r="CD121" s="3861"/>
      <c r="CE121" s="3861"/>
      <c r="CF121" s="3861"/>
      <c r="CG121" s="3861"/>
      <c r="CH121" s="3861"/>
      <c r="CI121" s="3861"/>
      <c r="CJ121" s="3861"/>
      <c r="CK121" s="3861"/>
      <c r="CL121" s="3862"/>
      <c r="CM121" s="4037"/>
      <c r="CN121" s="4038"/>
      <c r="CO121" s="4038"/>
      <c r="CP121" s="4038"/>
      <c r="CQ121" s="4038"/>
      <c r="CR121" s="4038"/>
      <c r="CS121" s="4038"/>
      <c r="CT121" s="4038"/>
      <c r="CU121" s="4038"/>
      <c r="CV121" s="4038"/>
      <c r="CW121" s="4038"/>
      <c r="CX121" s="4038"/>
      <c r="CY121" s="4038"/>
      <c r="CZ121" s="4038"/>
      <c r="DA121" s="4039"/>
      <c r="DB121" s="4043"/>
      <c r="DC121" s="4044"/>
      <c r="DD121" s="4044"/>
      <c r="DE121" s="4044"/>
      <c r="DF121" s="4044"/>
      <c r="DG121" s="4044"/>
      <c r="DH121" s="4044"/>
      <c r="DI121" s="4044"/>
      <c r="DJ121" s="4044"/>
      <c r="DK121" s="4045"/>
      <c r="DL121" s="153"/>
      <c r="DM121" s="154"/>
      <c r="DN121" s="154"/>
      <c r="DO121" s="154"/>
      <c r="DP121" s="154"/>
      <c r="DQ121" s="154"/>
    </row>
    <row r="122" spans="1:148" ht="6.75" customHeight="1" thickTop="1">
      <c r="A122" s="146"/>
      <c r="B122" s="3607">
        <v>4</v>
      </c>
      <c r="C122" s="3608"/>
      <c r="D122" s="3833" t="str">
        <f t="shared" ref="D122" si="4">IF(ISBLANK(D103),"",D103)</f>
        <v/>
      </c>
      <c r="E122" s="3815"/>
      <c r="F122" s="3815"/>
      <c r="G122" s="3815"/>
      <c r="H122" s="3815"/>
      <c r="I122" s="3815"/>
      <c r="J122" s="3815"/>
      <c r="K122" s="3815"/>
      <c r="L122" s="3815"/>
      <c r="M122" s="3815"/>
      <c r="N122" s="3815"/>
      <c r="O122" s="3815"/>
      <c r="P122" s="3815"/>
      <c r="Q122" s="3816"/>
      <c r="R122" s="3840"/>
      <c r="S122" s="3841"/>
      <c r="T122" s="3841"/>
      <c r="U122" s="3841"/>
      <c r="V122" s="3841"/>
      <c r="W122" s="3841"/>
      <c r="X122" s="3841"/>
      <c r="Y122" s="3842"/>
      <c r="Z122" s="3866"/>
      <c r="AA122" s="3867"/>
      <c r="AB122" s="3867"/>
      <c r="AC122" s="3867"/>
      <c r="AD122" s="3867"/>
      <c r="AE122" s="3867"/>
      <c r="AF122" s="3867"/>
      <c r="AG122" s="3867"/>
      <c r="AH122" s="3867"/>
      <c r="AI122" s="3867"/>
      <c r="AJ122" s="3867"/>
      <c r="AK122" s="3867"/>
      <c r="AL122" s="3867"/>
      <c r="AM122" s="3867"/>
      <c r="AN122" s="3867"/>
      <c r="AO122" s="3867"/>
      <c r="AP122" s="3867"/>
      <c r="AQ122" s="3867"/>
      <c r="AR122" s="3867"/>
      <c r="AS122" s="3867"/>
      <c r="AT122" s="3867"/>
      <c r="AU122" s="3867"/>
      <c r="AV122" s="3867"/>
      <c r="AW122" s="3867"/>
      <c r="AX122" s="3867"/>
      <c r="AY122" s="3867"/>
      <c r="AZ122" s="3867"/>
      <c r="BA122" s="3867"/>
      <c r="BB122" s="3867"/>
      <c r="BC122" s="3867"/>
      <c r="BD122" s="3867"/>
      <c r="BE122" s="3867"/>
      <c r="BF122" s="3868"/>
      <c r="BG122" s="3887" t="s">
        <v>1232</v>
      </c>
      <c r="BH122" s="3888"/>
      <c r="BI122" s="3889"/>
      <c r="BJ122" s="3889"/>
      <c r="BK122" s="3889"/>
      <c r="BL122" s="3889"/>
      <c r="BM122" s="3890"/>
      <c r="BN122" s="3915"/>
      <c r="BO122" s="3916"/>
      <c r="BP122" s="3916"/>
      <c r="BQ122" s="3916"/>
      <c r="BR122" s="3917"/>
      <c r="BS122" s="3884"/>
      <c r="BT122" s="3885"/>
      <c r="BU122" s="3885"/>
      <c r="BV122" s="3885"/>
      <c r="BW122" s="3885"/>
      <c r="BX122" s="3885"/>
      <c r="BY122" s="3885"/>
      <c r="BZ122" s="3886"/>
      <c r="CA122" s="3884"/>
      <c r="CB122" s="3885"/>
      <c r="CC122" s="3885"/>
      <c r="CD122" s="3885"/>
      <c r="CE122" s="3885"/>
      <c r="CF122" s="3885"/>
      <c r="CG122" s="3885"/>
      <c r="CH122" s="3885"/>
      <c r="CI122" s="3885"/>
      <c r="CJ122" s="3885"/>
      <c r="CK122" s="3885"/>
      <c r="CL122" s="3886"/>
      <c r="CM122" s="4034"/>
      <c r="CN122" s="4035"/>
      <c r="CO122" s="4035"/>
      <c r="CP122" s="4035"/>
      <c r="CQ122" s="4035"/>
      <c r="CR122" s="4035"/>
      <c r="CS122" s="4035"/>
      <c r="CT122" s="4035"/>
      <c r="CU122" s="4035"/>
      <c r="CV122" s="4035"/>
      <c r="CW122" s="4035"/>
      <c r="CX122" s="4035"/>
      <c r="CY122" s="4035"/>
      <c r="CZ122" s="4035"/>
      <c r="DA122" s="4036"/>
      <c r="DB122" s="4040"/>
      <c r="DC122" s="4041"/>
      <c r="DD122" s="4041"/>
      <c r="DE122" s="4041"/>
      <c r="DF122" s="4041"/>
      <c r="DG122" s="4041"/>
      <c r="DH122" s="4041"/>
      <c r="DI122" s="4041"/>
      <c r="DJ122" s="4041"/>
      <c r="DK122" s="4042"/>
      <c r="DL122" s="153"/>
      <c r="DM122" s="154"/>
      <c r="DN122" s="154"/>
      <c r="DO122" s="154"/>
      <c r="DP122" s="154"/>
      <c r="DQ122" s="154"/>
    </row>
    <row r="123" spans="1:148" ht="6.75" customHeight="1" thickBot="1">
      <c r="A123" s="146"/>
      <c r="B123" s="3607"/>
      <c r="C123" s="3608"/>
      <c r="D123" s="3834"/>
      <c r="E123" s="3835"/>
      <c r="F123" s="3835"/>
      <c r="G123" s="3835"/>
      <c r="H123" s="3835"/>
      <c r="I123" s="3835"/>
      <c r="J123" s="3835"/>
      <c r="K123" s="3835"/>
      <c r="L123" s="3835"/>
      <c r="M123" s="3835"/>
      <c r="N123" s="3835"/>
      <c r="O123" s="3835"/>
      <c r="P123" s="3835"/>
      <c r="Q123" s="3836"/>
      <c r="R123" s="3840"/>
      <c r="S123" s="3841"/>
      <c r="T123" s="3841"/>
      <c r="U123" s="3841"/>
      <c r="V123" s="3841"/>
      <c r="W123" s="3841"/>
      <c r="X123" s="3841"/>
      <c r="Y123" s="3842"/>
      <c r="Z123" s="3866"/>
      <c r="AA123" s="3867"/>
      <c r="AB123" s="3867"/>
      <c r="AC123" s="3867"/>
      <c r="AD123" s="3867"/>
      <c r="AE123" s="3867"/>
      <c r="AF123" s="3867"/>
      <c r="AG123" s="3867"/>
      <c r="AH123" s="3867"/>
      <c r="AI123" s="3867"/>
      <c r="AJ123" s="3867"/>
      <c r="AK123" s="3867"/>
      <c r="AL123" s="3867"/>
      <c r="AM123" s="3867"/>
      <c r="AN123" s="3867"/>
      <c r="AO123" s="3867"/>
      <c r="AP123" s="3867"/>
      <c r="AQ123" s="3867"/>
      <c r="AR123" s="3867"/>
      <c r="AS123" s="3867"/>
      <c r="AT123" s="3867"/>
      <c r="AU123" s="3867"/>
      <c r="AV123" s="3867"/>
      <c r="AW123" s="3867"/>
      <c r="AX123" s="3867"/>
      <c r="AY123" s="3867"/>
      <c r="AZ123" s="3867"/>
      <c r="BA123" s="3867"/>
      <c r="BB123" s="3867"/>
      <c r="BC123" s="3867"/>
      <c r="BD123" s="3867"/>
      <c r="BE123" s="3867"/>
      <c r="BF123" s="3868"/>
      <c r="BG123" s="3845"/>
      <c r="BH123" s="3846"/>
      <c r="BI123" s="3849"/>
      <c r="BJ123" s="3849"/>
      <c r="BK123" s="3849"/>
      <c r="BL123" s="3849"/>
      <c r="BM123" s="3850"/>
      <c r="BN123" s="3854"/>
      <c r="BO123" s="3855"/>
      <c r="BP123" s="3855"/>
      <c r="BQ123" s="3855"/>
      <c r="BR123" s="3856"/>
      <c r="BS123" s="3860"/>
      <c r="BT123" s="3861"/>
      <c r="BU123" s="3861"/>
      <c r="BV123" s="3861"/>
      <c r="BW123" s="3861"/>
      <c r="BX123" s="3861"/>
      <c r="BY123" s="3861"/>
      <c r="BZ123" s="3862"/>
      <c r="CA123" s="3860"/>
      <c r="CB123" s="3861"/>
      <c r="CC123" s="3861"/>
      <c r="CD123" s="3861"/>
      <c r="CE123" s="3861"/>
      <c r="CF123" s="3861"/>
      <c r="CG123" s="3861"/>
      <c r="CH123" s="3861"/>
      <c r="CI123" s="3861"/>
      <c r="CJ123" s="3861"/>
      <c r="CK123" s="3861"/>
      <c r="CL123" s="3862"/>
      <c r="CM123" s="4037"/>
      <c r="CN123" s="4038"/>
      <c r="CO123" s="4038"/>
      <c r="CP123" s="4038"/>
      <c r="CQ123" s="4038"/>
      <c r="CR123" s="4038"/>
      <c r="CS123" s="4038"/>
      <c r="CT123" s="4038"/>
      <c r="CU123" s="4038"/>
      <c r="CV123" s="4038"/>
      <c r="CW123" s="4038"/>
      <c r="CX123" s="4038"/>
      <c r="CY123" s="4038"/>
      <c r="CZ123" s="4038"/>
      <c r="DA123" s="4039"/>
      <c r="DB123" s="4043"/>
      <c r="DC123" s="4044"/>
      <c r="DD123" s="4044"/>
      <c r="DE123" s="4044"/>
      <c r="DF123" s="4044"/>
      <c r="DG123" s="4044"/>
      <c r="DH123" s="4044"/>
      <c r="DI123" s="4044"/>
      <c r="DJ123" s="4044"/>
      <c r="DK123" s="4045"/>
      <c r="DL123" s="153"/>
      <c r="DM123" s="154"/>
      <c r="DN123" s="154"/>
      <c r="DO123" s="154"/>
      <c r="DP123" s="154"/>
      <c r="DQ123" s="154"/>
    </row>
    <row r="124" spans="1:148" ht="6.75" customHeight="1" thickTop="1">
      <c r="A124" s="146"/>
      <c r="B124" s="3607">
        <v>5</v>
      </c>
      <c r="C124" s="3608"/>
      <c r="D124" s="3833" t="str">
        <f t="shared" ref="D124" si="5">IF(ISBLANK(D105),"",D105)</f>
        <v/>
      </c>
      <c r="E124" s="3815"/>
      <c r="F124" s="3815"/>
      <c r="G124" s="3815"/>
      <c r="H124" s="3815"/>
      <c r="I124" s="3815"/>
      <c r="J124" s="3815"/>
      <c r="K124" s="3815"/>
      <c r="L124" s="3815"/>
      <c r="M124" s="3815"/>
      <c r="N124" s="3815"/>
      <c r="O124" s="3815"/>
      <c r="P124" s="3815"/>
      <c r="Q124" s="3816"/>
      <c r="R124" s="3903"/>
      <c r="S124" s="3904"/>
      <c r="T124" s="3904"/>
      <c r="U124" s="3904"/>
      <c r="V124" s="3904"/>
      <c r="W124" s="3904"/>
      <c r="X124" s="3904"/>
      <c r="Y124" s="3905"/>
      <c r="Z124" s="3866"/>
      <c r="AA124" s="3867"/>
      <c r="AB124" s="3867"/>
      <c r="AC124" s="3867"/>
      <c r="AD124" s="3867"/>
      <c r="AE124" s="3867"/>
      <c r="AF124" s="3867"/>
      <c r="AG124" s="3867"/>
      <c r="AH124" s="3867"/>
      <c r="AI124" s="3867"/>
      <c r="AJ124" s="3867"/>
      <c r="AK124" s="3867"/>
      <c r="AL124" s="3867"/>
      <c r="AM124" s="3867"/>
      <c r="AN124" s="3867"/>
      <c r="AO124" s="3867"/>
      <c r="AP124" s="3867"/>
      <c r="AQ124" s="3867"/>
      <c r="AR124" s="3867"/>
      <c r="AS124" s="3867"/>
      <c r="AT124" s="3867"/>
      <c r="AU124" s="3867"/>
      <c r="AV124" s="3867"/>
      <c r="AW124" s="3867"/>
      <c r="AX124" s="3867"/>
      <c r="AY124" s="3867"/>
      <c r="AZ124" s="3867"/>
      <c r="BA124" s="3867"/>
      <c r="BB124" s="3867"/>
      <c r="BC124" s="3867"/>
      <c r="BD124" s="3867"/>
      <c r="BE124" s="3867"/>
      <c r="BF124" s="3868"/>
      <c r="BG124" s="3887" t="s">
        <v>1232</v>
      </c>
      <c r="BH124" s="3888"/>
      <c r="BI124" s="3911"/>
      <c r="BJ124" s="3911"/>
      <c r="BK124" s="3911"/>
      <c r="BL124" s="3911"/>
      <c r="BM124" s="3912"/>
      <c r="BN124" s="3891"/>
      <c r="BO124" s="3892"/>
      <c r="BP124" s="3892"/>
      <c r="BQ124" s="3892"/>
      <c r="BR124" s="3893"/>
      <c r="BS124" s="3897"/>
      <c r="BT124" s="3898"/>
      <c r="BU124" s="3898"/>
      <c r="BV124" s="3898"/>
      <c r="BW124" s="3898"/>
      <c r="BX124" s="3898"/>
      <c r="BY124" s="3898"/>
      <c r="BZ124" s="3899"/>
      <c r="CA124" s="3897"/>
      <c r="CB124" s="3898"/>
      <c r="CC124" s="3898"/>
      <c r="CD124" s="3898"/>
      <c r="CE124" s="3898"/>
      <c r="CF124" s="3898"/>
      <c r="CG124" s="3898"/>
      <c r="CH124" s="3898"/>
      <c r="CI124" s="3898"/>
      <c r="CJ124" s="3898"/>
      <c r="CK124" s="3898"/>
      <c r="CL124" s="3899"/>
      <c r="CM124" s="4095"/>
      <c r="CN124" s="4096"/>
      <c r="CO124" s="4096"/>
      <c r="CP124" s="4096"/>
      <c r="CQ124" s="4096"/>
      <c r="CR124" s="4096"/>
      <c r="CS124" s="4096"/>
      <c r="CT124" s="4096"/>
      <c r="CU124" s="4096"/>
      <c r="CV124" s="4096"/>
      <c r="CW124" s="4096"/>
      <c r="CX124" s="4096"/>
      <c r="CY124" s="4096"/>
      <c r="CZ124" s="4096"/>
      <c r="DA124" s="4097"/>
      <c r="DB124" s="4101"/>
      <c r="DC124" s="4102"/>
      <c r="DD124" s="4102"/>
      <c r="DE124" s="4102"/>
      <c r="DF124" s="4102"/>
      <c r="DG124" s="4102"/>
      <c r="DH124" s="4102"/>
      <c r="DI124" s="4102"/>
      <c r="DJ124" s="4102"/>
      <c r="DK124" s="4103"/>
      <c r="DL124" s="153"/>
      <c r="DM124" s="154"/>
      <c r="DN124" s="154"/>
      <c r="DO124" s="154"/>
      <c r="DP124" s="154"/>
      <c r="DQ124" s="154"/>
    </row>
    <row r="125" spans="1:148" ht="6.75" customHeight="1" thickBot="1">
      <c r="A125" s="146"/>
      <c r="B125" s="3609"/>
      <c r="C125" s="3610"/>
      <c r="D125" s="3834"/>
      <c r="E125" s="3835"/>
      <c r="F125" s="3835"/>
      <c r="G125" s="3835"/>
      <c r="H125" s="3835"/>
      <c r="I125" s="3835"/>
      <c r="J125" s="3835"/>
      <c r="K125" s="3835"/>
      <c r="L125" s="3835"/>
      <c r="M125" s="3835"/>
      <c r="N125" s="3835"/>
      <c r="O125" s="3835"/>
      <c r="P125" s="3835"/>
      <c r="Q125" s="3836"/>
      <c r="R125" s="3906"/>
      <c r="S125" s="3907"/>
      <c r="T125" s="3907"/>
      <c r="U125" s="3907"/>
      <c r="V125" s="3907"/>
      <c r="W125" s="3907"/>
      <c r="X125" s="3907"/>
      <c r="Y125" s="3908"/>
      <c r="Z125" s="3881"/>
      <c r="AA125" s="3882"/>
      <c r="AB125" s="3882"/>
      <c r="AC125" s="3882"/>
      <c r="AD125" s="3882"/>
      <c r="AE125" s="3882"/>
      <c r="AF125" s="3882"/>
      <c r="AG125" s="3882"/>
      <c r="AH125" s="3882"/>
      <c r="AI125" s="3882"/>
      <c r="AJ125" s="3882"/>
      <c r="AK125" s="3882"/>
      <c r="AL125" s="3882"/>
      <c r="AM125" s="3882"/>
      <c r="AN125" s="3882"/>
      <c r="AO125" s="3882"/>
      <c r="AP125" s="3882"/>
      <c r="AQ125" s="3882"/>
      <c r="AR125" s="3882"/>
      <c r="AS125" s="3882"/>
      <c r="AT125" s="3882"/>
      <c r="AU125" s="3882"/>
      <c r="AV125" s="3882"/>
      <c r="AW125" s="3882"/>
      <c r="AX125" s="3882"/>
      <c r="AY125" s="3882"/>
      <c r="AZ125" s="3882"/>
      <c r="BA125" s="3882"/>
      <c r="BB125" s="3882"/>
      <c r="BC125" s="3882"/>
      <c r="BD125" s="3882"/>
      <c r="BE125" s="3882"/>
      <c r="BF125" s="3883"/>
      <c r="BG125" s="3909"/>
      <c r="BH125" s="3910"/>
      <c r="BI125" s="3913"/>
      <c r="BJ125" s="3913"/>
      <c r="BK125" s="3913"/>
      <c r="BL125" s="3913"/>
      <c r="BM125" s="3914"/>
      <c r="BN125" s="3894"/>
      <c r="BO125" s="3895"/>
      <c r="BP125" s="3895"/>
      <c r="BQ125" s="3895"/>
      <c r="BR125" s="3896"/>
      <c r="BS125" s="3900"/>
      <c r="BT125" s="3901"/>
      <c r="BU125" s="3901"/>
      <c r="BV125" s="3901"/>
      <c r="BW125" s="3901"/>
      <c r="BX125" s="3901"/>
      <c r="BY125" s="3901"/>
      <c r="BZ125" s="3902"/>
      <c r="CA125" s="3900"/>
      <c r="CB125" s="3901"/>
      <c r="CC125" s="3901"/>
      <c r="CD125" s="3901"/>
      <c r="CE125" s="3901"/>
      <c r="CF125" s="3901"/>
      <c r="CG125" s="3901"/>
      <c r="CH125" s="3901"/>
      <c r="CI125" s="3901"/>
      <c r="CJ125" s="3901"/>
      <c r="CK125" s="3901"/>
      <c r="CL125" s="3902"/>
      <c r="CM125" s="4098"/>
      <c r="CN125" s="4099"/>
      <c r="CO125" s="4099"/>
      <c r="CP125" s="4099"/>
      <c r="CQ125" s="4099"/>
      <c r="CR125" s="4099"/>
      <c r="CS125" s="4099"/>
      <c r="CT125" s="4099"/>
      <c r="CU125" s="4099"/>
      <c r="CV125" s="4099"/>
      <c r="CW125" s="4099"/>
      <c r="CX125" s="4099"/>
      <c r="CY125" s="4099"/>
      <c r="CZ125" s="4099"/>
      <c r="DA125" s="4100"/>
      <c r="DB125" s="4104"/>
      <c r="DC125" s="4105"/>
      <c r="DD125" s="4105"/>
      <c r="DE125" s="4105"/>
      <c r="DF125" s="4105"/>
      <c r="DG125" s="4105"/>
      <c r="DH125" s="4105"/>
      <c r="DI125" s="4105"/>
      <c r="DJ125" s="4105"/>
      <c r="DK125" s="4106"/>
      <c r="DL125" s="153"/>
      <c r="DM125" s="154"/>
      <c r="DN125" s="154"/>
      <c r="DO125" s="154"/>
      <c r="DP125" s="154"/>
      <c r="DQ125" s="154"/>
    </row>
    <row r="126" spans="1:148" ht="6.75" customHeight="1" thickTop="1" thickBot="1">
      <c r="A126" s="146"/>
      <c r="B126" s="169"/>
      <c r="C126" s="169"/>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1"/>
      <c r="AR126" s="171"/>
      <c r="AS126" s="171"/>
      <c r="AT126" s="171"/>
      <c r="AU126" s="171"/>
      <c r="AV126" s="171"/>
      <c r="AW126" s="171"/>
      <c r="AX126" s="171"/>
      <c r="AY126" s="171"/>
      <c r="AZ126" s="171"/>
      <c r="BA126" s="171"/>
      <c r="BB126" s="172"/>
      <c r="BC126" s="172"/>
      <c r="BD126" s="172"/>
      <c r="BE126" s="172"/>
      <c r="BF126" s="172"/>
      <c r="BG126" s="172"/>
      <c r="BH126" s="172"/>
      <c r="BI126" s="172"/>
      <c r="BJ126" s="172"/>
      <c r="BK126" s="172"/>
      <c r="BL126" s="172"/>
      <c r="BM126" s="172"/>
      <c r="BN126" s="172"/>
      <c r="BO126" s="155"/>
      <c r="BP126" s="155"/>
      <c r="BQ126" s="155"/>
      <c r="BR126" s="155"/>
      <c r="BS126" s="155"/>
      <c r="BT126" s="173"/>
      <c r="BU126" s="173"/>
      <c r="BV126" s="173"/>
      <c r="BW126" s="173"/>
      <c r="BX126" s="173"/>
      <c r="BY126" s="173"/>
      <c r="BZ126" s="173"/>
      <c r="CA126" s="173"/>
      <c r="CB126" s="173"/>
      <c r="CC126" s="172"/>
      <c r="CD126" s="172"/>
      <c r="CE126" s="172"/>
      <c r="CF126" s="172"/>
      <c r="CG126" s="172"/>
      <c r="CH126" s="172"/>
      <c r="CI126" s="172"/>
      <c r="CJ126" s="172"/>
      <c r="CK126" s="172"/>
      <c r="CL126" s="172"/>
      <c r="CM126" s="172"/>
      <c r="CN126" s="172"/>
      <c r="CO126" s="172"/>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6"/>
      <c r="DL126" s="155"/>
      <c r="DM126" s="156"/>
      <c r="DN126" s="156"/>
      <c r="DO126" s="156"/>
      <c r="DP126" s="156"/>
      <c r="DQ126" s="156"/>
    </row>
    <row r="127" spans="1:148" ht="6.75" customHeight="1" thickTop="1">
      <c r="A127" s="146"/>
      <c r="B127" s="3563" t="s">
        <v>318</v>
      </c>
      <c r="C127" s="3564"/>
      <c r="D127" s="3564"/>
      <c r="E127" s="3564"/>
      <c r="F127" s="3564"/>
      <c r="G127" s="3564"/>
      <c r="H127" s="3564"/>
      <c r="I127" s="3564"/>
      <c r="J127" s="3564"/>
      <c r="K127" s="3564"/>
      <c r="L127" s="3564"/>
      <c r="M127" s="3564"/>
      <c r="N127" s="3564"/>
      <c r="O127" s="3564"/>
      <c r="P127" s="3564"/>
      <c r="Q127" s="3564"/>
      <c r="R127" s="3564"/>
      <c r="S127" s="3564"/>
      <c r="T127" s="3564"/>
      <c r="U127" s="3918" t="s">
        <v>319</v>
      </c>
      <c r="V127" s="3918"/>
      <c r="W127" s="3918"/>
      <c r="X127" s="3918"/>
      <c r="Y127" s="3918"/>
      <c r="Z127" s="3918"/>
      <c r="AA127" s="3918"/>
      <c r="AB127" s="3918"/>
      <c r="AC127" s="3918"/>
      <c r="AD127" s="3918"/>
      <c r="AE127" s="3918"/>
      <c r="AF127" s="3918"/>
      <c r="AG127" s="3918"/>
      <c r="AH127" s="3918"/>
      <c r="AI127" s="3918"/>
      <c r="AJ127" s="3918"/>
      <c r="AK127" s="3918"/>
      <c r="AL127" s="3918"/>
      <c r="AM127" s="3918"/>
      <c r="AN127" s="3918"/>
      <c r="AO127" s="395"/>
      <c r="AP127" s="395"/>
      <c r="AQ127" s="395"/>
      <c r="AR127" s="395"/>
      <c r="AS127" s="395"/>
      <c r="AT127" s="395"/>
      <c r="AU127" s="395"/>
      <c r="AV127" s="395"/>
      <c r="AW127" s="395"/>
      <c r="AX127" s="395"/>
      <c r="AY127" s="395"/>
      <c r="AZ127" s="396"/>
      <c r="BA127" s="396"/>
      <c r="BB127" s="396"/>
      <c r="BC127" s="396"/>
      <c r="BD127" s="396"/>
      <c r="BE127" s="396"/>
      <c r="BF127" s="396"/>
      <c r="BG127" s="396"/>
      <c r="BH127" s="396"/>
      <c r="BI127" s="396"/>
      <c r="BJ127" s="396"/>
      <c r="BK127" s="396"/>
      <c r="BL127" s="396"/>
      <c r="BM127" s="396"/>
      <c r="BN127" s="396"/>
      <c r="BO127" s="396"/>
      <c r="BP127" s="395"/>
      <c r="BQ127" s="395"/>
      <c r="BR127" s="395"/>
      <c r="BS127" s="395"/>
      <c r="BT127" s="395"/>
      <c r="BU127" s="395"/>
      <c r="BV127" s="395"/>
      <c r="BW127" s="395"/>
      <c r="BX127" s="395"/>
      <c r="BY127" s="395"/>
      <c r="BZ127" s="395"/>
      <c r="CA127" s="395"/>
      <c r="CB127" s="395"/>
      <c r="CC127" s="395"/>
      <c r="CD127" s="395"/>
      <c r="CE127" s="395"/>
      <c r="CF127" s="395"/>
      <c r="CG127" s="395"/>
      <c r="CH127" s="395"/>
      <c r="CI127" s="395"/>
      <c r="CJ127" s="395"/>
      <c r="CK127" s="395"/>
      <c r="CL127" s="395"/>
      <c r="CM127" s="395"/>
      <c r="CN127" s="395"/>
      <c r="CO127" s="395"/>
      <c r="CP127" s="395"/>
      <c r="CQ127" s="395"/>
      <c r="CR127" s="395"/>
      <c r="CS127" s="395"/>
      <c r="CT127" s="395"/>
      <c r="CU127" s="395"/>
      <c r="CV127" s="395"/>
      <c r="CW127" s="395"/>
      <c r="CX127" s="395"/>
      <c r="CY127" s="395"/>
      <c r="CZ127" s="395"/>
      <c r="DA127" s="395"/>
      <c r="DB127" s="395"/>
      <c r="DC127" s="395"/>
      <c r="DD127" s="395"/>
      <c r="DE127" s="395"/>
      <c r="DF127" s="395"/>
      <c r="DG127" s="395"/>
      <c r="DH127" s="395"/>
      <c r="DI127" s="395"/>
      <c r="DJ127" s="395"/>
      <c r="DK127" s="397"/>
      <c r="DL127" s="128"/>
      <c r="DM127" s="156"/>
      <c r="DN127" s="156"/>
      <c r="DO127" s="156"/>
      <c r="DP127" s="156"/>
      <c r="DQ127" s="156"/>
      <c r="DR127" s="156"/>
      <c r="DS127" s="156"/>
      <c r="DT127" s="156"/>
      <c r="DU127" s="157"/>
      <c r="DV127" s="147"/>
      <c r="DW127" s="147"/>
      <c r="DX127" s="147"/>
      <c r="DY127" s="147"/>
      <c r="DZ127" s="147"/>
      <c r="EA127" s="147"/>
      <c r="EB127" s="147"/>
      <c r="EC127" s="147"/>
      <c r="ED127" s="147"/>
      <c r="EE127" s="147"/>
      <c r="EF127" s="147"/>
      <c r="EG127" s="147"/>
      <c r="EH127" s="147"/>
      <c r="EI127" s="147"/>
      <c r="EJ127" s="147"/>
      <c r="EK127" s="147"/>
      <c r="EL127" s="147"/>
      <c r="EM127" s="147"/>
      <c r="EN127" s="147"/>
      <c r="EO127" s="147"/>
      <c r="EP127" s="147"/>
      <c r="EQ127" s="147"/>
      <c r="ER127" s="147"/>
    </row>
    <row r="128" spans="1:148" ht="6.75" customHeight="1" thickBot="1">
      <c r="A128" s="146"/>
      <c r="B128" s="3565"/>
      <c r="C128" s="3566"/>
      <c r="D128" s="3566"/>
      <c r="E128" s="3566"/>
      <c r="F128" s="3566"/>
      <c r="G128" s="3566"/>
      <c r="H128" s="3566"/>
      <c r="I128" s="3566"/>
      <c r="J128" s="3566"/>
      <c r="K128" s="3566"/>
      <c r="L128" s="3566"/>
      <c r="M128" s="3566"/>
      <c r="N128" s="3566"/>
      <c r="O128" s="3566"/>
      <c r="P128" s="3566"/>
      <c r="Q128" s="3566"/>
      <c r="R128" s="3566"/>
      <c r="S128" s="3566"/>
      <c r="T128" s="3566"/>
      <c r="U128" s="3919"/>
      <c r="V128" s="3919"/>
      <c r="W128" s="3919"/>
      <c r="X128" s="3919"/>
      <c r="Y128" s="3919"/>
      <c r="Z128" s="3919"/>
      <c r="AA128" s="3919"/>
      <c r="AB128" s="3919"/>
      <c r="AC128" s="3919"/>
      <c r="AD128" s="3919"/>
      <c r="AE128" s="3919"/>
      <c r="AF128" s="3919"/>
      <c r="AG128" s="3919"/>
      <c r="AH128" s="3919"/>
      <c r="AI128" s="3919"/>
      <c r="AJ128" s="3919"/>
      <c r="AK128" s="3919"/>
      <c r="AL128" s="3919"/>
      <c r="AM128" s="3919"/>
      <c r="AN128" s="3919"/>
      <c r="AO128" s="168"/>
      <c r="AP128" s="168"/>
      <c r="AQ128" s="168"/>
      <c r="AR128" s="362"/>
      <c r="AS128" s="362"/>
      <c r="AT128" s="362"/>
      <c r="AU128" s="362"/>
      <c r="AV128" s="362"/>
      <c r="AW128" s="362"/>
      <c r="AX128" s="362"/>
      <c r="AY128" s="362"/>
      <c r="AZ128" s="398"/>
      <c r="BA128" s="398"/>
      <c r="BB128" s="398"/>
      <c r="BC128" s="398"/>
      <c r="BD128" s="398"/>
      <c r="BE128" s="398"/>
      <c r="BF128" s="398"/>
      <c r="BG128" s="398"/>
      <c r="BH128" s="398"/>
      <c r="BI128" s="398"/>
      <c r="BJ128" s="398"/>
      <c r="BK128" s="398"/>
      <c r="BL128" s="398"/>
      <c r="BM128" s="398"/>
      <c r="BN128" s="398"/>
      <c r="BO128" s="398"/>
      <c r="BP128" s="168"/>
      <c r="BQ128" s="168"/>
      <c r="BR128" s="168"/>
      <c r="BS128" s="168"/>
      <c r="BT128" s="168"/>
      <c r="BU128" s="168"/>
      <c r="BV128" s="168"/>
      <c r="BW128" s="168"/>
      <c r="BX128" s="168"/>
      <c r="BY128" s="168"/>
      <c r="BZ128" s="168"/>
      <c r="CA128" s="168"/>
      <c r="CB128" s="168"/>
      <c r="CC128" s="168"/>
      <c r="CD128" s="168"/>
      <c r="CE128" s="168"/>
      <c r="CF128" s="168"/>
      <c r="CG128" s="168"/>
      <c r="CH128" s="168"/>
      <c r="CI128" s="168"/>
      <c r="CJ128" s="168"/>
      <c r="CK128" s="168"/>
      <c r="CL128" s="168"/>
      <c r="CM128" s="168"/>
      <c r="CN128" s="168"/>
      <c r="CO128" s="168"/>
      <c r="CP128" s="168"/>
      <c r="CQ128" s="168"/>
      <c r="CR128" s="168"/>
      <c r="CS128" s="168"/>
      <c r="CT128" s="168"/>
      <c r="CU128" s="168"/>
      <c r="CV128" s="168"/>
      <c r="CW128" s="168"/>
      <c r="CX128" s="168"/>
      <c r="CY128" s="168"/>
      <c r="CZ128" s="168"/>
      <c r="DA128" s="168"/>
      <c r="DB128" s="168"/>
      <c r="DC128" s="168"/>
      <c r="DD128" s="168"/>
      <c r="DE128" s="168"/>
      <c r="DF128" s="168"/>
      <c r="DG128" s="168"/>
      <c r="DH128" s="168"/>
      <c r="DI128" s="168"/>
      <c r="DJ128" s="168"/>
      <c r="DK128" s="399"/>
      <c r="DL128" s="128"/>
      <c r="DM128" s="156"/>
      <c r="DN128" s="156"/>
      <c r="DO128" s="156"/>
      <c r="DP128" s="156"/>
      <c r="DQ128" s="156"/>
      <c r="DR128" s="156"/>
      <c r="DS128" s="156"/>
      <c r="DT128" s="156"/>
      <c r="DU128" s="157"/>
      <c r="DV128" s="147"/>
      <c r="DW128" s="147"/>
      <c r="DX128" s="147"/>
      <c r="DY128" s="147"/>
      <c r="DZ128" s="147"/>
      <c r="EA128" s="147"/>
      <c r="EB128" s="147"/>
      <c r="EC128" s="147"/>
      <c r="ED128" s="147"/>
      <c r="EE128" s="147"/>
      <c r="EF128" s="147"/>
      <c r="EG128" s="147"/>
      <c r="EH128" s="147"/>
      <c r="EI128" s="147"/>
      <c r="EJ128" s="147"/>
      <c r="EK128" s="147"/>
      <c r="EL128" s="147"/>
      <c r="EM128" s="147"/>
      <c r="EN128" s="147"/>
      <c r="EO128" s="147"/>
      <c r="EP128" s="147"/>
      <c r="EQ128" s="147"/>
      <c r="ER128" s="147"/>
    </row>
    <row r="129" spans="1:131" ht="6.75" customHeight="1">
      <c r="A129" s="146"/>
      <c r="B129" s="3571" t="s">
        <v>320</v>
      </c>
      <c r="C129" s="3572"/>
      <c r="D129" s="3577" t="s">
        <v>321</v>
      </c>
      <c r="E129" s="3578"/>
      <c r="F129" s="3578"/>
      <c r="G129" s="3578"/>
      <c r="H129" s="3578"/>
      <c r="I129" s="3578"/>
      <c r="J129" s="3578"/>
      <c r="K129" s="3578"/>
      <c r="L129" s="3578"/>
      <c r="M129" s="3578"/>
      <c r="N129" s="3578"/>
      <c r="O129" s="3578"/>
      <c r="P129" s="3578"/>
      <c r="Q129" s="3578"/>
      <c r="R129" s="3578"/>
      <c r="S129" s="3578"/>
      <c r="T129" s="3578"/>
      <c r="U129" s="3578"/>
      <c r="V129" s="3578"/>
      <c r="W129" s="3578"/>
      <c r="X129" s="3578"/>
      <c r="Y129" s="3578"/>
      <c r="Z129" s="3578"/>
      <c r="AA129" s="3579"/>
      <c r="AB129" s="4109" t="s">
        <v>322</v>
      </c>
      <c r="AC129" s="4109"/>
      <c r="AD129" s="4109"/>
      <c r="AE129" s="4109"/>
      <c r="AF129" s="4109"/>
      <c r="AG129" s="4109"/>
      <c r="AH129" s="4109"/>
      <c r="AI129" s="4117" t="s">
        <v>323</v>
      </c>
      <c r="AJ129" s="4118"/>
      <c r="AK129" s="4118"/>
      <c r="AL129" s="4118"/>
      <c r="AM129" s="4118"/>
      <c r="AN129" s="4118"/>
      <c r="AO129" s="4118"/>
      <c r="AP129" s="4118"/>
      <c r="AQ129" s="4119"/>
      <c r="AR129" s="4111" t="s">
        <v>324</v>
      </c>
      <c r="AS129" s="4112"/>
      <c r="AT129" s="4112"/>
      <c r="AU129" s="4112"/>
      <c r="AV129" s="4112"/>
      <c r="AW129" s="4112"/>
      <c r="AX129" s="4112"/>
      <c r="AY129" s="4112"/>
      <c r="AZ129" s="4112"/>
      <c r="BA129" s="4112"/>
      <c r="BB129" s="4112"/>
      <c r="BC129" s="4112"/>
      <c r="BD129" s="4112"/>
      <c r="BE129" s="4113"/>
      <c r="BF129" s="3586" t="s">
        <v>325</v>
      </c>
      <c r="BG129" s="3587"/>
      <c r="BH129" s="3587"/>
      <c r="BI129" s="3587"/>
      <c r="BJ129" s="3587"/>
      <c r="BK129" s="3587"/>
      <c r="BL129" s="3587"/>
      <c r="BM129" s="3587"/>
      <c r="BN129" s="3587"/>
      <c r="BO129" s="3587"/>
      <c r="BP129" s="3587"/>
      <c r="BQ129" s="3587"/>
      <c r="BR129" s="3587"/>
      <c r="BS129" s="3587"/>
      <c r="BT129" s="3587"/>
      <c r="BU129" s="3588"/>
      <c r="BV129" s="3586" t="s">
        <v>817</v>
      </c>
      <c r="BW129" s="3587"/>
      <c r="BX129" s="3587"/>
      <c r="BY129" s="3587"/>
      <c r="BZ129" s="3587"/>
      <c r="CA129" s="3588"/>
      <c r="CB129" s="3578" t="s">
        <v>287</v>
      </c>
      <c r="CC129" s="3578"/>
      <c r="CD129" s="3579"/>
      <c r="CE129" s="3601" t="s">
        <v>288</v>
      </c>
      <c r="CF129" s="3602"/>
      <c r="CG129" s="3602"/>
      <c r="CH129" s="3602"/>
      <c r="CI129" s="3602"/>
      <c r="CJ129" s="3602"/>
      <c r="CK129" s="3602"/>
      <c r="CL129" s="3602"/>
      <c r="CM129" s="3602"/>
      <c r="CN129" s="3602"/>
      <c r="CO129" s="3602"/>
      <c r="CP129" s="3602"/>
      <c r="CQ129" s="3602"/>
      <c r="CR129" s="3602"/>
      <c r="CS129" s="3602"/>
      <c r="CT129" s="3602"/>
      <c r="CU129" s="3602"/>
      <c r="CV129" s="3603"/>
      <c r="CW129" s="3548" t="s">
        <v>290</v>
      </c>
      <c r="CX129" s="3549"/>
      <c r="CY129" s="3549"/>
      <c r="CZ129" s="3549"/>
      <c r="DA129" s="3549"/>
      <c r="DB129" s="3549"/>
      <c r="DC129" s="3549"/>
      <c r="DD129" s="3549"/>
      <c r="DE129" s="3549"/>
      <c r="DF129" s="3549"/>
      <c r="DG129" s="3549"/>
      <c r="DH129" s="3549"/>
      <c r="DI129" s="3549"/>
      <c r="DJ129" s="3549"/>
      <c r="DK129" s="3550"/>
      <c r="DL129" s="147"/>
      <c r="DM129" s="147"/>
      <c r="DN129" s="147"/>
      <c r="DO129" s="147"/>
      <c r="DP129" s="147"/>
      <c r="DQ129" s="147"/>
      <c r="DR129" s="147"/>
      <c r="DS129" s="147"/>
      <c r="DT129" s="147"/>
      <c r="DU129" s="147"/>
      <c r="DV129" s="147"/>
      <c r="DW129" s="147"/>
      <c r="DX129" s="147"/>
      <c r="DY129" s="147"/>
      <c r="DZ129" s="147"/>
      <c r="EA129" s="147"/>
    </row>
    <row r="130" spans="1:131" ht="6.75" customHeight="1">
      <c r="A130" s="146"/>
      <c r="B130" s="3573"/>
      <c r="C130" s="3574"/>
      <c r="D130" s="3580"/>
      <c r="E130" s="3581"/>
      <c r="F130" s="3581"/>
      <c r="G130" s="3581"/>
      <c r="H130" s="3581"/>
      <c r="I130" s="3581"/>
      <c r="J130" s="3581"/>
      <c r="K130" s="3581"/>
      <c r="L130" s="3581"/>
      <c r="M130" s="3581"/>
      <c r="N130" s="3581"/>
      <c r="O130" s="3581"/>
      <c r="P130" s="3581"/>
      <c r="Q130" s="3581"/>
      <c r="R130" s="3581"/>
      <c r="S130" s="3581"/>
      <c r="T130" s="3581"/>
      <c r="U130" s="3581"/>
      <c r="V130" s="3581"/>
      <c r="W130" s="3581"/>
      <c r="X130" s="3581"/>
      <c r="Y130" s="3581"/>
      <c r="Z130" s="3581"/>
      <c r="AA130" s="3582"/>
      <c r="AB130" s="4110"/>
      <c r="AC130" s="4110"/>
      <c r="AD130" s="4110"/>
      <c r="AE130" s="4110"/>
      <c r="AF130" s="4110"/>
      <c r="AG130" s="4110"/>
      <c r="AH130" s="4110"/>
      <c r="AI130" s="4120"/>
      <c r="AJ130" s="4121"/>
      <c r="AK130" s="4121"/>
      <c r="AL130" s="4121"/>
      <c r="AM130" s="4121"/>
      <c r="AN130" s="4121"/>
      <c r="AO130" s="4121"/>
      <c r="AP130" s="4121"/>
      <c r="AQ130" s="4122"/>
      <c r="AR130" s="4114"/>
      <c r="AS130" s="4115"/>
      <c r="AT130" s="4115"/>
      <c r="AU130" s="4115"/>
      <c r="AV130" s="4115"/>
      <c r="AW130" s="4115"/>
      <c r="AX130" s="4115"/>
      <c r="AY130" s="4115"/>
      <c r="AZ130" s="4115"/>
      <c r="BA130" s="4115"/>
      <c r="BB130" s="4115"/>
      <c r="BC130" s="4115"/>
      <c r="BD130" s="4115"/>
      <c r="BE130" s="4116"/>
      <c r="BF130" s="3589"/>
      <c r="BG130" s="3590"/>
      <c r="BH130" s="3590"/>
      <c r="BI130" s="3590"/>
      <c r="BJ130" s="3590"/>
      <c r="BK130" s="3590"/>
      <c r="BL130" s="3590"/>
      <c r="BM130" s="3590"/>
      <c r="BN130" s="3590"/>
      <c r="BO130" s="3590"/>
      <c r="BP130" s="3590"/>
      <c r="BQ130" s="3590"/>
      <c r="BR130" s="3590"/>
      <c r="BS130" s="3590"/>
      <c r="BT130" s="3590"/>
      <c r="BU130" s="3591"/>
      <c r="BV130" s="3589"/>
      <c r="BW130" s="3590"/>
      <c r="BX130" s="3590"/>
      <c r="BY130" s="3590"/>
      <c r="BZ130" s="3590"/>
      <c r="CA130" s="3591"/>
      <c r="CB130" s="3581"/>
      <c r="CC130" s="3581"/>
      <c r="CD130" s="3582"/>
      <c r="CE130" s="3604"/>
      <c r="CF130" s="3605"/>
      <c r="CG130" s="3605"/>
      <c r="CH130" s="3605"/>
      <c r="CI130" s="3605"/>
      <c r="CJ130" s="3605"/>
      <c r="CK130" s="3605"/>
      <c r="CL130" s="3605"/>
      <c r="CM130" s="3605"/>
      <c r="CN130" s="3605"/>
      <c r="CO130" s="3605"/>
      <c r="CP130" s="3605"/>
      <c r="CQ130" s="3605"/>
      <c r="CR130" s="3605"/>
      <c r="CS130" s="3605"/>
      <c r="CT130" s="3605"/>
      <c r="CU130" s="3605"/>
      <c r="CV130" s="3606"/>
      <c r="CW130" s="3551"/>
      <c r="CX130" s="3552"/>
      <c r="CY130" s="3552"/>
      <c r="CZ130" s="3552"/>
      <c r="DA130" s="3552"/>
      <c r="DB130" s="3552"/>
      <c r="DC130" s="3552"/>
      <c r="DD130" s="3552"/>
      <c r="DE130" s="3552"/>
      <c r="DF130" s="3552"/>
      <c r="DG130" s="3552"/>
      <c r="DH130" s="3552"/>
      <c r="DI130" s="3552"/>
      <c r="DJ130" s="3552"/>
      <c r="DK130" s="3553"/>
      <c r="DL130" s="147"/>
      <c r="DM130" s="147"/>
      <c r="DN130" s="147"/>
      <c r="DO130" s="147"/>
      <c r="DP130" s="147"/>
      <c r="DQ130" s="147"/>
      <c r="DR130" s="147"/>
      <c r="DS130" s="147"/>
      <c r="DT130" s="147"/>
      <c r="DU130" s="147"/>
      <c r="DV130" s="147"/>
      <c r="DW130" s="147"/>
      <c r="DX130" s="147"/>
      <c r="DY130" s="147"/>
      <c r="DZ130" s="147"/>
      <c r="EA130" s="147"/>
    </row>
    <row r="131" spans="1:131" ht="6.75" customHeight="1">
      <c r="A131" s="146"/>
      <c r="B131" s="3573"/>
      <c r="C131" s="3574"/>
      <c r="D131" s="3580"/>
      <c r="E131" s="3581"/>
      <c r="F131" s="3581"/>
      <c r="G131" s="3581"/>
      <c r="H131" s="3581"/>
      <c r="I131" s="3581"/>
      <c r="J131" s="3581"/>
      <c r="K131" s="3581"/>
      <c r="L131" s="3581"/>
      <c r="M131" s="3581"/>
      <c r="N131" s="3581"/>
      <c r="O131" s="3581"/>
      <c r="P131" s="3581"/>
      <c r="Q131" s="3581"/>
      <c r="R131" s="3581"/>
      <c r="S131" s="3581"/>
      <c r="T131" s="3581"/>
      <c r="U131" s="3581"/>
      <c r="V131" s="3581"/>
      <c r="W131" s="3581"/>
      <c r="X131" s="3581"/>
      <c r="Y131" s="3581"/>
      <c r="Z131" s="3581"/>
      <c r="AA131" s="3582"/>
      <c r="AB131" s="4110"/>
      <c r="AC131" s="4110"/>
      <c r="AD131" s="4110"/>
      <c r="AE131" s="4110"/>
      <c r="AF131" s="4110"/>
      <c r="AG131" s="4110"/>
      <c r="AH131" s="4110"/>
      <c r="AI131" s="4120"/>
      <c r="AJ131" s="4121"/>
      <c r="AK131" s="4121"/>
      <c r="AL131" s="4121"/>
      <c r="AM131" s="4121"/>
      <c r="AN131" s="4121"/>
      <c r="AO131" s="4121"/>
      <c r="AP131" s="4121"/>
      <c r="AQ131" s="4122"/>
      <c r="AR131" s="4114"/>
      <c r="AS131" s="4115"/>
      <c r="AT131" s="4115"/>
      <c r="AU131" s="4115"/>
      <c r="AV131" s="4115"/>
      <c r="AW131" s="4115"/>
      <c r="AX131" s="4115"/>
      <c r="AY131" s="4115"/>
      <c r="AZ131" s="4115"/>
      <c r="BA131" s="4115"/>
      <c r="BB131" s="4115"/>
      <c r="BC131" s="4115"/>
      <c r="BD131" s="4115"/>
      <c r="BE131" s="4116"/>
      <c r="BF131" s="3589"/>
      <c r="BG131" s="3590"/>
      <c r="BH131" s="3590"/>
      <c r="BI131" s="3590"/>
      <c r="BJ131" s="3590"/>
      <c r="BK131" s="3590"/>
      <c r="BL131" s="3590"/>
      <c r="BM131" s="3590"/>
      <c r="BN131" s="3590"/>
      <c r="BO131" s="3590"/>
      <c r="BP131" s="3590"/>
      <c r="BQ131" s="3590"/>
      <c r="BR131" s="3590"/>
      <c r="BS131" s="3590"/>
      <c r="BT131" s="3590"/>
      <c r="BU131" s="3591"/>
      <c r="BV131" s="3589"/>
      <c r="BW131" s="3590"/>
      <c r="BX131" s="3590"/>
      <c r="BY131" s="3590"/>
      <c r="BZ131" s="3590"/>
      <c r="CA131" s="3591"/>
      <c r="CB131" s="3581"/>
      <c r="CC131" s="3581"/>
      <c r="CD131" s="3582"/>
      <c r="CE131" s="3595" t="s">
        <v>326</v>
      </c>
      <c r="CF131" s="3596"/>
      <c r="CG131" s="3596"/>
      <c r="CH131" s="3596"/>
      <c r="CI131" s="3596"/>
      <c r="CJ131" s="3596"/>
      <c r="CK131" s="3596"/>
      <c r="CL131" s="3596"/>
      <c r="CM131" s="3596"/>
      <c r="CN131" s="3596"/>
      <c r="CO131" s="3596"/>
      <c r="CP131" s="3596"/>
      <c r="CQ131" s="3596"/>
      <c r="CR131" s="3596"/>
      <c r="CS131" s="3596"/>
      <c r="CT131" s="3596"/>
      <c r="CU131" s="3596"/>
      <c r="CV131" s="3597"/>
      <c r="CW131" s="3551"/>
      <c r="CX131" s="3552"/>
      <c r="CY131" s="3552"/>
      <c r="CZ131" s="3552"/>
      <c r="DA131" s="3552"/>
      <c r="DB131" s="3552"/>
      <c r="DC131" s="3552"/>
      <c r="DD131" s="3552"/>
      <c r="DE131" s="3552"/>
      <c r="DF131" s="3552"/>
      <c r="DG131" s="3552"/>
      <c r="DH131" s="3552"/>
      <c r="DI131" s="3552"/>
      <c r="DJ131" s="3552"/>
      <c r="DK131" s="3553"/>
      <c r="DL131" s="147"/>
      <c r="DM131" s="147"/>
      <c r="DN131" s="147"/>
      <c r="DO131" s="147"/>
      <c r="DP131" s="147"/>
      <c r="DQ131" s="147"/>
      <c r="DR131" s="147"/>
      <c r="DS131" s="147"/>
      <c r="DT131" s="147"/>
      <c r="DU131" s="147"/>
      <c r="DV131" s="147"/>
      <c r="DW131" s="147"/>
      <c r="DX131" s="147"/>
      <c r="DY131" s="147"/>
      <c r="DZ131" s="147"/>
      <c r="EA131" s="147"/>
    </row>
    <row r="132" spans="1:131" ht="6.75" customHeight="1">
      <c r="A132" s="146"/>
      <c r="B132" s="3575"/>
      <c r="C132" s="3576"/>
      <c r="D132" s="3583"/>
      <c r="E132" s="3584"/>
      <c r="F132" s="3584"/>
      <c r="G132" s="3584"/>
      <c r="H132" s="3584"/>
      <c r="I132" s="3584"/>
      <c r="J132" s="3584"/>
      <c r="K132" s="3584"/>
      <c r="L132" s="3584"/>
      <c r="M132" s="3584"/>
      <c r="N132" s="3584"/>
      <c r="O132" s="3584"/>
      <c r="P132" s="3584"/>
      <c r="Q132" s="3584"/>
      <c r="R132" s="3584"/>
      <c r="S132" s="3584"/>
      <c r="T132" s="3584"/>
      <c r="U132" s="3584"/>
      <c r="V132" s="3584"/>
      <c r="W132" s="3584"/>
      <c r="X132" s="3584"/>
      <c r="Y132" s="3584"/>
      <c r="Z132" s="3584"/>
      <c r="AA132" s="3585"/>
      <c r="AB132" s="4110"/>
      <c r="AC132" s="4110"/>
      <c r="AD132" s="4110"/>
      <c r="AE132" s="4110"/>
      <c r="AF132" s="4110"/>
      <c r="AG132" s="4110"/>
      <c r="AH132" s="4110"/>
      <c r="AI132" s="4123"/>
      <c r="AJ132" s="4124"/>
      <c r="AK132" s="4124"/>
      <c r="AL132" s="4124"/>
      <c r="AM132" s="4124"/>
      <c r="AN132" s="4124"/>
      <c r="AO132" s="4124"/>
      <c r="AP132" s="4124"/>
      <c r="AQ132" s="4125"/>
      <c r="AR132" s="4114"/>
      <c r="AS132" s="4115"/>
      <c r="AT132" s="4115"/>
      <c r="AU132" s="4115"/>
      <c r="AV132" s="4115"/>
      <c r="AW132" s="4115"/>
      <c r="AX132" s="4115"/>
      <c r="AY132" s="4115"/>
      <c r="AZ132" s="4115"/>
      <c r="BA132" s="4115"/>
      <c r="BB132" s="4115"/>
      <c r="BC132" s="4115"/>
      <c r="BD132" s="4115"/>
      <c r="BE132" s="4116"/>
      <c r="BF132" s="3592"/>
      <c r="BG132" s="3593"/>
      <c r="BH132" s="3593"/>
      <c r="BI132" s="3593"/>
      <c r="BJ132" s="3593"/>
      <c r="BK132" s="3593"/>
      <c r="BL132" s="3593"/>
      <c r="BM132" s="3593"/>
      <c r="BN132" s="3593"/>
      <c r="BO132" s="3593"/>
      <c r="BP132" s="3593"/>
      <c r="BQ132" s="3593"/>
      <c r="BR132" s="3593"/>
      <c r="BS132" s="3593"/>
      <c r="BT132" s="3593"/>
      <c r="BU132" s="3594"/>
      <c r="BV132" s="3592"/>
      <c r="BW132" s="3593"/>
      <c r="BX132" s="3593"/>
      <c r="BY132" s="3593"/>
      <c r="BZ132" s="3593"/>
      <c r="CA132" s="3594"/>
      <c r="CB132" s="3584"/>
      <c r="CC132" s="3584"/>
      <c r="CD132" s="3585"/>
      <c r="CE132" s="3598"/>
      <c r="CF132" s="3599"/>
      <c r="CG132" s="3599"/>
      <c r="CH132" s="3599"/>
      <c r="CI132" s="3599"/>
      <c r="CJ132" s="3599"/>
      <c r="CK132" s="3599"/>
      <c r="CL132" s="3599"/>
      <c r="CM132" s="3599"/>
      <c r="CN132" s="3599"/>
      <c r="CO132" s="3599"/>
      <c r="CP132" s="3599"/>
      <c r="CQ132" s="3599"/>
      <c r="CR132" s="3599"/>
      <c r="CS132" s="3599"/>
      <c r="CT132" s="3599"/>
      <c r="CU132" s="3599"/>
      <c r="CV132" s="3600"/>
      <c r="CW132" s="3554"/>
      <c r="CX132" s="3555"/>
      <c r="CY132" s="3555"/>
      <c r="CZ132" s="3555"/>
      <c r="DA132" s="3555"/>
      <c r="DB132" s="3555"/>
      <c r="DC132" s="3555"/>
      <c r="DD132" s="3555"/>
      <c r="DE132" s="3555"/>
      <c r="DF132" s="3555"/>
      <c r="DG132" s="3555"/>
      <c r="DH132" s="3555"/>
      <c r="DI132" s="3555"/>
      <c r="DJ132" s="3555"/>
      <c r="DK132" s="3556"/>
      <c r="DL132" s="147"/>
      <c r="DM132" s="147"/>
      <c r="DN132" s="147"/>
      <c r="DO132" s="147"/>
      <c r="DP132" s="147"/>
      <c r="DQ132" s="147"/>
      <c r="DR132" s="147"/>
      <c r="DS132" s="147"/>
      <c r="DT132" s="147"/>
      <c r="DU132" s="147"/>
      <c r="DV132" s="147"/>
      <c r="DW132" s="147"/>
      <c r="DX132" s="147"/>
      <c r="DY132" s="147"/>
      <c r="DZ132" s="147"/>
      <c r="EA132" s="147"/>
    </row>
    <row r="133" spans="1:131" ht="6.75" customHeight="1">
      <c r="A133" s="146"/>
      <c r="B133" s="4156" t="s">
        <v>277</v>
      </c>
      <c r="C133" s="4157"/>
      <c r="D133" s="3673" t="s">
        <v>874</v>
      </c>
      <c r="E133" s="3674"/>
      <c r="F133" s="3674"/>
      <c r="G133" s="3674"/>
      <c r="H133" s="3674"/>
      <c r="I133" s="3674"/>
      <c r="J133" s="3674"/>
      <c r="K133" s="3674"/>
      <c r="L133" s="3674"/>
      <c r="M133" s="3674"/>
      <c r="N133" s="3674"/>
      <c r="O133" s="3674"/>
      <c r="P133" s="3674"/>
      <c r="Q133" s="3674"/>
      <c r="R133" s="3674"/>
      <c r="S133" s="3674"/>
      <c r="T133" s="3674"/>
      <c r="U133" s="3674"/>
      <c r="V133" s="3674"/>
      <c r="W133" s="3674"/>
      <c r="X133" s="3674"/>
      <c r="Y133" s="3674"/>
      <c r="Z133" s="3674"/>
      <c r="AA133" s="3677"/>
      <c r="AB133" s="4087" t="s">
        <v>327</v>
      </c>
      <c r="AC133" s="4088"/>
      <c r="AD133" s="4088"/>
      <c r="AE133" s="4088"/>
      <c r="AF133" s="4088"/>
      <c r="AG133" s="4088"/>
      <c r="AH133" s="4089"/>
      <c r="AI133" s="4093"/>
      <c r="AJ133" s="4093"/>
      <c r="AK133" s="4093"/>
      <c r="AL133" s="4093"/>
      <c r="AM133" s="4093"/>
      <c r="AN133" s="4093"/>
      <c r="AO133" s="4093"/>
      <c r="AP133" s="4093"/>
      <c r="AQ133" s="4093"/>
      <c r="AR133" s="3926" t="s">
        <v>157</v>
      </c>
      <c r="AS133" s="3927"/>
      <c r="AT133" s="3927"/>
      <c r="AU133" s="3927"/>
      <c r="AV133" s="3927"/>
      <c r="AW133" s="3927"/>
      <c r="AX133" s="3927"/>
      <c r="AY133" s="3927"/>
      <c r="AZ133" s="3927"/>
      <c r="BA133" s="3927"/>
      <c r="BB133" s="3927"/>
      <c r="BC133" s="3927"/>
      <c r="BD133" s="3927"/>
      <c r="BE133" s="3928"/>
      <c r="BF133" s="4107" t="s">
        <v>294</v>
      </c>
      <c r="BG133" s="4107"/>
      <c r="BH133" s="4107"/>
      <c r="BI133" s="4107"/>
      <c r="BJ133" s="4107"/>
      <c r="BK133" s="4107"/>
      <c r="BL133" s="4107"/>
      <c r="BM133" s="4107"/>
      <c r="BN133" s="4107"/>
      <c r="BO133" s="4107"/>
      <c r="BP133" s="4107"/>
      <c r="BQ133" s="4107"/>
      <c r="BR133" s="4107"/>
      <c r="BS133" s="4107"/>
      <c r="BT133" s="4107"/>
      <c r="BU133" s="4107"/>
      <c r="BV133" s="3932">
        <v>500</v>
      </c>
      <c r="BW133" s="3932"/>
      <c r="BX133" s="3932"/>
      <c r="BY133" s="3932"/>
      <c r="BZ133" s="3932"/>
      <c r="CA133" s="3932"/>
      <c r="CB133" s="3932" t="s">
        <v>328</v>
      </c>
      <c r="CC133" s="3932"/>
      <c r="CD133" s="3932"/>
      <c r="CE133" s="3762">
        <v>20</v>
      </c>
      <c r="CF133" s="3763"/>
      <c r="CG133" s="3763"/>
      <c r="CH133" s="3766">
        <v>23</v>
      </c>
      <c r="CI133" s="3766"/>
      <c r="CJ133" s="3766"/>
      <c r="CK133" s="3733" t="s">
        <v>0</v>
      </c>
      <c r="CL133" s="3733"/>
      <c r="CM133" s="3768">
        <v>4</v>
      </c>
      <c r="CN133" s="3768"/>
      <c r="CO133" s="3768"/>
      <c r="CP133" s="3733" t="s">
        <v>1</v>
      </c>
      <c r="CQ133" s="3733"/>
      <c r="CR133" s="3768">
        <v>1</v>
      </c>
      <c r="CS133" s="3768"/>
      <c r="CT133" s="3768"/>
      <c r="CU133" s="3674" t="s">
        <v>2</v>
      </c>
      <c r="CV133" s="3677"/>
      <c r="CW133" s="3920"/>
      <c r="CX133" s="3921"/>
      <c r="CY133" s="3921"/>
      <c r="CZ133" s="3921"/>
      <c r="DA133" s="3921"/>
      <c r="DB133" s="3921"/>
      <c r="DC133" s="3921"/>
      <c r="DD133" s="3921"/>
      <c r="DE133" s="3921"/>
      <c r="DF133" s="3921"/>
      <c r="DG133" s="3921"/>
      <c r="DH133" s="3921"/>
      <c r="DI133" s="3921"/>
      <c r="DJ133" s="3921"/>
      <c r="DK133" s="3922"/>
      <c r="DL133" s="147"/>
      <c r="DM133" s="147"/>
      <c r="DN133" s="147"/>
      <c r="DO133" s="147"/>
      <c r="DP133" s="147"/>
      <c r="DQ133" s="147"/>
      <c r="DR133" s="147"/>
      <c r="DS133" s="147"/>
      <c r="DT133" s="147"/>
      <c r="DU133" s="147"/>
      <c r="DV133" s="147"/>
      <c r="DW133" s="147"/>
      <c r="DX133" s="147"/>
      <c r="DY133" s="147"/>
      <c r="DZ133" s="147"/>
      <c r="EA133" s="147"/>
    </row>
    <row r="134" spans="1:131" ht="6.75" customHeight="1" thickBot="1">
      <c r="A134" s="146"/>
      <c r="B134" s="4158"/>
      <c r="C134" s="4159"/>
      <c r="D134" s="3675"/>
      <c r="E134" s="3676"/>
      <c r="F134" s="3676"/>
      <c r="G134" s="3676"/>
      <c r="H134" s="3676"/>
      <c r="I134" s="3676"/>
      <c r="J134" s="3676"/>
      <c r="K134" s="3676"/>
      <c r="L134" s="3676"/>
      <c r="M134" s="3676"/>
      <c r="N134" s="3676"/>
      <c r="O134" s="3676"/>
      <c r="P134" s="3676"/>
      <c r="Q134" s="3676"/>
      <c r="R134" s="3676"/>
      <c r="S134" s="3676"/>
      <c r="T134" s="3676"/>
      <c r="U134" s="3676"/>
      <c r="V134" s="3676"/>
      <c r="W134" s="3676"/>
      <c r="X134" s="3676"/>
      <c r="Y134" s="3676"/>
      <c r="Z134" s="3676"/>
      <c r="AA134" s="3678"/>
      <c r="AB134" s="4090"/>
      <c r="AC134" s="4091"/>
      <c r="AD134" s="4091"/>
      <c r="AE134" s="4091"/>
      <c r="AF134" s="4091"/>
      <c r="AG134" s="4091"/>
      <c r="AH134" s="4092"/>
      <c r="AI134" s="4094"/>
      <c r="AJ134" s="4094"/>
      <c r="AK134" s="4094"/>
      <c r="AL134" s="4094"/>
      <c r="AM134" s="4094"/>
      <c r="AN134" s="4094"/>
      <c r="AO134" s="4094"/>
      <c r="AP134" s="4094"/>
      <c r="AQ134" s="4094"/>
      <c r="AR134" s="3929"/>
      <c r="AS134" s="3930"/>
      <c r="AT134" s="3930"/>
      <c r="AU134" s="3930"/>
      <c r="AV134" s="3930"/>
      <c r="AW134" s="3930"/>
      <c r="AX134" s="3930"/>
      <c r="AY134" s="3930"/>
      <c r="AZ134" s="3930"/>
      <c r="BA134" s="3930"/>
      <c r="BB134" s="3930"/>
      <c r="BC134" s="3930"/>
      <c r="BD134" s="3930"/>
      <c r="BE134" s="3931"/>
      <c r="BF134" s="4108"/>
      <c r="BG134" s="4108"/>
      <c r="BH134" s="4108"/>
      <c r="BI134" s="4108"/>
      <c r="BJ134" s="4108"/>
      <c r="BK134" s="4108"/>
      <c r="BL134" s="4108"/>
      <c r="BM134" s="4108"/>
      <c r="BN134" s="4108"/>
      <c r="BO134" s="4108"/>
      <c r="BP134" s="4108"/>
      <c r="BQ134" s="4108"/>
      <c r="BR134" s="4108"/>
      <c r="BS134" s="4108"/>
      <c r="BT134" s="4108"/>
      <c r="BU134" s="4108"/>
      <c r="BV134" s="3933"/>
      <c r="BW134" s="3933"/>
      <c r="BX134" s="3933"/>
      <c r="BY134" s="3933"/>
      <c r="BZ134" s="3933"/>
      <c r="CA134" s="3933"/>
      <c r="CB134" s="3933"/>
      <c r="CC134" s="3933"/>
      <c r="CD134" s="3933"/>
      <c r="CE134" s="3764"/>
      <c r="CF134" s="3765"/>
      <c r="CG134" s="3765"/>
      <c r="CH134" s="3767"/>
      <c r="CI134" s="3767"/>
      <c r="CJ134" s="3767"/>
      <c r="CK134" s="3734"/>
      <c r="CL134" s="3734"/>
      <c r="CM134" s="3769"/>
      <c r="CN134" s="3769"/>
      <c r="CO134" s="3769"/>
      <c r="CP134" s="3734"/>
      <c r="CQ134" s="3734"/>
      <c r="CR134" s="3769"/>
      <c r="CS134" s="3769"/>
      <c r="CT134" s="3769"/>
      <c r="CU134" s="3676"/>
      <c r="CV134" s="3678"/>
      <c r="CW134" s="3923"/>
      <c r="CX134" s="3924"/>
      <c r="CY134" s="3924"/>
      <c r="CZ134" s="3924"/>
      <c r="DA134" s="3924"/>
      <c r="DB134" s="3924"/>
      <c r="DC134" s="3924"/>
      <c r="DD134" s="3924"/>
      <c r="DE134" s="3924"/>
      <c r="DF134" s="3924"/>
      <c r="DG134" s="3924"/>
      <c r="DH134" s="3924"/>
      <c r="DI134" s="3924"/>
      <c r="DJ134" s="3924"/>
      <c r="DK134" s="3925"/>
      <c r="DL134" s="147"/>
      <c r="DM134" s="147"/>
      <c r="DN134" s="147"/>
      <c r="DO134" s="147"/>
      <c r="DP134" s="147"/>
      <c r="DQ134" s="147"/>
      <c r="DR134" s="147"/>
      <c r="DS134" s="147"/>
      <c r="DT134" s="147"/>
      <c r="DU134" s="147"/>
      <c r="DV134" s="147"/>
      <c r="DW134" s="147"/>
      <c r="DX134" s="147"/>
      <c r="DY134" s="147"/>
      <c r="DZ134" s="147"/>
      <c r="EA134" s="147"/>
    </row>
    <row r="135" spans="1:131" ht="6.75" customHeight="1" thickTop="1">
      <c r="A135" s="146"/>
      <c r="B135" s="3990" t="s">
        <v>1270</v>
      </c>
      <c r="C135" s="3991"/>
      <c r="D135" s="3972" t="s">
        <v>872</v>
      </c>
      <c r="E135" s="3973"/>
      <c r="F135" s="3973"/>
      <c r="G135" s="3973"/>
      <c r="H135" s="3973"/>
      <c r="I135" s="3973"/>
      <c r="J135" s="3973"/>
      <c r="K135" s="3973"/>
      <c r="L135" s="3973"/>
      <c r="M135" s="3973"/>
      <c r="N135" s="3973"/>
      <c r="O135" s="3973"/>
      <c r="P135" s="3973"/>
      <c r="Q135" s="3973"/>
      <c r="R135" s="3973"/>
      <c r="S135" s="3973"/>
      <c r="T135" s="3973"/>
      <c r="U135" s="3973"/>
      <c r="V135" s="3973"/>
      <c r="W135" s="3973"/>
      <c r="X135" s="3973"/>
      <c r="Y135" s="3973"/>
      <c r="Z135" s="3973"/>
      <c r="AA135" s="3974"/>
      <c r="AB135" s="3978"/>
      <c r="AC135" s="3979"/>
      <c r="AD135" s="3979"/>
      <c r="AE135" s="3979"/>
      <c r="AF135" s="3979"/>
      <c r="AG135" s="3979"/>
      <c r="AH135" s="3980"/>
      <c r="AI135" s="3984"/>
      <c r="AJ135" s="3985"/>
      <c r="AK135" s="3985"/>
      <c r="AL135" s="3985"/>
      <c r="AM135" s="3985"/>
      <c r="AN135" s="3985"/>
      <c r="AO135" s="3985"/>
      <c r="AP135" s="3985"/>
      <c r="AQ135" s="3986"/>
      <c r="AR135" s="4084"/>
      <c r="AS135" s="4085"/>
      <c r="AT135" s="4085"/>
      <c r="AU135" s="4085"/>
      <c r="AV135" s="4085"/>
      <c r="AW135" s="4085"/>
      <c r="AX135" s="4085"/>
      <c r="AY135" s="4085"/>
      <c r="AZ135" s="4085"/>
      <c r="BA135" s="4085"/>
      <c r="BB135" s="4085"/>
      <c r="BC135" s="4085"/>
      <c r="BD135" s="4085"/>
      <c r="BE135" s="4086"/>
      <c r="BF135" s="4143"/>
      <c r="BG135" s="4144"/>
      <c r="BH135" s="4144"/>
      <c r="BI135" s="4144"/>
      <c r="BJ135" s="4144"/>
      <c r="BK135" s="4144"/>
      <c r="BL135" s="4144"/>
      <c r="BM135" s="4144"/>
      <c r="BN135" s="4144"/>
      <c r="BO135" s="4144"/>
      <c r="BP135" s="4144"/>
      <c r="BQ135" s="4144"/>
      <c r="BR135" s="4144"/>
      <c r="BS135" s="4144"/>
      <c r="BT135" s="4144"/>
      <c r="BU135" s="4144"/>
      <c r="BV135" s="4204"/>
      <c r="BW135" s="4205"/>
      <c r="BX135" s="4205"/>
      <c r="BY135" s="4205"/>
      <c r="BZ135" s="4205"/>
      <c r="CA135" s="4206"/>
      <c r="CB135" s="4195"/>
      <c r="CC135" s="4196"/>
      <c r="CD135" s="4197"/>
      <c r="CE135" s="4137">
        <v>20</v>
      </c>
      <c r="CF135" s="4138"/>
      <c r="CG135" s="4138"/>
      <c r="CH135" s="4147"/>
      <c r="CI135" s="4147"/>
      <c r="CJ135" s="4147"/>
      <c r="CK135" s="4126" t="s">
        <v>0</v>
      </c>
      <c r="CL135" s="4126"/>
      <c r="CM135" s="4147"/>
      <c r="CN135" s="4147"/>
      <c r="CO135" s="4147"/>
      <c r="CP135" s="4126" t="s">
        <v>1</v>
      </c>
      <c r="CQ135" s="4126"/>
      <c r="CR135" s="4126">
        <v>1</v>
      </c>
      <c r="CS135" s="4126"/>
      <c r="CT135" s="4126"/>
      <c r="CU135" s="4163" t="s">
        <v>296</v>
      </c>
      <c r="CV135" s="4164"/>
      <c r="CW135" s="4177"/>
      <c r="CX135" s="4178"/>
      <c r="CY135" s="4178"/>
      <c r="CZ135" s="4178"/>
      <c r="DA135" s="4178"/>
      <c r="DB135" s="4178"/>
      <c r="DC135" s="4178"/>
      <c r="DD135" s="4178"/>
      <c r="DE135" s="4178"/>
      <c r="DF135" s="4178"/>
      <c r="DG135" s="4178"/>
      <c r="DH135" s="4178"/>
      <c r="DI135" s="4178"/>
      <c r="DJ135" s="4178"/>
      <c r="DK135" s="4179"/>
    </row>
    <row r="136" spans="1:131" ht="6.75" customHeight="1">
      <c r="A136" s="146"/>
      <c r="B136" s="3992"/>
      <c r="C136" s="3993"/>
      <c r="D136" s="3975"/>
      <c r="E136" s="3976"/>
      <c r="F136" s="3976"/>
      <c r="G136" s="3976"/>
      <c r="H136" s="3976"/>
      <c r="I136" s="3976"/>
      <c r="J136" s="3976"/>
      <c r="K136" s="3976"/>
      <c r="L136" s="3976"/>
      <c r="M136" s="3976"/>
      <c r="N136" s="3976"/>
      <c r="O136" s="3976"/>
      <c r="P136" s="3976"/>
      <c r="Q136" s="3976"/>
      <c r="R136" s="3976"/>
      <c r="S136" s="3976"/>
      <c r="T136" s="3976"/>
      <c r="U136" s="3976"/>
      <c r="V136" s="3976"/>
      <c r="W136" s="3976"/>
      <c r="X136" s="3976"/>
      <c r="Y136" s="3976"/>
      <c r="Z136" s="3976"/>
      <c r="AA136" s="3977"/>
      <c r="AB136" s="3981"/>
      <c r="AC136" s="3982"/>
      <c r="AD136" s="3982"/>
      <c r="AE136" s="3982"/>
      <c r="AF136" s="3982"/>
      <c r="AG136" s="3982"/>
      <c r="AH136" s="3983"/>
      <c r="AI136" s="3987"/>
      <c r="AJ136" s="3988"/>
      <c r="AK136" s="3988"/>
      <c r="AL136" s="3988"/>
      <c r="AM136" s="3988"/>
      <c r="AN136" s="3988"/>
      <c r="AO136" s="3988"/>
      <c r="AP136" s="3988"/>
      <c r="AQ136" s="3989"/>
      <c r="AR136" s="3961"/>
      <c r="AS136" s="3962"/>
      <c r="AT136" s="3962"/>
      <c r="AU136" s="3962"/>
      <c r="AV136" s="3962"/>
      <c r="AW136" s="3962"/>
      <c r="AX136" s="3962"/>
      <c r="AY136" s="3962"/>
      <c r="AZ136" s="3962"/>
      <c r="BA136" s="3962"/>
      <c r="BB136" s="3962"/>
      <c r="BC136" s="3962"/>
      <c r="BD136" s="3962"/>
      <c r="BE136" s="3963"/>
      <c r="BF136" s="4145"/>
      <c r="BG136" s="4146"/>
      <c r="BH136" s="4146"/>
      <c r="BI136" s="4146"/>
      <c r="BJ136" s="4146"/>
      <c r="BK136" s="4146"/>
      <c r="BL136" s="4146"/>
      <c r="BM136" s="4146"/>
      <c r="BN136" s="4146"/>
      <c r="BO136" s="4146"/>
      <c r="BP136" s="4146"/>
      <c r="BQ136" s="4146"/>
      <c r="BR136" s="4146"/>
      <c r="BS136" s="4146"/>
      <c r="BT136" s="4146"/>
      <c r="BU136" s="4146"/>
      <c r="BV136" s="4207"/>
      <c r="BW136" s="4208"/>
      <c r="BX136" s="4208"/>
      <c r="BY136" s="4208"/>
      <c r="BZ136" s="4208"/>
      <c r="CA136" s="4209"/>
      <c r="CB136" s="4198"/>
      <c r="CC136" s="4199"/>
      <c r="CD136" s="4200"/>
      <c r="CE136" s="4139"/>
      <c r="CF136" s="4140"/>
      <c r="CG136" s="4140"/>
      <c r="CH136" s="4148"/>
      <c r="CI136" s="4148"/>
      <c r="CJ136" s="4148"/>
      <c r="CK136" s="4127"/>
      <c r="CL136" s="4127"/>
      <c r="CM136" s="4148"/>
      <c r="CN136" s="4148"/>
      <c r="CO136" s="4148"/>
      <c r="CP136" s="4127"/>
      <c r="CQ136" s="4127"/>
      <c r="CR136" s="4127"/>
      <c r="CS136" s="4127"/>
      <c r="CT136" s="4127"/>
      <c r="CU136" s="4165"/>
      <c r="CV136" s="4166"/>
      <c r="CW136" s="4180"/>
      <c r="CX136" s="4181"/>
      <c r="CY136" s="4181"/>
      <c r="CZ136" s="4181"/>
      <c r="DA136" s="4181"/>
      <c r="DB136" s="4181"/>
      <c r="DC136" s="4181"/>
      <c r="DD136" s="4181"/>
      <c r="DE136" s="4181"/>
      <c r="DF136" s="4181"/>
      <c r="DG136" s="4181"/>
      <c r="DH136" s="4181"/>
      <c r="DI136" s="4181"/>
      <c r="DJ136" s="4181"/>
      <c r="DK136" s="4182"/>
    </row>
    <row r="137" spans="1:131" ht="6.75" customHeight="1">
      <c r="A137" s="146"/>
      <c r="B137" s="3607" t="s">
        <v>1271</v>
      </c>
      <c r="C137" s="3994"/>
      <c r="D137" s="4003" t="s">
        <v>873</v>
      </c>
      <c r="E137" s="4004"/>
      <c r="F137" s="4004"/>
      <c r="G137" s="4004"/>
      <c r="H137" s="4004"/>
      <c r="I137" s="4004"/>
      <c r="J137" s="4004"/>
      <c r="K137" s="4004"/>
      <c r="L137" s="4004"/>
      <c r="M137" s="4004"/>
      <c r="N137" s="4004"/>
      <c r="O137" s="4004"/>
      <c r="P137" s="4004"/>
      <c r="Q137" s="4004"/>
      <c r="R137" s="4004"/>
      <c r="S137" s="4004"/>
      <c r="T137" s="4004"/>
      <c r="U137" s="4004"/>
      <c r="V137" s="4004"/>
      <c r="W137" s="4004"/>
      <c r="X137" s="4004"/>
      <c r="Y137" s="4004"/>
      <c r="Z137" s="4004"/>
      <c r="AA137" s="4005"/>
      <c r="AB137" s="4006"/>
      <c r="AC137" s="3964"/>
      <c r="AD137" s="3964"/>
      <c r="AE137" s="3964"/>
      <c r="AF137" s="3964"/>
      <c r="AG137" s="3964"/>
      <c r="AH137" s="3965"/>
      <c r="AI137" s="4215"/>
      <c r="AJ137" s="4215"/>
      <c r="AK137" s="4215"/>
      <c r="AL137" s="4215"/>
      <c r="AM137" s="4215"/>
      <c r="AN137" s="4215"/>
      <c r="AO137" s="4215"/>
      <c r="AP137" s="4215"/>
      <c r="AQ137" s="4215"/>
      <c r="AR137" s="3961"/>
      <c r="AS137" s="3962"/>
      <c r="AT137" s="3962"/>
      <c r="AU137" s="3962"/>
      <c r="AV137" s="3962"/>
      <c r="AW137" s="3962"/>
      <c r="AX137" s="3962"/>
      <c r="AY137" s="3962"/>
      <c r="AZ137" s="3962"/>
      <c r="BA137" s="3962"/>
      <c r="BB137" s="3962"/>
      <c r="BC137" s="3962"/>
      <c r="BD137" s="3962"/>
      <c r="BE137" s="3963"/>
      <c r="BF137" s="4145"/>
      <c r="BG137" s="4146"/>
      <c r="BH137" s="4146"/>
      <c r="BI137" s="4146"/>
      <c r="BJ137" s="4146"/>
      <c r="BK137" s="4146"/>
      <c r="BL137" s="4146"/>
      <c r="BM137" s="4146"/>
      <c r="BN137" s="4146"/>
      <c r="BO137" s="4146"/>
      <c r="BP137" s="4146"/>
      <c r="BQ137" s="4146"/>
      <c r="BR137" s="4146"/>
      <c r="BS137" s="4146"/>
      <c r="BT137" s="4146"/>
      <c r="BU137" s="4146"/>
      <c r="BV137" s="4207"/>
      <c r="BW137" s="4208"/>
      <c r="BX137" s="4208"/>
      <c r="BY137" s="4208"/>
      <c r="BZ137" s="4208"/>
      <c r="CA137" s="4209"/>
      <c r="CB137" s="4198"/>
      <c r="CC137" s="4199"/>
      <c r="CD137" s="4200"/>
      <c r="CE137" s="4139"/>
      <c r="CF137" s="4140"/>
      <c r="CG137" s="4140"/>
      <c r="CH137" s="4148"/>
      <c r="CI137" s="4148"/>
      <c r="CJ137" s="4148"/>
      <c r="CK137" s="4127"/>
      <c r="CL137" s="4127"/>
      <c r="CM137" s="4148"/>
      <c r="CN137" s="4148"/>
      <c r="CO137" s="4148"/>
      <c r="CP137" s="4127"/>
      <c r="CQ137" s="4127"/>
      <c r="CR137" s="4127"/>
      <c r="CS137" s="4127"/>
      <c r="CT137" s="4127"/>
      <c r="CU137" s="4165"/>
      <c r="CV137" s="4166"/>
      <c r="CW137" s="4180"/>
      <c r="CX137" s="4181"/>
      <c r="CY137" s="4181"/>
      <c r="CZ137" s="4181"/>
      <c r="DA137" s="4181"/>
      <c r="DB137" s="4181"/>
      <c r="DC137" s="4181"/>
      <c r="DD137" s="4181"/>
      <c r="DE137" s="4181"/>
      <c r="DF137" s="4181"/>
      <c r="DG137" s="4181"/>
      <c r="DH137" s="4181"/>
      <c r="DI137" s="4181"/>
      <c r="DJ137" s="4181"/>
      <c r="DK137" s="4182"/>
    </row>
    <row r="138" spans="1:131" ht="6.75" customHeight="1">
      <c r="A138" s="146"/>
      <c r="B138" s="3607"/>
      <c r="C138" s="3994"/>
      <c r="D138" s="4081"/>
      <c r="E138" s="4082"/>
      <c r="F138" s="4082"/>
      <c r="G138" s="4082"/>
      <c r="H138" s="4082"/>
      <c r="I138" s="4082"/>
      <c r="J138" s="4082"/>
      <c r="K138" s="4082"/>
      <c r="L138" s="4082"/>
      <c r="M138" s="4082"/>
      <c r="N138" s="4082"/>
      <c r="O138" s="4082"/>
      <c r="P138" s="4082"/>
      <c r="Q138" s="4082"/>
      <c r="R138" s="4082"/>
      <c r="S138" s="4082"/>
      <c r="T138" s="4082"/>
      <c r="U138" s="4082"/>
      <c r="V138" s="4082"/>
      <c r="W138" s="4082"/>
      <c r="X138" s="4082"/>
      <c r="Y138" s="4082"/>
      <c r="Z138" s="4082"/>
      <c r="AA138" s="4083"/>
      <c r="AB138" s="4084"/>
      <c r="AC138" s="4085"/>
      <c r="AD138" s="4085"/>
      <c r="AE138" s="4085"/>
      <c r="AF138" s="4085"/>
      <c r="AG138" s="4085"/>
      <c r="AH138" s="4086"/>
      <c r="AI138" s="4215"/>
      <c r="AJ138" s="4215"/>
      <c r="AK138" s="4215"/>
      <c r="AL138" s="4215"/>
      <c r="AM138" s="4215"/>
      <c r="AN138" s="4215"/>
      <c r="AO138" s="4215"/>
      <c r="AP138" s="4215"/>
      <c r="AQ138" s="4215"/>
      <c r="AR138" s="3961"/>
      <c r="AS138" s="3962"/>
      <c r="AT138" s="3962"/>
      <c r="AU138" s="3962"/>
      <c r="AV138" s="3962"/>
      <c r="AW138" s="3962"/>
      <c r="AX138" s="3962"/>
      <c r="AY138" s="3962"/>
      <c r="AZ138" s="3962"/>
      <c r="BA138" s="3962"/>
      <c r="BB138" s="3962"/>
      <c r="BC138" s="3962"/>
      <c r="BD138" s="3962"/>
      <c r="BE138" s="3963"/>
      <c r="BF138" s="4145"/>
      <c r="BG138" s="4146"/>
      <c r="BH138" s="4146"/>
      <c r="BI138" s="4146"/>
      <c r="BJ138" s="4146"/>
      <c r="BK138" s="4146"/>
      <c r="BL138" s="4146"/>
      <c r="BM138" s="4146"/>
      <c r="BN138" s="4146"/>
      <c r="BO138" s="4146"/>
      <c r="BP138" s="4146"/>
      <c r="BQ138" s="4146"/>
      <c r="BR138" s="4146"/>
      <c r="BS138" s="4146"/>
      <c r="BT138" s="4146"/>
      <c r="BU138" s="4146"/>
      <c r="BV138" s="4207"/>
      <c r="BW138" s="4208"/>
      <c r="BX138" s="4208"/>
      <c r="BY138" s="4208"/>
      <c r="BZ138" s="4208"/>
      <c r="CA138" s="4209"/>
      <c r="CB138" s="4198"/>
      <c r="CC138" s="4199"/>
      <c r="CD138" s="4200"/>
      <c r="CE138" s="4139"/>
      <c r="CF138" s="4140"/>
      <c r="CG138" s="4140"/>
      <c r="CH138" s="4148"/>
      <c r="CI138" s="4148"/>
      <c r="CJ138" s="4148"/>
      <c r="CK138" s="4127"/>
      <c r="CL138" s="4127"/>
      <c r="CM138" s="4148"/>
      <c r="CN138" s="4148"/>
      <c r="CO138" s="4148"/>
      <c r="CP138" s="4127"/>
      <c r="CQ138" s="4127"/>
      <c r="CR138" s="4127"/>
      <c r="CS138" s="4127"/>
      <c r="CT138" s="4127"/>
      <c r="CU138" s="4165"/>
      <c r="CV138" s="4166"/>
      <c r="CW138" s="4180"/>
      <c r="CX138" s="4181"/>
      <c r="CY138" s="4181"/>
      <c r="CZ138" s="4181"/>
      <c r="DA138" s="4181"/>
      <c r="DB138" s="4181"/>
      <c r="DC138" s="4181"/>
      <c r="DD138" s="4181"/>
      <c r="DE138" s="4181"/>
      <c r="DF138" s="4181"/>
      <c r="DG138" s="4181"/>
      <c r="DH138" s="4181"/>
      <c r="DI138" s="4181"/>
      <c r="DJ138" s="4181"/>
      <c r="DK138" s="4182"/>
    </row>
    <row r="139" spans="1:131" ht="6.75" customHeight="1">
      <c r="A139" s="146"/>
      <c r="B139" s="3937" t="s">
        <v>1269</v>
      </c>
      <c r="C139" s="3938"/>
      <c r="D139" s="4003" t="s">
        <v>874</v>
      </c>
      <c r="E139" s="4004"/>
      <c r="F139" s="4004"/>
      <c r="G139" s="4004"/>
      <c r="H139" s="4004"/>
      <c r="I139" s="4004"/>
      <c r="J139" s="4004"/>
      <c r="K139" s="4004"/>
      <c r="L139" s="4004"/>
      <c r="M139" s="4004"/>
      <c r="N139" s="4004"/>
      <c r="O139" s="4004"/>
      <c r="P139" s="4004"/>
      <c r="Q139" s="4004"/>
      <c r="R139" s="4004"/>
      <c r="S139" s="4004"/>
      <c r="T139" s="4004"/>
      <c r="U139" s="4004"/>
      <c r="V139" s="4004"/>
      <c r="W139" s="4004"/>
      <c r="X139" s="4004"/>
      <c r="Y139" s="4004"/>
      <c r="Z139" s="4004"/>
      <c r="AA139" s="4005"/>
      <c r="AB139" s="3981"/>
      <c r="AC139" s="3982"/>
      <c r="AD139" s="3982"/>
      <c r="AE139" s="3982"/>
      <c r="AF139" s="3982"/>
      <c r="AG139" s="3982"/>
      <c r="AH139" s="3983"/>
      <c r="AI139" s="4213"/>
      <c r="AJ139" s="4213"/>
      <c r="AK139" s="4213"/>
      <c r="AL139" s="4213"/>
      <c r="AM139" s="4213"/>
      <c r="AN139" s="4213"/>
      <c r="AO139" s="4213"/>
      <c r="AP139" s="4213"/>
      <c r="AQ139" s="4213"/>
      <c r="AR139" s="3961"/>
      <c r="AS139" s="3962"/>
      <c r="AT139" s="3962"/>
      <c r="AU139" s="3962"/>
      <c r="AV139" s="3962"/>
      <c r="AW139" s="3962"/>
      <c r="AX139" s="3962"/>
      <c r="AY139" s="3962"/>
      <c r="AZ139" s="3962"/>
      <c r="BA139" s="3962"/>
      <c r="BB139" s="3962"/>
      <c r="BC139" s="3962"/>
      <c r="BD139" s="3962"/>
      <c r="BE139" s="3963"/>
      <c r="BF139" s="4145"/>
      <c r="BG139" s="4146"/>
      <c r="BH139" s="4146"/>
      <c r="BI139" s="4146"/>
      <c r="BJ139" s="4146"/>
      <c r="BK139" s="4146"/>
      <c r="BL139" s="4146"/>
      <c r="BM139" s="4146"/>
      <c r="BN139" s="4146"/>
      <c r="BO139" s="4146"/>
      <c r="BP139" s="4146"/>
      <c r="BQ139" s="4146"/>
      <c r="BR139" s="4146"/>
      <c r="BS139" s="4146"/>
      <c r="BT139" s="4146"/>
      <c r="BU139" s="4146"/>
      <c r="BV139" s="4207"/>
      <c r="BW139" s="4208"/>
      <c r="BX139" s="4208"/>
      <c r="BY139" s="4208"/>
      <c r="BZ139" s="4208"/>
      <c r="CA139" s="4209"/>
      <c r="CB139" s="4198"/>
      <c r="CC139" s="4199"/>
      <c r="CD139" s="4200"/>
      <c r="CE139" s="4139"/>
      <c r="CF139" s="4140"/>
      <c r="CG139" s="4140"/>
      <c r="CH139" s="4148"/>
      <c r="CI139" s="4148"/>
      <c r="CJ139" s="4148"/>
      <c r="CK139" s="4127"/>
      <c r="CL139" s="4127"/>
      <c r="CM139" s="4148"/>
      <c r="CN139" s="4148"/>
      <c r="CO139" s="4148"/>
      <c r="CP139" s="4127"/>
      <c r="CQ139" s="4127"/>
      <c r="CR139" s="4127"/>
      <c r="CS139" s="4127"/>
      <c r="CT139" s="4127"/>
      <c r="CU139" s="4165"/>
      <c r="CV139" s="4166"/>
      <c r="CW139" s="4180"/>
      <c r="CX139" s="4181"/>
      <c r="CY139" s="4181"/>
      <c r="CZ139" s="4181"/>
      <c r="DA139" s="4181"/>
      <c r="DB139" s="4181"/>
      <c r="DC139" s="4181"/>
      <c r="DD139" s="4181"/>
      <c r="DE139" s="4181"/>
      <c r="DF139" s="4181"/>
      <c r="DG139" s="4181"/>
      <c r="DH139" s="4181"/>
      <c r="DI139" s="4181"/>
      <c r="DJ139" s="4181"/>
      <c r="DK139" s="4182"/>
    </row>
    <row r="140" spans="1:131" ht="6.75" customHeight="1">
      <c r="A140" s="146"/>
      <c r="B140" s="3939"/>
      <c r="C140" s="3940"/>
      <c r="D140" s="4081"/>
      <c r="E140" s="4082"/>
      <c r="F140" s="4082"/>
      <c r="G140" s="4082"/>
      <c r="H140" s="4082"/>
      <c r="I140" s="4082"/>
      <c r="J140" s="4082"/>
      <c r="K140" s="4082"/>
      <c r="L140" s="4082"/>
      <c r="M140" s="4082"/>
      <c r="N140" s="4082"/>
      <c r="O140" s="4082"/>
      <c r="P140" s="4082"/>
      <c r="Q140" s="4082"/>
      <c r="R140" s="4082"/>
      <c r="S140" s="4082"/>
      <c r="T140" s="4082"/>
      <c r="U140" s="4082"/>
      <c r="V140" s="4082"/>
      <c r="W140" s="4082"/>
      <c r="X140" s="4082"/>
      <c r="Y140" s="4082"/>
      <c r="Z140" s="4082"/>
      <c r="AA140" s="4083"/>
      <c r="AB140" s="4084"/>
      <c r="AC140" s="4085"/>
      <c r="AD140" s="4085"/>
      <c r="AE140" s="4085"/>
      <c r="AF140" s="4085"/>
      <c r="AG140" s="4085"/>
      <c r="AH140" s="4086"/>
      <c r="AI140" s="4213"/>
      <c r="AJ140" s="4213"/>
      <c r="AK140" s="4213"/>
      <c r="AL140" s="4213"/>
      <c r="AM140" s="4213"/>
      <c r="AN140" s="4213"/>
      <c r="AO140" s="4213"/>
      <c r="AP140" s="4213"/>
      <c r="AQ140" s="4213"/>
      <c r="AR140" s="3961"/>
      <c r="AS140" s="3962"/>
      <c r="AT140" s="3962"/>
      <c r="AU140" s="3962"/>
      <c r="AV140" s="3962"/>
      <c r="AW140" s="3962"/>
      <c r="AX140" s="3962"/>
      <c r="AY140" s="3962"/>
      <c r="AZ140" s="3962"/>
      <c r="BA140" s="3962"/>
      <c r="BB140" s="3962"/>
      <c r="BC140" s="3962"/>
      <c r="BD140" s="3962"/>
      <c r="BE140" s="3963"/>
      <c r="BF140" s="4145"/>
      <c r="BG140" s="4146"/>
      <c r="BH140" s="4146"/>
      <c r="BI140" s="4146"/>
      <c r="BJ140" s="4146"/>
      <c r="BK140" s="4146"/>
      <c r="BL140" s="4146"/>
      <c r="BM140" s="4146"/>
      <c r="BN140" s="4146"/>
      <c r="BO140" s="4146"/>
      <c r="BP140" s="4146"/>
      <c r="BQ140" s="4146"/>
      <c r="BR140" s="4146"/>
      <c r="BS140" s="4146"/>
      <c r="BT140" s="4146"/>
      <c r="BU140" s="4146"/>
      <c r="BV140" s="4207"/>
      <c r="BW140" s="4208"/>
      <c r="BX140" s="4208"/>
      <c r="BY140" s="4208"/>
      <c r="BZ140" s="4208"/>
      <c r="CA140" s="4209"/>
      <c r="CB140" s="4198"/>
      <c r="CC140" s="4199"/>
      <c r="CD140" s="4200"/>
      <c r="CE140" s="4139"/>
      <c r="CF140" s="4140"/>
      <c r="CG140" s="4140"/>
      <c r="CH140" s="4148"/>
      <c r="CI140" s="4148"/>
      <c r="CJ140" s="4148"/>
      <c r="CK140" s="4127"/>
      <c r="CL140" s="4127"/>
      <c r="CM140" s="4148"/>
      <c r="CN140" s="4148"/>
      <c r="CO140" s="4148"/>
      <c r="CP140" s="4127"/>
      <c r="CQ140" s="4127"/>
      <c r="CR140" s="4127"/>
      <c r="CS140" s="4127"/>
      <c r="CT140" s="4127"/>
      <c r="CU140" s="4165"/>
      <c r="CV140" s="4166"/>
      <c r="CW140" s="4180"/>
      <c r="CX140" s="4181"/>
      <c r="CY140" s="4181"/>
      <c r="CZ140" s="4181"/>
      <c r="DA140" s="4181"/>
      <c r="DB140" s="4181"/>
      <c r="DC140" s="4181"/>
      <c r="DD140" s="4181"/>
      <c r="DE140" s="4181"/>
      <c r="DF140" s="4181"/>
      <c r="DG140" s="4181"/>
      <c r="DH140" s="4181"/>
      <c r="DI140" s="4181"/>
      <c r="DJ140" s="4181"/>
      <c r="DK140" s="4182"/>
    </row>
    <row r="141" spans="1:131" ht="6.75" customHeight="1">
      <c r="A141" s="146"/>
      <c r="B141" s="3937" t="s">
        <v>1272</v>
      </c>
      <c r="C141" s="3938"/>
      <c r="D141" s="4003" t="s">
        <v>875</v>
      </c>
      <c r="E141" s="4004"/>
      <c r="F141" s="4004"/>
      <c r="G141" s="4004"/>
      <c r="H141" s="4004"/>
      <c r="I141" s="4004"/>
      <c r="J141" s="4004"/>
      <c r="K141" s="4004"/>
      <c r="L141" s="4004"/>
      <c r="M141" s="4004"/>
      <c r="N141" s="4004"/>
      <c r="O141" s="4004"/>
      <c r="P141" s="4004"/>
      <c r="Q141" s="4004"/>
      <c r="R141" s="4004"/>
      <c r="S141" s="4004"/>
      <c r="T141" s="4004"/>
      <c r="U141" s="4004"/>
      <c r="V141" s="4004"/>
      <c r="W141" s="4004"/>
      <c r="X141" s="4004"/>
      <c r="Y141" s="4004"/>
      <c r="Z141" s="4004"/>
      <c r="AA141" s="4005"/>
      <c r="AB141" s="4006"/>
      <c r="AC141" s="3964"/>
      <c r="AD141" s="3964"/>
      <c r="AE141" s="3964"/>
      <c r="AF141" s="3964"/>
      <c r="AG141" s="3964"/>
      <c r="AH141" s="3965"/>
      <c r="AI141" s="4007"/>
      <c r="AJ141" s="4008"/>
      <c r="AK141" s="4008"/>
      <c r="AL141" s="4008"/>
      <c r="AM141" s="4008"/>
      <c r="AN141" s="4008"/>
      <c r="AO141" s="4008"/>
      <c r="AP141" s="4008"/>
      <c r="AQ141" s="4009"/>
      <c r="AR141" s="3961"/>
      <c r="AS141" s="3962"/>
      <c r="AT141" s="3962"/>
      <c r="AU141" s="3962"/>
      <c r="AV141" s="3962"/>
      <c r="AW141" s="3962"/>
      <c r="AX141" s="3962"/>
      <c r="AY141" s="3962"/>
      <c r="AZ141" s="3962"/>
      <c r="BA141" s="3962"/>
      <c r="BB141" s="3962"/>
      <c r="BC141" s="3962"/>
      <c r="BD141" s="3962"/>
      <c r="BE141" s="3963"/>
      <c r="BF141" s="4145"/>
      <c r="BG141" s="4146"/>
      <c r="BH141" s="4146"/>
      <c r="BI141" s="4146"/>
      <c r="BJ141" s="4146"/>
      <c r="BK141" s="4146"/>
      <c r="BL141" s="4146"/>
      <c r="BM141" s="4146"/>
      <c r="BN141" s="4146"/>
      <c r="BO141" s="4146"/>
      <c r="BP141" s="4146"/>
      <c r="BQ141" s="4146"/>
      <c r="BR141" s="4146"/>
      <c r="BS141" s="4146"/>
      <c r="BT141" s="4146"/>
      <c r="BU141" s="4146"/>
      <c r="BV141" s="4207"/>
      <c r="BW141" s="4208"/>
      <c r="BX141" s="4208"/>
      <c r="BY141" s="4208"/>
      <c r="BZ141" s="4208"/>
      <c r="CA141" s="4209"/>
      <c r="CB141" s="4198"/>
      <c r="CC141" s="4199"/>
      <c r="CD141" s="4200"/>
      <c r="CE141" s="4139"/>
      <c r="CF141" s="4140"/>
      <c r="CG141" s="4140"/>
      <c r="CH141" s="4148"/>
      <c r="CI141" s="4148"/>
      <c r="CJ141" s="4148"/>
      <c r="CK141" s="4127"/>
      <c r="CL141" s="4127"/>
      <c r="CM141" s="4148"/>
      <c r="CN141" s="4148"/>
      <c r="CO141" s="4148"/>
      <c r="CP141" s="4127"/>
      <c r="CQ141" s="4127"/>
      <c r="CR141" s="4127"/>
      <c r="CS141" s="4127"/>
      <c r="CT141" s="4127"/>
      <c r="CU141" s="4165"/>
      <c r="CV141" s="4166"/>
      <c r="CW141" s="4180"/>
      <c r="CX141" s="4181"/>
      <c r="CY141" s="4181"/>
      <c r="CZ141" s="4181"/>
      <c r="DA141" s="4181"/>
      <c r="DB141" s="4181"/>
      <c r="DC141" s="4181"/>
      <c r="DD141" s="4181"/>
      <c r="DE141" s="4181"/>
      <c r="DF141" s="4181"/>
      <c r="DG141" s="4181"/>
      <c r="DH141" s="4181"/>
      <c r="DI141" s="4181"/>
      <c r="DJ141" s="4181"/>
      <c r="DK141" s="4182"/>
    </row>
    <row r="142" spans="1:131" ht="6.75" customHeight="1">
      <c r="A142" s="146"/>
      <c r="B142" s="3939"/>
      <c r="C142" s="3940"/>
      <c r="D142" s="4081"/>
      <c r="E142" s="4082"/>
      <c r="F142" s="4082"/>
      <c r="G142" s="4082"/>
      <c r="H142" s="4082"/>
      <c r="I142" s="4082"/>
      <c r="J142" s="4082"/>
      <c r="K142" s="4082"/>
      <c r="L142" s="4082"/>
      <c r="M142" s="4082"/>
      <c r="N142" s="4082"/>
      <c r="O142" s="4082"/>
      <c r="P142" s="4082"/>
      <c r="Q142" s="4082"/>
      <c r="R142" s="4082"/>
      <c r="S142" s="4082"/>
      <c r="T142" s="4082"/>
      <c r="U142" s="4082"/>
      <c r="V142" s="4082"/>
      <c r="W142" s="4082"/>
      <c r="X142" s="4082"/>
      <c r="Y142" s="4082"/>
      <c r="Z142" s="4082"/>
      <c r="AA142" s="4083"/>
      <c r="AB142" s="4084"/>
      <c r="AC142" s="4085"/>
      <c r="AD142" s="4085"/>
      <c r="AE142" s="4085"/>
      <c r="AF142" s="4085"/>
      <c r="AG142" s="4085"/>
      <c r="AH142" s="4086"/>
      <c r="AI142" s="4160"/>
      <c r="AJ142" s="4161"/>
      <c r="AK142" s="4161"/>
      <c r="AL142" s="4161"/>
      <c r="AM142" s="4161"/>
      <c r="AN142" s="4161"/>
      <c r="AO142" s="4161"/>
      <c r="AP142" s="4161"/>
      <c r="AQ142" s="4162"/>
      <c r="AR142" s="3961"/>
      <c r="AS142" s="3962"/>
      <c r="AT142" s="3962"/>
      <c r="AU142" s="3962"/>
      <c r="AV142" s="3962"/>
      <c r="AW142" s="3962"/>
      <c r="AX142" s="3962"/>
      <c r="AY142" s="3962"/>
      <c r="AZ142" s="3962"/>
      <c r="BA142" s="3962"/>
      <c r="BB142" s="3962"/>
      <c r="BC142" s="3962"/>
      <c r="BD142" s="3962"/>
      <c r="BE142" s="3963"/>
      <c r="BF142" s="4145"/>
      <c r="BG142" s="4146"/>
      <c r="BH142" s="4146"/>
      <c r="BI142" s="4146"/>
      <c r="BJ142" s="4146"/>
      <c r="BK142" s="4146"/>
      <c r="BL142" s="4146"/>
      <c r="BM142" s="4146"/>
      <c r="BN142" s="4146"/>
      <c r="BO142" s="4146"/>
      <c r="BP142" s="4146"/>
      <c r="BQ142" s="4146"/>
      <c r="BR142" s="4146"/>
      <c r="BS142" s="4146"/>
      <c r="BT142" s="4146"/>
      <c r="BU142" s="4146"/>
      <c r="BV142" s="4207"/>
      <c r="BW142" s="4208"/>
      <c r="BX142" s="4208"/>
      <c r="BY142" s="4208"/>
      <c r="BZ142" s="4208"/>
      <c r="CA142" s="4209"/>
      <c r="CB142" s="4198"/>
      <c r="CC142" s="4199"/>
      <c r="CD142" s="4200"/>
      <c r="CE142" s="4139"/>
      <c r="CF142" s="4140"/>
      <c r="CG142" s="4140"/>
      <c r="CH142" s="4148"/>
      <c r="CI142" s="4148"/>
      <c r="CJ142" s="4148"/>
      <c r="CK142" s="4127"/>
      <c r="CL142" s="4127"/>
      <c r="CM142" s="4148"/>
      <c r="CN142" s="4148"/>
      <c r="CO142" s="4148"/>
      <c r="CP142" s="4127"/>
      <c r="CQ142" s="4127"/>
      <c r="CR142" s="4127"/>
      <c r="CS142" s="4127"/>
      <c r="CT142" s="4127"/>
      <c r="CU142" s="4165"/>
      <c r="CV142" s="4166"/>
      <c r="CW142" s="4180"/>
      <c r="CX142" s="4181"/>
      <c r="CY142" s="4181"/>
      <c r="CZ142" s="4181"/>
      <c r="DA142" s="4181"/>
      <c r="DB142" s="4181"/>
      <c r="DC142" s="4181"/>
      <c r="DD142" s="4181"/>
      <c r="DE142" s="4181"/>
      <c r="DF142" s="4181"/>
      <c r="DG142" s="4181"/>
      <c r="DH142" s="4181"/>
      <c r="DI142" s="4181"/>
      <c r="DJ142" s="4181"/>
      <c r="DK142" s="4182"/>
    </row>
    <row r="143" spans="1:131" ht="6.75" customHeight="1">
      <c r="A143" s="146"/>
      <c r="B143" s="3937" t="s">
        <v>1273</v>
      </c>
      <c r="C143" s="3938"/>
      <c r="D143" s="4003" t="s">
        <v>345</v>
      </c>
      <c r="E143" s="4004"/>
      <c r="F143" s="4004"/>
      <c r="G143" s="4004"/>
      <c r="H143" s="4004"/>
      <c r="I143" s="4004"/>
      <c r="J143" s="4004"/>
      <c r="K143" s="4004"/>
      <c r="L143" s="4004"/>
      <c r="M143" s="4004"/>
      <c r="N143" s="4004"/>
      <c r="O143" s="4004"/>
      <c r="P143" s="4004"/>
      <c r="Q143" s="4004"/>
      <c r="R143" s="4004"/>
      <c r="S143" s="4004"/>
      <c r="T143" s="4004"/>
      <c r="U143" s="4004"/>
      <c r="V143" s="4004"/>
      <c r="W143" s="4004"/>
      <c r="X143" s="4004"/>
      <c r="Y143" s="4004"/>
      <c r="Z143" s="4004"/>
      <c r="AA143" s="4005"/>
      <c r="AB143" s="4006"/>
      <c r="AC143" s="3964"/>
      <c r="AD143" s="3964"/>
      <c r="AE143" s="3964"/>
      <c r="AF143" s="3964"/>
      <c r="AG143" s="3964"/>
      <c r="AH143" s="3965"/>
      <c r="AI143" s="4007"/>
      <c r="AJ143" s="4008"/>
      <c r="AK143" s="4008"/>
      <c r="AL143" s="4008"/>
      <c r="AM143" s="4008"/>
      <c r="AN143" s="4008"/>
      <c r="AO143" s="4008"/>
      <c r="AP143" s="4008"/>
      <c r="AQ143" s="4009"/>
      <c r="AR143" s="3961"/>
      <c r="AS143" s="3962"/>
      <c r="AT143" s="3962"/>
      <c r="AU143" s="3962"/>
      <c r="AV143" s="3962"/>
      <c r="AW143" s="3962"/>
      <c r="AX143" s="3962"/>
      <c r="AY143" s="3962"/>
      <c r="AZ143" s="3962"/>
      <c r="BA143" s="3962"/>
      <c r="BB143" s="3962"/>
      <c r="BC143" s="3962"/>
      <c r="BD143" s="3962"/>
      <c r="BE143" s="3963"/>
      <c r="BF143" s="4145"/>
      <c r="BG143" s="4146"/>
      <c r="BH143" s="4146"/>
      <c r="BI143" s="4146"/>
      <c r="BJ143" s="4146"/>
      <c r="BK143" s="4146"/>
      <c r="BL143" s="4146"/>
      <c r="BM143" s="4146"/>
      <c r="BN143" s="4146"/>
      <c r="BO143" s="4146"/>
      <c r="BP143" s="4146"/>
      <c r="BQ143" s="4146"/>
      <c r="BR143" s="4146"/>
      <c r="BS143" s="4146"/>
      <c r="BT143" s="4146"/>
      <c r="BU143" s="4146"/>
      <c r="BV143" s="4207"/>
      <c r="BW143" s="4208"/>
      <c r="BX143" s="4208"/>
      <c r="BY143" s="4208"/>
      <c r="BZ143" s="4208"/>
      <c r="CA143" s="4209"/>
      <c r="CB143" s="4198"/>
      <c r="CC143" s="4199"/>
      <c r="CD143" s="4200"/>
      <c r="CE143" s="4139"/>
      <c r="CF143" s="4140"/>
      <c r="CG143" s="4140"/>
      <c r="CH143" s="4148"/>
      <c r="CI143" s="4148"/>
      <c r="CJ143" s="4148"/>
      <c r="CK143" s="4127"/>
      <c r="CL143" s="4127"/>
      <c r="CM143" s="4148"/>
      <c r="CN143" s="4148"/>
      <c r="CO143" s="4148"/>
      <c r="CP143" s="4127"/>
      <c r="CQ143" s="4127"/>
      <c r="CR143" s="4127"/>
      <c r="CS143" s="4127"/>
      <c r="CT143" s="4127"/>
      <c r="CU143" s="4165"/>
      <c r="CV143" s="4166"/>
      <c r="CW143" s="4180"/>
      <c r="CX143" s="4181"/>
      <c r="CY143" s="4181"/>
      <c r="CZ143" s="4181"/>
      <c r="DA143" s="4181"/>
      <c r="DB143" s="4181"/>
      <c r="DC143" s="4181"/>
      <c r="DD143" s="4181"/>
      <c r="DE143" s="4181"/>
      <c r="DF143" s="4181"/>
      <c r="DG143" s="4181"/>
      <c r="DH143" s="4181"/>
      <c r="DI143" s="4181"/>
      <c r="DJ143" s="4181"/>
      <c r="DK143" s="4182"/>
    </row>
    <row r="144" spans="1:131" ht="6.75" customHeight="1">
      <c r="A144" s="146"/>
      <c r="B144" s="3939"/>
      <c r="C144" s="3940"/>
      <c r="D144" s="3975"/>
      <c r="E144" s="3976"/>
      <c r="F144" s="3976"/>
      <c r="G144" s="3976"/>
      <c r="H144" s="3976"/>
      <c r="I144" s="3976"/>
      <c r="J144" s="3976"/>
      <c r="K144" s="3976"/>
      <c r="L144" s="3976"/>
      <c r="M144" s="3976"/>
      <c r="N144" s="3976"/>
      <c r="O144" s="3976"/>
      <c r="P144" s="3976"/>
      <c r="Q144" s="3976"/>
      <c r="R144" s="3976"/>
      <c r="S144" s="3976"/>
      <c r="T144" s="3976"/>
      <c r="U144" s="3976"/>
      <c r="V144" s="3976"/>
      <c r="W144" s="3976"/>
      <c r="X144" s="3976"/>
      <c r="Y144" s="3976"/>
      <c r="Z144" s="3976"/>
      <c r="AA144" s="3977"/>
      <c r="AB144" s="3981"/>
      <c r="AC144" s="3982"/>
      <c r="AD144" s="3982"/>
      <c r="AE144" s="3982"/>
      <c r="AF144" s="3982"/>
      <c r="AG144" s="3982"/>
      <c r="AH144" s="3983"/>
      <c r="AI144" s="3987"/>
      <c r="AJ144" s="3988"/>
      <c r="AK144" s="3988"/>
      <c r="AL144" s="3988"/>
      <c r="AM144" s="3988"/>
      <c r="AN144" s="3988"/>
      <c r="AO144" s="3988"/>
      <c r="AP144" s="3988"/>
      <c r="AQ144" s="3989"/>
      <c r="AR144" s="3961"/>
      <c r="AS144" s="3962"/>
      <c r="AT144" s="3962"/>
      <c r="AU144" s="3962"/>
      <c r="AV144" s="3962"/>
      <c r="AW144" s="3962"/>
      <c r="AX144" s="3962"/>
      <c r="AY144" s="3962"/>
      <c r="AZ144" s="3962"/>
      <c r="BA144" s="3962"/>
      <c r="BB144" s="3962"/>
      <c r="BC144" s="3962"/>
      <c r="BD144" s="3962"/>
      <c r="BE144" s="3963"/>
      <c r="BF144" s="4145"/>
      <c r="BG144" s="4146"/>
      <c r="BH144" s="4146"/>
      <c r="BI144" s="4146"/>
      <c r="BJ144" s="4146"/>
      <c r="BK144" s="4146"/>
      <c r="BL144" s="4146"/>
      <c r="BM144" s="4146"/>
      <c r="BN144" s="4146"/>
      <c r="BO144" s="4146"/>
      <c r="BP144" s="4146"/>
      <c r="BQ144" s="4146"/>
      <c r="BR144" s="4146"/>
      <c r="BS144" s="4146"/>
      <c r="BT144" s="4146"/>
      <c r="BU144" s="4146"/>
      <c r="BV144" s="4207"/>
      <c r="BW144" s="4208"/>
      <c r="BX144" s="4208"/>
      <c r="BY144" s="4208"/>
      <c r="BZ144" s="4208"/>
      <c r="CA144" s="4209"/>
      <c r="CB144" s="4198"/>
      <c r="CC144" s="4199"/>
      <c r="CD144" s="4200"/>
      <c r="CE144" s="4139"/>
      <c r="CF144" s="4140"/>
      <c r="CG144" s="4140"/>
      <c r="CH144" s="4148"/>
      <c r="CI144" s="4148"/>
      <c r="CJ144" s="4148"/>
      <c r="CK144" s="4127"/>
      <c r="CL144" s="4127"/>
      <c r="CM144" s="4148"/>
      <c r="CN144" s="4148"/>
      <c r="CO144" s="4148"/>
      <c r="CP144" s="4127"/>
      <c r="CQ144" s="4127"/>
      <c r="CR144" s="4127"/>
      <c r="CS144" s="4127"/>
      <c r="CT144" s="4127"/>
      <c r="CU144" s="4165"/>
      <c r="CV144" s="4166"/>
      <c r="CW144" s="4180"/>
      <c r="CX144" s="4181"/>
      <c r="CY144" s="4181"/>
      <c r="CZ144" s="4181"/>
      <c r="DA144" s="4181"/>
      <c r="DB144" s="4181"/>
      <c r="DC144" s="4181"/>
      <c r="DD144" s="4181"/>
      <c r="DE144" s="4181"/>
      <c r="DF144" s="4181"/>
      <c r="DG144" s="4181"/>
      <c r="DH144" s="4181"/>
      <c r="DI144" s="4181"/>
      <c r="DJ144" s="4181"/>
      <c r="DK144" s="4182"/>
    </row>
    <row r="145" spans="1:119" ht="6.75" customHeight="1">
      <c r="A145" s="146"/>
      <c r="B145" s="3607" t="s">
        <v>1274</v>
      </c>
      <c r="C145" s="3994"/>
      <c r="D145" s="3968" t="s">
        <v>1222</v>
      </c>
      <c r="E145" s="3968"/>
      <c r="F145" s="3968"/>
      <c r="G145" s="3968"/>
      <c r="H145" s="3968"/>
      <c r="I145" s="3968"/>
      <c r="J145" s="3968"/>
      <c r="K145" s="3968"/>
      <c r="L145" s="3968"/>
      <c r="M145" s="3968"/>
      <c r="N145" s="3968"/>
      <c r="O145" s="3968"/>
      <c r="P145" s="3968"/>
      <c r="Q145" s="3968"/>
      <c r="R145" s="3968"/>
      <c r="S145" s="3968"/>
      <c r="T145" s="3968"/>
      <c r="U145" s="3968"/>
      <c r="V145" s="3968"/>
      <c r="W145" s="3968"/>
      <c r="X145" s="3968"/>
      <c r="Y145" s="3968"/>
      <c r="Z145" s="3968"/>
      <c r="AA145" s="3968"/>
      <c r="AB145" s="4014"/>
      <c r="AC145" s="4014"/>
      <c r="AD145" s="4014"/>
      <c r="AE145" s="4014"/>
      <c r="AF145" s="4014"/>
      <c r="AG145" s="4014"/>
      <c r="AH145" s="4014"/>
      <c r="AI145" s="3966"/>
      <c r="AJ145" s="3966"/>
      <c r="AK145" s="3966"/>
      <c r="AL145" s="3966"/>
      <c r="AM145" s="3966"/>
      <c r="AN145" s="3966"/>
      <c r="AO145" s="3966"/>
      <c r="AP145" s="3966"/>
      <c r="AQ145" s="3966"/>
      <c r="AR145" s="3964"/>
      <c r="AS145" s="3964"/>
      <c r="AT145" s="3964"/>
      <c r="AU145" s="3964"/>
      <c r="AV145" s="3964"/>
      <c r="AW145" s="3964"/>
      <c r="AX145" s="3964"/>
      <c r="AY145" s="3964"/>
      <c r="AZ145" s="3964"/>
      <c r="BA145" s="3964"/>
      <c r="BB145" s="3964"/>
      <c r="BC145" s="3964"/>
      <c r="BD145" s="3964"/>
      <c r="BE145" s="3965"/>
      <c r="BF145" s="4145"/>
      <c r="BG145" s="4146"/>
      <c r="BH145" s="4146"/>
      <c r="BI145" s="4146"/>
      <c r="BJ145" s="4146"/>
      <c r="BK145" s="4146"/>
      <c r="BL145" s="4146"/>
      <c r="BM145" s="4146"/>
      <c r="BN145" s="4146"/>
      <c r="BO145" s="4146"/>
      <c r="BP145" s="4146"/>
      <c r="BQ145" s="4146"/>
      <c r="BR145" s="4146"/>
      <c r="BS145" s="4146"/>
      <c r="BT145" s="4146"/>
      <c r="BU145" s="4146"/>
      <c r="BV145" s="4207"/>
      <c r="BW145" s="4208"/>
      <c r="BX145" s="4208"/>
      <c r="BY145" s="4208"/>
      <c r="BZ145" s="4208"/>
      <c r="CA145" s="4209"/>
      <c r="CB145" s="4198"/>
      <c r="CC145" s="4199"/>
      <c r="CD145" s="4200"/>
      <c r="CE145" s="4139"/>
      <c r="CF145" s="4140"/>
      <c r="CG145" s="4140"/>
      <c r="CH145" s="4148"/>
      <c r="CI145" s="4148"/>
      <c r="CJ145" s="4148"/>
      <c r="CK145" s="4127"/>
      <c r="CL145" s="4127"/>
      <c r="CM145" s="4148"/>
      <c r="CN145" s="4148"/>
      <c r="CO145" s="4148"/>
      <c r="CP145" s="4127"/>
      <c r="CQ145" s="4127"/>
      <c r="CR145" s="4127"/>
      <c r="CS145" s="4127"/>
      <c r="CT145" s="4127"/>
      <c r="CU145" s="4165"/>
      <c r="CV145" s="4166"/>
      <c r="CW145" s="4180"/>
      <c r="CX145" s="4181"/>
      <c r="CY145" s="4181"/>
      <c r="CZ145" s="4181"/>
      <c r="DA145" s="4181"/>
      <c r="DB145" s="4181"/>
      <c r="DC145" s="4181"/>
      <c r="DD145" s="4181"/>
      <c r="DE145" s="4181"/>
      <c r="DF145" s="4181"/>
      <c r="DG145" s="4181"/>
      <c r="DH145" s="4181"/>
      <c r="DI145" s="4181"/>
      <c r="DJ145" s="4181"/>
      <c r="DK145" s="4182"/>
    </row>
    <row r="146" spans="1:119" ht="6.75" customHeight="1">
      <c r="A146" s="146"/>
      <c r="B146" s="4010"/>
      <c r="C146" s="4011"/>
      <c r="D146" s="3968"/>
      <c r="E146" s="3968"/>
      <c r="F146" s="3968"/>
      <c r="G146" s="3968"/>
      <c r="H146" s="3968"/>
      <c r="I146" s="3968"/>
      <c r="J146" s="3968"/>
      <c r="K146" s="3968"/>
      <c r="L146" s="3968"/>
      <c r="M146" s="3968"/>
      <c r="N146" s="3968"/>
      <c r="O146" s="3968"/>
      <c r="P146" s="3968"/>
      <c r="Q146" s="3968"/>
      <c r="R146" s="3968"/>
      <c r="S146" s="3968"/>
      <c r="T146" s="3968"/>
      <c r="U146" s="3968"/>
      <c r="V146" s="3968"/>
      <c r="W146" s="3968"/>
      <c r="X146" s="3968"/>
      <c r="Y146" s="3968"/>
      <c r="Z146" s="3968"/>
      <c r="AA146" s="3968"/>
      <c r="AB146" s="4014"/>
      <c r="AC146" s="4014"/>
      <c r="AD146" s="4014"/>
      <c r="AE146" s="4014"/>
      <c r="AF146" s="4014"/>
      <c r="AG146" s="4014"/>
      <c r="AH146" s="4014"/>
      <c r="AI146" s="3966"/>
      <c r="AJ146" s="3966"/>
      <c r="AK146" s="3966"/>
      <c r="AL146" s="3966"/>
      <c r="AM146" s="3966"/>
      <c r="AN146" s="3966"/>
      <c r="AO146" s="3966"/>
      <c r="AP146" s="3966"/>
      <c r="AQ146" s="3966"/>
      <c r="AR146" s="4085"/>
      <c r="AS146" s="4085"/>
      <c r="AT146" s="4085"/>
      <c r="AU146" s="4085"/>
      <c r="AV146" s="4085"/>
      <c r="AW146" s="4085"/>
      <c r="AX146" s="4085"/>
      <c r="AY146" s="4085"/>
      <c r="AZ146" s="4085"/>
      <c r="BA146" s="4085"/>
      <c r="BB146" s="4085"/>
      <c r="BC146" s="4085"/>
      <c r="BD146" s="4085"/>
      <c r="BE146" s="4086"/>
      <c r="BF146" s="4145"/>
      <c r="BG146" s="4146"/>
      <c r="BH146" s="4146"/>
      <c r="BI146" s="4146"/>
      <c r="BJ146" s="4146"/>
      <c r="BK146" s="4146"/>
      <c r="BL146" s="4146"/>
      <c r="BM146" s="4146"/>
      <c r="BN146" s="4146"/>
      <c r="BO146" s="4146"/>
      <c r="BP146" s="4146"/>
      <c r="BQ146" s="4146"/>
      <c r="BR146" s="4146"/>
      <c r="BS146" s="4146"/>
      <c r="BT146" s="4146"/>
      <c r="BU146" s="4146"/>
      <c r="BV146" s="4207"/>
      <c r="BW146" s="4208"/>
      <c r="BX146" s="4208"/>
      <c r="BY146" s="4208"/>
      <c r="BZ146" s="4208"/>
      <c r="CA146" s="4209"/>
      <c r="CB146" s="4198"/>
      <c r="CC146" s="4199"/>
      <c r="CD146" s="4200"/>
      <c r="CE146" s="4139"/>
      <c r="CF146" s="4140"/>
      <c r="CG146" s="4140"/>
      <c r="CH146" s="4148"/>
      <c r="CI146" s="4148"/>
      <c r="CJ146" s="4148"/>
      <c r="CK146" s="4127"/>
      <c r="CL146" s="4127"/>
      <c r="CM146" s="4148"/>
      <c r="CN146" s="4148"/>
      <c r="CO146" s="4148"/>
      <c r="CP146" s="4127"/>
      <c r="CQ146" s="4127"/>
      <c r="CR146" s="4127"/>
      <c r="CS146" s="4127"/>
      <c r="CT146" s="4127"/>
      <c r="CU146" s="4165"/>
      <c r="CV146" s="4166"/>
      <c r="CW146" s="4180"/>
      <c r="CX146" s="4181"/>
      <c r="CY146" s="4181"/>
      <c r="CZ146" s="4181"/>
      <c r="DA146" s="4181"/>
      <c r="DB146" s="4181"/>
      <c r="DC146" s="4181"/>
      <c r="DD146" s="4181"/>
      <c r="DE146" s="4181"/>
      <c r="DF146" s="4181"/>
      <c r="DG146" s="4181"/>
      <c r="DH146" s="4181"/>
      <c r="DI146" s="4181"/>
      <c r="DJ146" s="4181"/>
      <c r="DK146" s="4182"/>
    </row>
    <row r="147" spans="1:119" ht="6.75" customHeight="1">
      <c r="A147" s="146"/>
      <c r="B147" s="3937" t="s">
        <v>1275</v>
      </c>
      <c r="C147" s="4012"/>
      <c r="D147" s="3968" t="s">
        <v>1227</v>
      </c>
      <c r="E147" s="3968"/>
      <c r="F147" s="3968"/>
      <c r="G147" s="3968"/>
      <c r="H147" s="3968"/>
      <c r="I147" s="3968"/>
      <c r="J147" s="3968"/>
      <c r="K147" s="3968"/>
      <c r="L147" s="3968"/>
      <c r="M147" s="3968"/>
      <c r="N147" s="3968"/>
      <c r="O147" s="3968"/>
      <c r="P147" s="3968"/>
      <c r="Q147" s="3968"/>
      <c r="R147" s="3968"/>
      <c r="S147" s="3968"/>
      <c r="T147" s="3968"/>
      <c r="U147" s="3968"/>
      <c r="V147" s="3968"/>
      <c r="W147" s="3968"/>
      <c r="X147" s="3968"/>
      <c r="Y147" s="3968"/>
      <c r="Z147" s="3968"/>
      <c r="AA147" s="3968"/>
      <c r="AB147" s="4014"/>
      <c r="AC147" s="4014"/>
      <c r="AD147" s="4014"/>
      <c r="AE147" s="4014"/>
      <c r="AF147" s="4014"/>
      <c r="AG147" s="4014"/>
      <c r="AH147" s="4014"/>
      <c r="AI147" s="3966"/>
      <c r="AJ147" s="3966"/>
      <c r="AK147" s="3966"/>
      <c r="AL147" s="3966"/>
      <c r="AM147" s="3966"/>
      <c r="AN147" s="3966"/>
      <c r="AO147" s="3966"/>
      <c r="AP147" s="3966"/>
      <c r="AQ147" s="3966"/>
      <c r="AR147" s="3962"/>
      <c r="AS147" s="3962"/>
      <c r="AT147" s="3962"/>
      <c r="AU147" s="3962"/>
      <c r="AV147" s="3962"/>
      <c r="AW147" s="3962"/>
      <c r="AX147" s="3962"/>
      <c r="AY147" s="3962"/>
      <c r="AZ147" s="3962"/>
      <c r="BA147" s="3962"/>
      <c r="BB147" s="3962"/>
      <c r="BC147" s="3962"/>
      <c r="BD147" s="3962"/>
      <c r="BE147" s="3963"/>
      <c r="BF147" s="4145"/>
      <c r="BG147" s="4146"/>
      <c r="BH147" s="4146"/>
      <c r="BI147" s="4146"/>
      <c r="BJ147" s="4146"/>
      <c r="BK147" s="4146"/>
      <c r="BL147" s="4146"/>
      <c r="BM147" s="4146"/>
      <c r="BN147" s="4146"/>
      <c r="BO147" s="4146"/>
      <c r="BP147" s="4146"/>
      <c r="BQ147" s="4146"/>
      <c r="BR147" s="4146"/>
      <c r="BS147" s="4146"/>
      <c r="BT147" s="4146"/>
      <c r="BU147" s="4146"/>
      <c r="BV147" s="4207"/>
      <c r="BW147" s="4208"/>
      <c r="BX147" s="4208"/>
      <c r="BY147" s="4208"/>
      <c r="BZ147" s="4208"/>
      <c r="CA147" s="4209"/>
      <c r="CB147" s="4198"/>
      <c r="CC147" s="4199"/>
      <c r="CD147" s="4200"/>
      <c r="CE147" s="4139"/>
      <c r="CF147" s="4140"/>
      <c r="CG147" s="4140"/>
      <c r="CH147" s="4148"/>
      <c r="CI147" s="4148"/>
      <c r="CJ147" s="4148"/>
      <c r="CK147" s="4127"/>
      <c r="CL147" s="4127"/>
      <c r="CM147" s="4148"/>
      <c r="CN147" s="4148"/>
      <c r="CO147" s="4148"/>
      <c r="CP147" s="4127"/>
      <c r="CQ147" s="4127"/>
      <c r="CR147" s="4127"/>
      <c r="CS147" s="4127"/>
      <c r="CT147" s="4127"/>
      <c r="CU147" s="4165"/>
      <c r="CV147" s="4166"/>
      <c r="CW147" s="4180"/>
      <c r="CX147" s="4181"/>
      <c r="CY147" s="4181"/>
      <c r="CZ147" s="4181"/>
      <c r="DA147" s="4181"/>
      <c r="DB147" s="4181"/>
      <c r="DC147" s="4181"/>
      <c r="DD147" s="4181"/>
      <c r="DE147" s="4181"/>
      <c r="DF147" s="4181"/>
      <c r="DG147" s="4181"/>
      <c r="DH147" s="4181"/>
      <c r="DI147" s="4181"/>
      <c r="DJ147" s="4181"/>
      <c r="DK147" s="4182"/>
    </row>
    <row r="148" spans="1:119" ht="6.75" customHeight="1">
      <c r="A148" s="146"/>
      <c r="B148" s="3992"/>
      <c r="C148" s="4013"/>
      <c r="D148" s="3968"/>
      <c r="E148" s="3968"/>
      <c r="F148" s="3968"/>
      <c r="G148" s="3968"/>
      <c r="H148" s="3968"/>
      <c r="I148" s="3968"/>
      <c r="J148" s="3968"/>
      <c r="K148" s="3968"/>
      <c r="L148" s="3968"/>
      <c r="M148" s="3968"/>
      <c r="N148" s="3968"/>
      <c r="O148" s="3968"/>
      <c r="P148" s="3968"/>
      <c r="Q148" s="3968"/>
      <c r="R148" s="3968"/>
      <c r="S148" s="3968"/>
      <c r="T148" s="3968"/>
      <c r="U148" s="3968"/>
      <c r="V148" s="3968"/>
      <c r="W148" s="3968"/>
      <c r="X148" s="3968"/>
      <c r="Y148" s="3968"/>
      <c r="Z148" s="3968"/>
      <c r="AA148" s="3968"/>
      <c r="AB148" s="4014"/>
      <c r="AC148" s="4014"/>
      <c r="AD148" s="4014"/>
      <c r="AE148" s="4014"/>
      <c r="AF148" s="4014"/>
      <c r="AG148" s="4014"/>
      <c r="AH148" s="4014"/>
      <c r="AI148" s="3966"/>
      <c r="AJ148" s="3966"/>
      <c r="AK148" s="3966"/>
      <c r="AL148" s="3966"/>
      <c r="AM148" s="3966"/>
      <c r="AN148" s="3966"/>
      <c r="AO148" s="3966"/>
      <c r="AP148" s="3966"/>
      <c r="AQ148" s="3966"/>
      <c r="AR148" s="3964"/>
      <c r="AS148" s="3964"/>
      <c r="AT148" s="3964"/>
      <c r="AU148" s="3964"/>
      <c r="AV148" s="3964"/>
      <c r="AW148" s="3964"/>
      <c r="AX148" s="3964"/>
      <c r="AY148" s="3964"/>
      <c r="AZ148" s="3964"/>
      <c r="BA148" s="3964"/>
      <c r="BB148" s="3964"/>
      <c r="BC148" s="3964"/>
      <c r="BD148" s="3964"/>
      <c r="BE148" s="3965"/>
      <c r="BF148" s="4145"/>
      <c r="BG148" s="4146"/>
      <c r="BH148" s="4146"/>
      <c r="BI148" s="4146"/>
      <c r="BJ148" s="4146"/>
      <c r="BK148" s="4146"/>
      <c r="BL148" s="4146"/>
      <c r="BM148" s="4146"/>
      <c r="BN148" s="4146"/>
      <c r="BO148" s="4146"/>
      <c r="BP148" s="4146"/>
      <c r="BQ148" s="4146"/>
      <c r="BR148" s="4146"/>
      <c r="BS148" s="4146"/>
      <c r="BT148" s="4146"/>
      <c r="BU148" s="4146"/>
      <c r="BV148" s="4207"/>
      <c r="BW148" s="4208"/>
      <c r="BX148" s="4208"/>
      <c r="BY148" s="4208"/>
      <c r="BZ148" s="4208"/>
      <c r="CA148" s="4209"/>
      <c r="CB148" s="4198"/>
      <c r="CC148" s="4199"/>
      <c r="CD148" s="4200"/>
      <c r="CE148" s="4139"/>
      <c r="CF148" s="4140"/>
      <c r="CG148" s="4140"/>
      <c r="CH148" s="4148"/>
      <c r="CI148" s="4148"/>
      <c r="CJ148" s="4148"/>
      <c r="CK148" s="4127"/>
      <c r="CL148" s="4127"/>
      <c r="CM148" s="4148"/>
      <c r="CN148" s="4148"/>
      <c r="CO148" s="4148"/>
      <c r="CP148" s="4127"/>
      <c r="CQ148" s="4127"/>
      <c r="CR148" s="4127"/>
      <c r="CS148" s="4127"/>
      <c r="CT148" s="4127"/>
      <c r="CU148" s="4165"/>
      <c r="CV148" s="4166"/>
      <c r="CW148" s="4180"/>
      <c r="CX148" s="4181"/>
      <c r="CY148" s="4181"/>
      <c r="CZ148" s="4181"/>
      <c r="DA148" s="4181"/>
      <c r="DB148" s="4181"/>
      <c r="DC148" s="4181"/>
      <c r="DD148" s="4181"/>
      <c r="DE148" s="4181"/>
      <c r="DF148" s="4181"/>
      <c r="DG148" s="4181"/>
      <c r="DH148" s="4181"/>
      <c r="DI148" s="4181"/>
      <c r="DJ148" s="4181"/>
      <c r="DK148" s="4182"/>
    </row>
    <row r="149" spans="1:119" ht="6.75" customHeight="1">
      <c r="A149" s="146"/>
      <c r="B149" s="3967" t="s">
        <v>1276</v>
      </c>
      <c r="C149" s="3967"/>
      <c r="D149" s="4015" t="s">
        <v>1435</v>
      </c>
      <c r="E149" s="4016"/>
      <c r="F149" s="4016"/>
      <c r="G149" s="4016"/>
      <c r="H149" s="4016"/>
      <c r="I149" s="4016"/>
      <c r="J149" s="4016"/>
      <c r="K149" s="4016"/>
      <c r="L149" s="4016"/>
      <c r="M149" s="4016"/>
      <c r="N149" s="4016"/>
      <c r="O149" s="4016"/>
      <c r="P149" s="4016"/>
      <c r="Q149" s="4016"/>
      <c r="R149" s="4016"/>
      <c r="S149" s="4016"/>
      <c r="T149" s="4016"/>
      <c r="U149" s="4016"/>
      <c r="V149" s="4016"/>
      <c r="W149" s="4016"/>
      <c r="X149" s="4016"/>
      <c r="Y149" s="4016"/>
      <c r="Z149" s="4016"/>
      <c r="AA149" s="4017"/>
      <c r="AB149" s="4021"/>
      <c r="AC149" s="4022"/>
      <c r="AD149" s="4022"/>
      <c r="AE149" s="4022"/>
      <c r="AF149" s="4022"/>
      <c r="AG149" s="4022"/>
      <c r="AH149" s="4023"/>
      <c r="AI149" s="4027"/>
      <c r="AJ149" s="4028"/>
      <c r="AK149" s="4028"/>
      <c r="AL149" s="4028"/>
      <c r="AM149" s="4028"/>
      <c r="AN149" s="4028"/>
      <c r="AO149" s="4028"/>
      <c r="AP149" s="4028"/>
      <c r="AQ149" s="4029"/>
      <c r="AR149" s="3962"/>
      <c r="AS149" s="3962"/>
      <c r="AT149" s="3962"/>
      <c r="AU149" s="3962"/>
      <c r="AV149" s="3962"/>
      <c r="AW149" s="3962"/>
      <c r="AX149" s="3962"/>
      <c r="AY149" s="3962"/>
      <c r="AZ149" s="3962"/>
      <c r="BA149" s="3962"/>
      <c r="BB149" s="3962"/>
      <c r="BC149" s="3962"/>
      <c r="BD149" s="3962"/>
      <c r="BE149" s="3963"/>
      <c r="BF149" s="4131"/>
      <c r="BG149" s="4132"/>
      <c r="BH149" s="4132"/>
      <c r="BI149" s="4132"/>
      <c r="BJ149" s="4132"/>
      <c r="BK149" s="4132"/>
      <c r="BL149" s="4132"/>
      <c r="BM149" s="4132"/>
      <c r="BN149" s="4132"/>
      <c r="BO149" s="4132"/>
      <c r="BP149" s="4132"/>
      <c r="BQ149" s="4132"/>
      <c r="BR149" s="4132"/>
      <c r="BS149" s="4132"/>
      <c r="BT149" s="4132"/>
      <c r="BU149" s="4133"/>
      <c r="BV149" s="4207"/>
      <c r="BW149" s="4208"/>
      <c r="BX149" s="4208"/>
      <c r="BY149" s="4208"/>
      <c r="BZ149" s="4208"/>
      <c r="CA149" s="4209"/>
      <c r="CB149" s="4198"/>
      <c r="CC149" s="4199"/>
      <c r="CD149" s="4200"/>
      <c r="CE149" s="4139"/>
      <c r="CF149" s="4140"/>
      <c r="CG149" s="4140"/>
      <c r="CH149" s="4148"/>
      <c r="CI149" s="4148"/>
      <c r="CJ149" s="4148"/>
      <c r="CK149" s="4127"/>
      <c r="CL149" s="4127"/>
      <c r="CM149" s="4148"/>
      <c r="CN149" s="4148"/>
      <c r="CO149" s="4148"/>
      <c r="CP149" s="4127"/>
      <c r="CQ149" s="4127"/>
      <c r="CR149" s="4127"/>
      <c r="CS149" s="4127"/>
      <c r="CT149" s="4127"/>
      <c r="CU149" s="4165"/>
      <c r="CV149" s="4166"/>
      <c r="CW149" s="644"/>
      <c r="CX149" s="645"/>
      <c r="CY149" s="645"/>
      <c r="CZ149" s="645"/>
      <c r="DA149" s="645"/>
      <c r="DB149" s="645"/>
      <c r="DC149" s="645"/>
      <c r="DD149" s="645"/>
      <c r="DE149" s="645"/>
      <c r="DF149" s="645"/>
      <c r="DG149" s="645"/>
      <c r="DH149" s="645"/>
      <c r="DI149" s="645"/>
      <c r="DJ149" s="645"/>
      <c r="DK149" s="645"/>
    </row>
    <row r="150" spans="1:119" ht="6.75" customHeight="1">
      <c r="A150" s="146"/>
      <c r="B150" s="3967"/>
      <c r="C150" s="3967"/>
      <c r="D150" s="4018"/>
      <c r="E150" s="4019"/>
      <c r="F150" s="4019"/>
      <c r="G150" s="4019"/>
      <c r="H150" s="4019"/>
      <c r="I150" s="4019"/>
      <c r="J150" s="4019"/>
      <c r="K150" s="4019"/>
      <c r="L150" s="4019"/>
      <c r="M150" s="4019"/>
      <c r="N150" s="4019"/>
      <c r="O150" s="4019"/>
      <c r="P150" s="4019"/>
      <c r="Q150" s="4019"/>
      <c r="R150" s="4019"/>
      <c r="S150" s="4019"/>
      <c r="T150" s="4019"/>
      <c r="U150" s="4019"/>
      <c r="V150" s="4019"/>
      <c r="W150" s="4019"/>
      <c r="X150" s="4019"/>
      <c r="Y150" s="4019"/>
      <c r="Z150" s="4019"/>
      <c r="AA150" s="4020"/>
      <c r="AB150" s="4024"/>
      <c r="AC150" s="4025"/>
      <c r="AD150" s="4025"/>
      <c r="AE150" s="4025"/>
      <c r="AF150" s="4025"/>
      <c r="AG150" s="4025"/>
      <c r="AH150" s="4026"/>
      <c r="AI150" s="4030"/>
      <c r="AJ150" s="4031"/>
      <c r="AK150" s="4031"/>
      <c r="AL150" s="4031"/>
      <c r="AM150" s="4031"/>
      <c r="AN150" s="4031"/>
      <c r="AO150" s="4031"/>
      <c r="AP150" s="4031"/>
      <c r="AQ150" s="4032"/>
      <c r="AR150" s="3964"/>
      <c r="AS150" s="3964"/>
      <c r="AT150" s="3964"/>
      <c r="AU150" s="3964"/>
      <c r="AV150" s="3964"/>
      <c r="AW150" s="3964"/>
      <c r="AX150" s="3964"/>
      <c r="AY150" s="3964"/>
      <c r="AZ150" s="3964"/>
      <c r="BA150" s="3964"/>
      <c r="BB150" s="3964"/>
      <c r="BC150" s="3964"/>
      <c r="BD150" s="3964"/>
      <c r="BE150" s="3965"/>
      <c r="BF150" s="4134"/>
      <c r="BG150" s="4135"/>
      <c r="BH150" s="4135"/>
      <c r="BI150" s="4135"/>
      <c r="BJ150" s="4135"/>
      <c r="BK150" s="4135"/>
      <c r="BL150" s="4135"/>
      <c r="BM150" s="4135"/>
      <c r="BN150" s="4135"/>
      <c r="BO150" s="4135"/>
      <c r="BP150" s="4135"/>
      <c r="BQ150" s="4135"/>
      <c r="BR150" s="4135"/>
      <c r="BS150" s="4135"/>
      <c r="BT150" s="4135"/>
      <c r="BU150" s="4136"/>
      <c r="BV150" s="4210"/>
      <c r="BW150" s="4211"/>
      <c r="BX150" s="4211"/>
      <c r="BY150" s="4211"/>
      <c r="BZ150" s="4211"/>
      <c r="CA150" s="4212"/>
      <c r="CB150" s="4201"/>
      <c r="CC150" s="4202"/>
      <c r="CD150" s="4203"/>
      <c r="CE150" s="4141"/>
      <c r="CF150" s="4142"/>
      <c r="CG150" s="4142"/>
      <c r="CH150" s="4149"/>
      <c r="CI150" s="4149"/>
      <c r="CJ150" s="4149"/>
      <c r="CK150" s="4128"/>
      <c r="CL150" s="4128"/>
      <c r="CM150" s="4149"/>
      <c r="CN150" s="4149"/>
      <c r="CO150" s="4149"/>
      <c r="CP150" s="4128"/>
      <c r="CQ150" s="4128"/>
      <c r="CR150" s="4128"/>
      <c r="CS150" s="4128"/>
      <c r="CT150" s="4128"/>
      <c r="CU150" s="4167"/>
      <c r="CV150" s="4168"/>
      <c r="CW150" s="644"/>
      <c r="CX150" s="645"/>
      <c r="CY150" s="645"/>
      <c r="CZ150" s="645"/>
      <c r="DA150" s="645"/>
      <c r="DB150" s="645"/>
      <c r="DC150" s="645"/>
      <c r="DD150" s="645"/>
      <c r="DE150" s="645"/>
      <c r="DF150" s="645"/>
      <c r="DG150" s="645"/>
      <c r="DH150" s="645"/>
      <c r="DI150" s="645"/>
      <c r="DJ150" s="645"/>
      <c r="DK150" s="645"/>
    </row>
    <row r="151" spans="1:119" ht="6.75" customHeight="1">
      <c r="A151" s="146"/>
      <c r="B151" s="3967" t="s">
        <v>1277</v>
      </c>
      <c r="C151" s="3967"/>
      <c r="D151" s="3968" t="s">
        <v>820</v>
      </c>
      <c r="E151" s="3968"/>
      <c r="F151" s="3968"/>
      <c r="G151" s="3968"/>
      <c r="H151" s="3968"/>
      <c r="I151" s="3968"/>
      <c r="J151" s="3968"/>
      <c r="K151" s="3968"/>
      <c r="L151" s="3968"/>
      <c r="M151" s="3968"/>
      <c r="N151" s="3968"/>
      <c r="O151" s="3968"/>
      <c r="P151" s="3968"/>
      <c r="Q151" s="3968"/>
      <c r="R151" s="3968"/>
      <c r="S151" s="3968"/>
      <c r="T151" s="3968"/>
      <c r="U151" s="3968"/>
      <c r="V151" s="3968"/>
      <c r="W151" s="3968"/>
      <c r="X151" s="3968"/>
      <c r="Y151" s="3968"/>
      <c r="Z151" s="3968"/>
      <c r="AA151" s="3968"/>
      <c r="AB151" s="3942"/>
      <c r="AC151" s="3942"/>
      <c r="AD151" s="3942"/>
      <c r="AE151" s="3942"/>
      <c r="AF151" s="3942"/>
      <c r="AG151" s="3942"/>
      <c r="AH151" s="3942"/>
      <c r="AI151" s="3941"/>
      <c r="AJ151" s="3941"/>
      <c r="AK151" s="3941"/>
      <c r="AL151" s="3941"/>
      <c r="AM151" s="3941"/>
      <c r="AN151" s="3941"/>
      <c r="AO151" s="3941"/>
      <c r="AP151" s="3941"/>
      <c r="AQ151" s="3941"/>
      <c r="AR151" s="3942"/>
      <c r="AS151" s="3942"/>
      <c r="AT151" s="3942"/>
      <c r="AU151" s="3942"/>
      <c r="AV151" s="3942"/>
      <c r="AW151" s="3942"/>
      <c r="AX151" s="3942"/>
      <c r="AY151" s="3942"/>
      <c r="AZ151" s="3942"/>
      <c r="BA151" s="3942"/>
      <c r="BB151" s="3942"/>
      <c r="BC151" s="3942"/>
      <c r="BD151" s="3942"/>
      <c r="BE151" s="3942"/>
      <c r="BF151" s="4214"/>
      <c r="BG151" s="4214"/>
      <c r="BH151" s="4214"/>
      <c r="BI151" s="4214"/>
      <c r="BJ151" s="4214"/>
      <c r="BK151" s="4214"/>
      <c r="BL151" s="4214"/>
      <c r="BM151" s="4214"/>
      <c r="BN151" s="4214"/>
      <c r="BO151" s="4214"/>
      <c r="BP151" s="4214"/>
      <c r="BQ151" s="4214"/>
      <c r="BR151" s="4214"/>
      <c r="BS151" s="4214"/>
      <c r="BT151" s="4214"/>
      <c r="BU151" s="4214"/>
      <c r="BV151" s="4214"/>
      <c r="BW151" s="4214"/>
      <c r="BX151" s="4214"/>
      <c r="BY151" s="4214"/>
      <c r="BZ151" s="4214"/>
      <c r="CA151" s="4214"/>
      <c r="CB151" s="4214"/>
      <c r="CC151" s="4214"/>
      <c r="CD151" s="4214"/>
      <c r="CE151" s="4214"/>
      <c r="CF151" s="4214"/>
      <c r="CG151" s="4214"/>
      <c r="CH151" s="4214"/>
      <c r="CI151" s="4214"/>
      <c r="CJ151" s="4214"/>
      <c r="CK151" s="4214"/>
      <c r="CL151" s="4214"/>
      <c r="CM151" s="4214"/>
      <c r="CN151" s="4214"/>
      <c r="CO151" s="4214"/>
      <c r="CP151" s="4214"/>
      <c r="CQ151" s="4214"/>
      <c r="CR151" s="4214"/>
      <c r="CS151" s="4214"/>
      <c r="CT151" s="4214"/>
      <c r="CU151" s="4214"/>
      <c r="CV151" s="4214"/>
      <c r="CW151" s="4214"/>
      <c r="CX151" s="4214"/>
      <c r="CY151" s="4214"/>
      <c r="CZ151" s="4214"/>
      <c r="DA151" s="4214"/>
      <c r="DB151" s="4214"/>
      <c r="DC151" s="4214"/>
      <c r="DD151" s="4214"/>
      <c r="DE151" s="4214"/>
      <c r="DF151" s="4214"/>
      <c r="DG151" s="4214"/>
      <c r="DH151" s="4214"/>
      <c r="DI151" s="4214"/>
      <c r="DJ151" s="4214"/>
      <c r="DK151" s="4214"/>
    </row>
    <row r="152" spans="1:119" ht="6.75" customHeight="1">
      <c r="A152" s="146"/>
      <c r="B152" s="3967"/>
      <c r="C152" s="3967"/>
      <c r="D152" s="3968"/>
      <c r="E152" s="3968"/>
      <c r="F152" s="3968"/>
      <c r="G152" s="3968"/>
      <c r="H152" s="3968"/>
      <c r="I152" s="3968"/>
      <c r="J152" s="3968"/>
      <c r="K152" s="3968"/>
      <c r="L152" s="3968"/>
      <c r="M152" s="3968"/>
      <c r="N152" s="3968"/>
      <c r="O152" s="3968"/>
      <c r="P152" s="3968"/>
      <c r="Q152" s="3968"/>
      <c r="R152" s="3968"/>
      <c r="S152" s="3968"/>
      <c r="T152" s="3968"/>
      <c r="U152" s="3968"/>
      <c r="V152" s="3968"/>
      <c r="W152" s="3968"/>
      <c r="X152" s="3968"/>
      <c r="Y152" s="3968"/>
      <c r="Z152" s="3968"/>
      <c r="AA152" s="3968"/>
      <c r="AB152" s="3942"/>
      <c r="AC152" s="3942"/>
      <c r="AD152" s="3942"/>
      <c r="AE152" s="3942"/>
      <c r="AF152" s="3942"/>
      <c r="AG152" s="3942"/>
      <c r="AH152" s="3942"/>
      <c r="AI152" s="3941"/>
      <c r="AJ152" s="3941"/>
      <c r="AK152" s="3941"/>
      <c r="AL152" s="3941"/>
      <c r="AM152" s="3941"/>
      <c r="AN152" s="3941"/>
      <c r="AO152" s="3941"/>
      <c r="AP152" s="3941"/>
      <c r="AQ152" s="3941"/>
      <c r="AR152" s="3942"/>
      <c r="AS152" s="3942"/>
      <c r="AT152" s="3942"/>
      <c r="AU152" s="3942"/>
      <c r="AV152" s="3942"/>
      <c r="AW152" s="3942"/>
      <c r="AX152" s="3942"/>
      <c r="AY152" s="3942"/>
      <c r="AZ152" s="3942"/>
      <c r="BA152" s="3942"/>
      <c r="BB152" s="3942"/>
      <c r="BC152" s="3942"/>
      <c r="BD152" s="3942"/>
      <c r="BE152" s="3942"/>
      <c r="BF152" s="4214"/>
      <c r="BG152" s="4214"/>
      <c r="BH152" s="4214"/>
      <c r="BI152" s="4214"/>
      <c r="BJ152" s="4214"/>
      <c r="BK152" s="4214"/>
      <c r="BL152" s="4214"/>
      <c r="BM152" s="4214"/>
      <c r="BN152" s="4214"/>
      <c r="BO152" s="4214"/>
      <c r="BP152" s="4214"/>
      <c r="BQ152" s="4214"/>
      <c r="BR152" s="4214"/>
      <c r="BS152" s="4214"/>
      <c r="BT152" s="4214"/>
      <c r="BU152" s="4214"/>
      <c r="BV152" s="4214"/>
      <c r="BW152" s="4214"/>
      <c r="BX152" s="4214"/>
      <c r="BY152" s="4214"/>
      <c r="BZ152" s="4214"/>
      <c r="CA152" s="4214"/>
      <c r="CB152" s="4214"/>
      <c r="CC152" s="4214"/>
      <c r="CD152" s="4214"/>
      <c r="CE152" s="4214"/>
      <c r="CF152" s="4214"/>
      <c r="CG152" s="4214"/>
      <c r="CH152" s="4214"/>
      <c r="CI152" s="4214"/>
      <c r="CJ152" s="4214"/>
      <c r="CK152" s="4214"/>
      <c r="CL152" s="4214"/>
      <c r="CM152" s="4214"/>
      <c r="CN152" s="4214"/>
      <c r="CO152" s="4214"/>
      <c r="CP152" s="4214"/>
      <c r="CQ152" s="4214"/>
      <c r="CR152" s="4214"/>
      <c r="CS152" s="4214"/>
      <c r="CT152" s="4214"/>
      <c r="CU152" s="4214"/>
      <c r="CV152" s="4214"/>
      <c r="CW152" s="4214"/>
      <c r="CX152" s="4214"/>
      <c r="CY152" s="4214"/>
      <c r="CZ152" s="4214"/>
      <c r="DA152" s="4214"/>
      <c r="DB152" s="4214"/>
      <c r="DC152" s="4214"/>
      <c r="DD152" s="4214"/>
      <c r="DE152" s="4214"/>
      <c r="DF152" s="4214"/>
      <c r="DG152" s="4214"/>
      <c r="DH152" s="4214"/>
      <c r="DI152" s="4214"/>
      <c r="DJ152" s="4214"/>
      <c r="DK152" s="4214"/>
    </row>
    <row r="153" spans="1:119" ht="6.75" customHeight="1">
      <c r="A153" s="146"/>
      <c r="B153" s="3967" t="s">
        <v>1434</v>
      </c>
      <c r="C153" s="3967"/>
      <c r="D153" s="3968" t="s">
        <v>1223</v>
      </c>
      <c r="E153" s="3968"/>
      <c r="F153" s="3968"/>
      <c r="G153" s="3968"/>
      <c r="H153" s="3968"/>
      <c r="I153" s="3968"/>
      <c r="J153" s="3968"/>
      <c r="K153" s="3968"/>
      <c r="L153" s="3968"/>
      <c r="M153" s="3968"/>
      <c r="N153" s="3968"/>
      <c r="O153" s="3968"/>
      <c r="P153" s="3968"/>
      <c r="Q153" s="3968"/>
      <c r="R153" s="3968"/>
      <c r="S153" s="3968"/>
      <c r="T153" s="3968"/>
      <c r="U153" s="3968"/>
      <c r="V153" s="3968"/>
      <c r="W153" s="3968"/>
      <c r="X153" s="3968"/>
      <c r="Y153" s="3968"/>
      <c r="Z153" s="3968"/>
      <c r="AA153" s="3968"/>
      <c r="AB153" s="3969"/>
      <c r="AC153" s="3969"/>
      <c r="AD153" s="3969"/>
      <c r="AE153" s="3969"/>
      <c r="AF153" s="3969"/>
      <c r="AG153" s="3969"/>
      <c r="AH153" s="3969"/>
      <c r="AI153" s="3941"/>
      <c r="AJ153" s="3941"/>
      <c r="AK153" s="3941"/>
      <c r="AL153" s="3941"/>
      <c r="AM153" s="3941"/>
      <c r="AN153" s="3941"/>
      <c r="AO153" s="3941"/>
      <c r="AP153" s="3941"/>
      <c r="AQ153" s="3941"/>
      <c r="AR153" s="3941"/>
      <c r="AS153" s="3941"/>
      <c r="AT153" s="3941"/>
      <c r="AU153" s="3941"/>
      <c r="AV153" s="3941"/>
      <c r="AW153" s="3941"/>
      <c r="AX153" s="3941"/>
      <c r="AY153" s="3941"/>
      <c r="AZ153" s="3941"/>
      <c r="BA153" s="3941"/>
      <c r="BB153" s="3941"/>
      <c r="BC153" s="3941"/>
      <c r="BD153" s="3941"/>
      <c r="BE153" s="3941"/>
      <c r="BF153" s="4171"/>
      <c r="BG153" s="4172"/>
      <c r="BH153" s="4172"/>
      <c r="BI153" s="4172"/>
      <c r="BJ153" s="4172"/>
      <c r="BK153" s="4172"/>
      <c r="BL153" s="4172"/>
      <c r="BM153" s="4172"/>
      <c r="BN153" s="4172"/>
      <c r="BO153" s="4172"/>
      <c r="BP153" s="4172"/>
      <c r="BQ153" s="4172"/>
      <c r="BR153" s="4172"/>
      <c r="BS153" s="4172"/>
      <c r="BT153" s="4172"/>
      <c r="BU153" s="4173"/>
      <c r="BV153" s="4189" t="str">
        <f>IF(AB153="","",COUNTA(D78:Q87))</f>
        <v/>
      </c>
      <c r="BW153" s="4190"/>
      <c r="BX153" s="4190"/>
      <c r="BY153" s="4190"/>
      <c r="BZ153" s="4190"/>
      <c r="CA153" s="4191"/>
      <c r="CB153" s="4183"/>
      <c r="CC153" s="4184"/>
      <c r="CD153" s="4184"/>
      <c r="CE153" s="4184"/>
      <c r="CF153" s="4184"/>
      <c r="CG153" s="4184"/>
      <c r="CH153" s="4184"/>
      <c r="CI153" s="4184"/>
      <c r="CJ153" s="4184"/>
      <c r="CK153" s="4184"/>
      <c r="CL153" s="4184"/>
      <c r="CM153" s="4184"/>
      <c r="CN153" s="4184"/>
      <c r="CO153" s="4184"/>
      <c r="CP153" s="4184"/>
      <c r="CQ153" s="4184"/>
      <c r="CR153" s="4184"/>
      <c r="CS153" s="4184"/>
      <c r="CT153" s="4184"/>
      <c r="CU153" s="4184"/>
      <c r="CV153" s="4185"/>
      <c r="CW153" s="4171"/>
      <c r="CX153" s="4172"/>
      <c r="CY153" s="4172"/>
      <c r="CZ153" s="4172"/>
      <c r="DA153" s="4172"/>
      <c r="DB153" s="4172"/>
      <c r="DC153" s="4172"/>
      <c r="DD153" s="4172"/>
      <c r="DE153" s="4172"/>
      <c r="DF153" s="4172"/>
      <c r="DG153" s="4172"/>
      <c r="DH153" s="4172"/>
      <c r="DI153" s="4172"/>
      <c r="DJ153" s="4172"/>
      <c r="DK153" s="4173"/>
    </row>
    <row r="154" spans="1:119" ht="6.75" customHeight="1">
      <c r="A154" s="146"/>
      <c r="B154" s="3967"/>
      <c r="C154" s="3967"/>
      <c r="D154" s="3968"/>
      <c r="E154" s="3968"/>
      <c r="F154" s="3968"/>
      <c r="G154" s="3968"/>
      <c r="H154" s="3968"/>
      <c r="I154" s="3968"/>
      <c r="J154" s="3968"/>
      <c r="K154" s="3968"/>
      <c r="L154" s="3968"/>
      <c r="M154" s="3968"/>
      <c r="N154" s="3968"/>
      <c r="O154" s="3968"/>
      <c r="P154" s="3968"/>
      <c r="Q154" s="3968"/>
      <c r="R154" s="3968"/>
      <c r="S154" s="3968"/>
      <c r="T154" s="3968"/>
      <c r="U154" s="3968"/>
      <c r="V154" s="3968"/>
      <c r="W154" s="3968"/>
      <c r="X154" s="3968"/>
      <c r="Y154" s="3968"/>
      <c r="Z154" s="3968"/>
      <c r="AA154" s="3968"/>
      <c r="AB154" s="3969"/>
      <c r="AC154" s="3969"/>
      <c r="AD154" s="3969"/>
      <c r="AE154" s="3969"/>
      <c r="AF154" s="3969"/>
      <c r="AG154" s="3969"/>
      <c r="AH154" s="3969"/>
      <c r="AI154" s="3941"/>
      <c r="AJ154" s="3941"/>
      <c r="AK154" s="3941"/>
      <c r="AL154" s="3941"/>
      <c r="AM154" s="3941"/>
      <c r="AN154" s="3941"/>
      <c r="AO154" s="3941"/>
      <c r="AP154" s="3941"/>
      <c r="AQ154" s="3941"/>
      <c r="AR154" s="3941"/>
      <c r="AS154" s="3941"/>
      <c r="AT154" s="3941"/>
      <c r="AU154" s="3941"/>
      <c r="AV154" s="3941"/>
      <c r="AW154" s="3941"/>
      <c r="AX154" s="3941"/>
      <c r="AY154" s="3941"/>
      <c r="AZ154" s="3941"/>
      <c r="BA154" s="3941"/>
      <c r="BB154" s="3941"/>
      <c r="BC154" s="3941"/>
      <c r="BD154" s="3941"/>
      <c r="BE154" s="3941"/>
      <c r="BF154" s="4174"/>
      <c r="BG154" s="4175"/>
      <c r="BH154" s="4175"/>
      <c r="BI154" s="4175"/>
      <c r="BJ154" s="4175"/>
      <c r="BK154" s="4175"/>
      <c r="BL154" s="4175"/>
      <c r="BM154" s="4175"/>
      <c r="BN154" s="4175"/>
      <c r="BO154" s="4175"/>
      <c r="BP154" s="4175"/>
      <c r="BQ154" s="4175"/>
      <c r="BR154" s="4175"/>
      <c r="BS154" s="4175"/>
      <c r="BT154" s="4175"/>
      <c r="BU154" s="4176"/>
      <c r="BV154" s="4192"/>
      <c r="BW154" s="4193"/>
      <c r="BX154" s="4193"/>
      <c r="BY154" s="4193"/>
      <c r="BZ154" s="4193"/>
      <c r="CA154" s="4194"/>
      <c r="CB154" s="4186"/>
      <c r="CC154" s="4187"/>
      <c r="CD154" s="4187"/>
      <c r="CE154" s="4187"/>
      <c r="CF154" s="4187"/>
      <c r="CG154" s="4187"/>
      <c r="CH154" s="4187"/>
      <c r="CI154" s="4187"/>
      <c r="CJ154" s="4187"/>
      <c r="CK154" s="4187"/>
      <c r="CL154" s="4187"/>
      <c r="CM154" s="4187"/>
      <c r="CN154" s="4187"/>
      <c r="CO154" s="4187"/>
      <c r="CP154" s="4187"/>
      <c r="CQ154" s="4187"/>
      <c r="CR154" s="4187"/>
      <c r="CS154" s="4187"/>
      <c r="CT154" s="4187"/>
      <c r="CU154" s="4187"/>
      <c r="CV154" s="4188"/>
      <c r="CW154" s="4174"/>
      <c r="CX154" s="4175"/>
      <c r="CY154" s="4175"/>
      <c r="CZ154" s="4175"/>
      <c r="DA154" s="4175"/>
      <c r="DB154" s="4175"/>
      <c r="DC154" s="4175"/>
      <c r="DD154" s="4175"/>
      <c r="DE154" s="4175"/>
      <c r="DF154" s="4175"/>
      <c r="DG154" s="4175"/>
      <c r="DH154" s="4175"/>
      <c r="DI154" s="4175"/>
      <c r="DJ154" s="4175"/>
      <c r="DK154" s="4176"/>
    </row>
    <row r="155" spans="1:119" ht="4.5" customHeight="1" thickBot="1">
      <c r="A155" s="146"/>
      <c r="B155" s="169"/>
      <c r="C155" s="169"/>
      <c r="D155" s="169"/>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c r="DH155" s="175"/>
      <c r="DI155" s="175"/>
      <c r="DJ155" s="175"/>
      <c r="DK155" s="175"/>
      <c r="DL155" s="169"/>
      <c r="DM155" s="147"/>
    </row>
    <row r="156" spans="1:119" ht="12" customHeight="1" thickTop="1">
      <c r="A156" s="146"/>
      <c r="B156" s="3947" t="s">
        <v>196</v>
      </c>
      <c r="C156" s="3948"/>
      <c r="D156" s="3948"/>
      <c r="E156" s="3948"/>
      <c r="F156" s="3948"/>
      <c r="G156" s="3948"/>
      <c r="H156" s="3948"/>
      <c r="I156" s="3948"/>
      <c r="J156" s="3948"/>
      <c r="K156" s="3948"/>
      <c r="L156" s="3948"/>
      <c r="M156" s="3948"/>
      <c r="N156" s="3948"/>
      <c r="O156" s="3948"/>
      <c r="P156" s="3948"/>
      <c r="Q156" s="3948"/>
      <c r="R156" s="3948"/>
      <c r="S156" s="3948"/>
      <c r="T156" s="3948"/>
      <c r="U156" s="3948"/>
      <c r="V156" s="3948"/>
      <c r="W156" s="3948"/>
      <c r="X156" s="3948"/>
      <c r="Y156" s="3948"/>
      <c r="Z156" s="3948"/>
      <c r="AA156" s="3948"/>
      <c r="AB156" s="3995" t="s">
        <v>1202</v>
      </c>
      <c r="AC156" s="3996"/>
      <c r="AD156" s="3996"/>
      <c r="AE156" s="3996"/>
      <c r="AF156" s="3996"/>
      <c r="AG156" s="3996"/>
      <c r="AH156" s="3996"/>
      <c r="AI156" s="3996"/>
      <c r="AJ156" s="3996"/>
      <c r="AK156" s="3996"/>
      <c r="AL156" s="3996"/>
      <c r="AM156" s="3996"/>
      <c r="AN156" s="3996"/>
      <c r="AO156" s="3996"/>
      <c r="AP156" s="3996"/>
      <c r="AQ156" s="3996"/>
      <c r="AR156" s="3996"/>
      <c r="AS156" s="3996"/>
      <c r="AT156" s="3996"/>
      <c r="AU156" s="3996"/>
      <c r="AV156" s="3996"/>
      <c r="AW156" s="3996"/>
      <c r="AX156" s="3996"/>
      <c r="AY156" s="3996"/>
      <c r="AZ156" s="3999"/>
      <c r="BA156" s="3956"/>
      <c r="BB156" s="3956"/>
      <c r="BC156" s="3956"/>
      <c r="BD156" s="3956"/>
      <c r="BE156" s="3956"/>
      <c r="BF156" s="3956"/>
      <c r="BG156" s="3956"/>
      <c r="BH156" s="3956"/>
      <c r="BI156" s="3956"/>
      <c r="BJ156" s="3956"/>
      <c r="BK156" s="3956"/>
      <c r="BL156" s="4000"/>
      <c r="BM156" s="3951" t="s">
        <v>1201</v>
      </c>
      <c r="BN156" s="3952"/>
      <c r="BO156" s="3952"/>
      <c r="BP156" s="3952"/>
      <c r="BQ156" s="3952"/>
      <c r="BR156" s="3955"/>
      <c r="BS156" s="3956"/>
      <c r="BT156" s="3956"/>
      <c r="BU156" s="3956"/>
      <c r="BV156" s="3956"/>
      <c r="BW156" s="3956"/>
      <c r="BX156" s="3956"/>
      <c r="BY156" s="3956"/>
      <c r="BZ156" s="3956"/>
      <c r="CA156" s="3956"/>
      <c r="CB156" s="3956"/>
      <c r="CC156" s="3956"/>
      <c r="CD156" s="3956"/>
      <c r="CE156" s="3956"/>
      <c r="CF156" s="3956"/>
      <c r="CG156" s="3956"/>
      <c r="CH156" s="3956"/>
      <c r="CI156" s="3956"/>
      <c r="CJ156" s="3956"/>
      <c r="CK156" s="3956"/>
      <c r="CL156" s="3956"/>
      <c r="CM156" s="3956"/>
      <c r="CN156" s="3957"/>
      <c r="CO156" s="3934" t="s">
        <v>641</v>
      </c>
      <c r="CP156" s="3934"/>
      <c r="CQ156" s="3934"/>
      <c r="CR156" s="3934"/>
      <c r="CS156" s="3934"/>
      <c r="CT156" s="3934"/>
      <c r="CU156" s="3934"/>
      <c r="CV156" s="3934"/>
      <c r="CW156" s="3934"/>
      <c r="CX156" s="3934"/>
      <c r="CY156" s="3934"/>
      <c r="CZ156" s="3934"/>
      <c r="DA156" s="3934"/>
      <c r="DB156" s="3934"/>
      <c r="DC156" s="3934"/>
      <c r="DD156" s="3934"/>
      <c r="DE156" s="3934"/>
      <c r="DF156" s="3934"/>
      <c r="DG156" s="3934"/>
      <c r="DH156" s="3934"/>
      <c r="DI156" s="3934"/>
      <c r="DJ156" s="3934"/>
      <c r="DK156" s="3935"/>
      <c r="DL156" s="287"/>
      <c r="DM156" s="269"/>
      <c r="DN156" s="169"/>
      <c r="DO156" s="147"/>
    </row>
    <row r="157" spans="1:119" ht="12" customHeight="1" thickBot="1">
      <c r="A157" s="146"/>
      <c r="B157" s="3943" t="s">
        <v>576</v>
      </c>
      <c r="C157" s="3944"/>
      <c r="D157" s="3944"/>
      <c r="E157" s="3944"/>
      <c r="F157" s="3944"/>
      <c r="G157" s="3944"/>
      <c r="H157" s="3944"/>
      <c r="I157" s="3944"/>
      <c r="J157" s="3945" t="s">
        <v>577</v>
      </c>
      <c r="K157" s="3945"/>
      <c r="L157" s="3945"/>
      <c r="M157" s="3945"/>
      <c r="N157" s="3945"/>
      <c r="O157" s="3945"/>
      <c r="P157" s="3945"/>
      <c r="Q157" s="3945"/>
      <c r="R157" s="3945"/>
      <c r="S157" s="3945"/>
      <c r="T157" s="3945"/>
      <c r="U157" s="3945"/>
      <c r="V157" s="3945"/>
      <c r="W157" s="3945"/>
      <c r="X157" s="3945"/>
      <c r="Y157" s="3945"/>
      <c r="Z157" s="3945"/>
      <c r="AA157" s="3945"/>
      <c r="AB157" s="3997"/>
      <c r="AC157" s="3998"/>
      <c r="AD157" s="3998"/>
      <c r="AE157" s="3998"/>
      <c r="AF157" s="3998"/>
      <c r="AG157" s="3998"/>
      <c r="AH157" s="3998"/>
      <c r="AI157" s="3998"/>
      <c r="AJ157" s="3998"/>
      <c r="AK157" s="3998"/>
      <c r="AL157" s="3998"/>
      <c r="AM157" s="3998"/>
      <c r="AN157" s="3998"/>
      <c r="AO157" s="3998"/>
      <c r="AP157" s="3998"/>
      <c r="AQ157" s="3998"/>
      <c r="AR157" s="3998"/>
      <c r="AS157" s="3998"/>
      <c r="AT157" s="3998"/>
      <c r="AU157" s="3998"/>
      <c r="AV157" s="3998"/>
      <c r="AW157" s="3998"/>
      <c r="AX157" s="3998"/>
      <c r="AY157" s="3998"/>
      <c r="AZ157" s="4001"/>
      <c r="BA157" s="3959"/>
      <c r="BB157" s="3959"/>
      <c r="BC157" s="3959"/>
      <c r="BD157" s="3959"/>
      <c r="BE157" s="3959"/>
      <c r="BF157" s="3959"/>
      <c r="BG157" s="3959"/>
      <c r="BH157" s="3959"/>
      <c r="BI157" s="3959"/>
      <c r="BJ157" s="3959"/>
      <c r="BK157" s="3959"/>
      <c r="BL157" s="4002"/>
      <c r="BM157" s="3953"/>
      <c r="BN157" s="3954"/>
      <c r="BO157" s="3954"/>
      <c r="BP157" s="3954"/>
      <c r="BQ157" s="3954"/>
      <c r="BR157" s="3958"/>
      <c r="BS157" s="3959"/>
      <c r="BT157" s="3959"/>
      <c r="BU157" s="3959"/>
      <c r="BV157" s="3959"/>
      <c r="BW157" s="3959"/>
      <c r="BX157" s="3959"/>
      <c r="BY157" s="3959"/>
      <c r="BZ157" s="3959"/>
      <c r="CA157" s="3959"/>
      <c r="CB157" s="3959"/>
      <c r="CC157" s="3959"/>
      <c r="CD157" s="3959"/>
      <c r="CE157" s="3959"/>
      <c r="CF157" s="3959"/>
      <c r="CG157" s="3959"/>
      <c r="CH157" s="3959"/>
      <c r="CI157" s="3959"/>
      <c r="CJ157" s="3959"/>
      <c r="CK157" s="3959"/>
      <c r="CL157" s="3959"/>
      <c r="CM157" s="3959"/>
      <c r="CN157" s="3960"/>
      <c r="CO157" s="3949" t="s">
        <v>1207</v>
      </c>
      <c r="CP157" s="3949"/>
      <c r="CQ157" s="3949"/>
      <c r="CR157" s="3949"/>
      <c r="CS157" s="3949"/>
      <c r="CT157" s="3949"/>
      <c r="CU157" s="3949"/>
      <c r="CV157" s="3949"/>
      <c r="CW157" s="3949"/>
      <c r="CX157" s="3949"/>
      <c r="CY157" s="3949"/>
      <c r="CZ157" s="3949"/>
      <c r="DA157" s="3949"/>
      <c r="DB157" s="3949"/>
      <c r="DC157" s="3949"/>
      <c r="DD157" s="3949"/>
      <c r="DE157" s="3949"/>
      <c r="DF157" s="3949"/>
      <c r="DG157" s="3949"/>
      <c r="DH157" s="3949"/>
      <c r="DI157" s="3949"/>
      <c r="DJ157" s="3949"/>
      <c r="DK157" s="3950"/>
      <c r="DL157" s="169"/>
      <c r="DM157" s="147"/>
    </row>
    <row r="158" spans="1:119" ht="7.5" customHeight="1" thickTop="1" thickBot="1">
      <c r="A158" s="146"/>
      <c r="B158" s="3970"/>
      <c r="C158" s="3970"/>
      <c r="D158" s="3970"/>
      <c r="E158" s="3970"/>
      <c r="F158" s="3970"/>
      <c r="G158" s="3970"/>
      <c r="H158" s="3970"/>
      <c r="I158" s="3970"/>
      <c r="J158" s="3970"/>
      <c r="K158" s="3970"/>
      <c r="L158" s="3970"/>
      <c r="M158" s="3970"/>
      <c r="N158" s="3970"/>
      <c r="O158" s="3970"/>
      <c r="P158" s="3970"/>
      <c r="Q158" s="3970"/>
      <c r="R158" s="3970"/>
      <c r="S158" s="3970"/>
      <c r="T158" s="3970"/>
      <c r="U158" s="3970"/>
      <c r="V158" s="3970"/>
      <c r="W158" s="3970"/>
      <c r="X158" s="3970"/>
      <c r="Y158" s="3970"/>
      <c r="Z158" s="3970"/>
      <c r="AA158" s="3970"/>
      <c r="AB158" s="3970"/>
      <c r="AC158" s="3970"/>
      <c r="AD158" s="3970"/>
      <c r="AE158" s="3970"/>
      <c r="AF158" s="3970"/>
      <c r="AG158" s="3970"/>
      <c r="AH158" s="3970"/>
      <c r="AI158" s="3970"/>
      <c r="AJ158" s="3970"/>
      <c r="AK158" s="3970"/>
      <c r="AL158" s="3970"/>
      <c r="AM158" s="3970"/>
      <c r="AN158" s="3970"/>
      <c r="AO158" s="3970"/>
      <c r="AP158" s="3970"/>
      <c r="AQ158" s="3970"/>
      <c r="AR158" s="3970"/>
      <c r="AS158" s="3970"/>
      <c r="AT158" s="3970"/>
      <c r="AU158" s="3970"/>
      <c r="AV158" s="3970"/>
      <c r="AW158" s="3970"/>
      <c r="AX158" s="3970"/>
      <c r="AY158" s="3970"/>
      <c r="AZ158" s="3970"/>
      <c r="BA158" s="3970"/>
      <c r="BB158" s="3970"/>
      <c r="BC158" s="3970"/>
      <c r="BD158" s="3970"/>
      <c r="BE158" s="3970"/>
      <c r="BF158" s="3970"/>
      <c r="BG158" s="3970"/>
      <c r="BH158" s="3970"/>
      <c r="BI158" s="3970"/>
      <c r="BJ158" s="3970"/>
      <c r="BK158" s="3970"/>
      <c r="BL158" s="3970"/>
      <c r="BM158" s="3970"/>
      <c r="BN158" s="3970"/>
      <c r="BO158" s="3970"/>
      <c r="BP158" s="3970"/>
      <c r="BQ158" s="3970"/>
      <c r="BR158" s="3970"/>
      <c r="BS158" s="3970"/>
      <c r="BT158" s="3970"/>
      <c r="BU158" s="3970"/>
      <c r="BV158" s="3970"/>
      <c r="BW158" s="3970"/>
      <c r="BX158" s="3970"/>
      <c r="BY158" s="3970"/>
      <c r="BZ158" s="3970"/>
      <c r="CA158" s="3970"/>
      <c r="CB158" s="3970"/>
      <c r="CC158" s="3970"/>
      <c r="CD158" s="3970"/>
      <c r="CE158" s="3970"/>
      <c r="CF158" s="3970"/>
      <c r="CG158" s="3970"/>
      <c r="CH158" s="3970"/>
      <c r="CJ158" s="175"/>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69"/>
      <c r="DM158" s="147"/>
    </row>
    <row r="159" spans="1:119" ht="7.5" customHeight="1">
      <c r="A159" s="146"/>
      <c r="B159" s="3971" t="s">
        <v>329</v>
      </c>
      <c r="C159" s="3971"/>
      <c r="D159" s="3971"/>
      <c r="E159" s="3971"/>
      <c r="F159" s="3971"/>
      <c r="G159" s="3971"/>
      <c r="H159" s="3971"/>
      <c r="I159" s="3971"/>
      <c r="J159" s="3971"/>
      <c r="K159" s="3971"/>
      <c r="L159" s="3971"/>
      <c r="M159" s="3971"/>
      <c r="N159" s="3971"/>
      <c r="O159" s="3971"/>
      <c r="P159" s="3971"/>
      <c r="Q159" s="3971"/>
      <c r="R159" s="3971"/>
      <c r="S159" s="3971"/>
      <c r="T159" s="3971"/>
      <c r="U159" s="3971"/>
      <c r="V159" s="3971"/>
      <c r="W159" s="3971"/>
      <c r="X159" s="3971"/>
      <c r="Y159" s="3971"/>
      <c r="Z159" s="3971"/>
      <c r="AA159" s="3971"/>
      <c r="AB159" s="3971"/>
      <c r="AC159" s="3971"/>
      <c r="AD159" s="3971"/>
      <c r="AE159" s="3971"/>
      <c r="AF159" s="3971"/>
      <c r="AG159" s="3971"/>
      <c r="AH159" s="3971"/>
      <c r="AI159" s="3971"/>
      <c r="AJ159" s="3971"/>
      <c r="AK159" s="3971"/>
      <c r="AL159" s="3971"/>
      <c r="AM159" s="3971"/>
      <c r="AN159" s="3971"/>
      <c r="AO159" s="3971"/>
      <c r="AP159" s="3971"/>
      <c r="AQ159" s="3971"/>
      <c r="AR159" s="3971"/>
      <c r="AS159" s="3971"/>
      <c r="AT159" s="3971"/>
      <c r="AU159" s="3971"/>
      <c r="AV159" s="3971"/>
      <c r="AW159" s="3971"/>
      <c r="AX159" s="3971"/>
      <c r="AY159" s="3971"/>
      <c r="AZ159" s="3971"/>
      <c r="BA159" s="3971"/>
      <c r="BB159" s="3971"/>
      <c r="BC159" s="3971"/>
      <c r="BD159" s="3971"/>
      <c r="BE159" s="3971"/>
      <c r="BF159" s="3971"/>
      <c r="BG159" s="3971"/>
      <c r="BH159" s="3971"/>
      <c r="BI159" s="3971"/>
      <c r="BJ159" s="3971"/>
      <c r="BK159" s="3971"/>
      <c r="BL159" s="3971"/>
      <c r="BM159" s="3971"/>
      <c r="BN159" s="3971"/>
      <c r="BO159" s="3971"/>
      <c r="BP159" s="3971"/>
      <c r="BQ159" s="3971"/>
      <c r="BR159" s="3971"/>
      <c r="BS159" s="3971"/>
      <c r="BT159" s="3971"/>
      <c r="BU159" s="3971"/>
      <c r="BV159" s="3971"/>
      <c r="BW159" s="3971"/>
      <c r="BX159" s="3971"/>
      <c r="BY159" s="3971"/>
      <c r="BZ159" s="3971"/>
      <c r="CA159" s="3971"/>
      <c r="CB159" s="3971"/>
      <c r="CC159" s="3971"/>
      <c r="CD159" s="3971"/>
      <c r="CE159" s="3971"/>
      <c r="CF159" s="3971"/>
      <c r="CG159" s="3971"/>
      <c r="CH159" s="3971"/>
      <c r="CJ159" s="176" t="s">
        <v>330</v>
      </c>
      <c r="CK159" s="177"/>
      <c r="CL159" s="177"/>
      <c r="CM159" s="177"/>
      <c r="CN159" s="177"/>
      <c r="CO159" s="177"/>
      <c r="CP159" s="177"/>
      <c r="CQ159" s="177"/>
      <c r="CR159" s="177"/>
      <c r="CS159" s="177"/>
      <c r="CT159" s="177"/>
      <c r="CU159" s="177"/>
      <c r="CV159" s="177"/>
      <c r="CW159" s="177"/>
      <c r="CX159" s="177"/>
      <c r="CY159" s="177"/>
      <c r="CZ159" s="177"/>
      <c r="DA159" s="177"/>
      <c r="DB159" s="177"/>
      <c r="DC159" s="177"/>
      <c r="DD159" s="177"/>
      <c r="DE159" s="177"/>
      <c r="DF159" s="177"/>
      <c r="DG159" s="177"/>
      <c r="DH159" s="177"/>
      <c r="DI159" s="177"/>
      <c r="DJ159" s="177"/>
      <c r="DK159" s="178"/>
      <c r="DL159" s="169"/>
      <c r="DM159" s="147"/>
    </row>
    <row r="160" spans="1:119" ht="7.5" customHeight="1">
      <c r="B160" s="3971" t="s">
        <v>331</v>
      </c>
      <c r="C160" s="3971"/>
      <c r="D160" s="3971"/>
      <c r="E160" s="3971"/>
      <c r="F160" s="3971"/>
      <c r="G160" s="3971"/>
      <c r="H160" s="3971"/>
      <c r="I160" s="3971"/>
      <c r="J160" s="3971"/>
      <c r="K160" s="3971"/>
      <c r="L160" s="3971"/>
      <c r="M160" s="3971"/>
      <c r="N160" s="3971"/>
      <c r="O160" s="3971"/>
      <c r="P160" s="3971"/>
      <c r="Q160" s="3971"/>
      <c r="R160" s="3971"/>
      <c r="S160" s="3971"/>
      <c r="T160" s="3971"/>
      <c r="U160" s="3971"/>
      <c r="V160" s="3971"/>
      <c r="W160" s="3971"/>
      <c r="X160" s="3971"/>
      <c r="Y160" s="3971"/>
      <c r="Z160" s="3971"/>
      <c r="AA160" s="3971"/>
      <c r="AB160" s="3971"/>
      <c r="AC160" s="3971"/>
      <c r="AD160" s="3971"/>
      <c r="AE160" s="3971"/>
      <c r="AF160" s="3971"/>
      <c r="AG160" s="3971"/>
      <c r="AH160" s="3971"/>
      <c r="AI160" s="3971"/>
      <c r="AJ160" s="3971"/>
      <c r="AK160" s="3971"/>
      <c r="AL160" s="3971"/>
      <c r="AM160" s="3971"/>
      <c r="AN160" s="3971"/>
      <c r="AO160" s="3971"/>
      <c r="AP160" s="3971"/>
      <c r="AQ160" s="3971"/>
      <c r="AR160" s="3971"/>
      <c r="AS160" s="3971"/>
      <c r="AT160" s="3971"/>
      <c r="AU160" s="3971"/>
      <c r="AV160" s="3971"/>
      <c r="AW160" s="3971"/>
      <c r="AX160" s="3971"/>
      <c r="AY160" s="3971"/>
      <c r="AZ160" s="3971"/>
      <c r="BA160" s="3971"/>
      <c r="BB160" s="3971"/>
      <c r="BC160" s="3971"/>
      <c r="BD160" s="3971"/>
      <c r="BE160" s="3971"/>
      <c r="BF160" s="3971"/>
      <c r="BG160" s="3971"/>
      <c r="BH160" s="3971"/>
      <c r="BI160" s="3971"/>
      <c r="BJ160" s="3971"/>
      <c r="BK160" s="3971"/>
      <c r="BL160" s="3971"/>
      <c r="BM160" s="3971"/>
      <c r="BN160" s="3971"/>
      <c r="BO160" s="3971"/>
      <c r="BP160" s="3971"/>
      <c r="BQ160" s="3971"/>
      <c r="BR160" s="3971"/>
      <c r="BS160" s="3971"/>
      <c r="BT160" s="3971"/>
      <c r="BU160" s="3971"/>
      <c r="BV160" s="3971"/>
      <c r="BW160" s="3971"/>
      <c r="BX160" s="3971"/>
      <c r="BY160" s="3971"/>
      <c r="BZ160" s="3971"/>
      <c r="CA160" s="3971"/>
      <c r="CB160" s="3971"/>
      <c r="CC160" s="3971"/>
      <c r="CD160" s="3971"/>
      <c r="CE160" s="3971"/>
      <c r="CF160" s="3971"/>
      <c r="CG160" s="3971"/>
      <c r="CH160" s="3971"/>
      <c r="CJ160" s="180"/>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2"/>
      <c r="DL160" s="183"/>
    </row>
    <row r="161" spans="1:116" ht="7.5" customHeight="1">
      <c r="A161" s="183"/>
      <c r="B161" s="4169" t="s">
        <v>1514</v>
      </c>
      <c r="C161" s="4169"/>
      <c r="D161" s="4169"/>
      <c r="E161" s="4169"/>
      <c r="F161" s="4169"/>
      <c r="G161" s="4169"/>
      <c r="H161" s="4169"/>
      <c r="I161" s="4169"/>
      <c r="J161" s="4169"/>
      <c r="K161" s="4169"/>
      <c r="L161" s="4169"/>
      <c r="M161" s="4169"/>
      <c r="N161" s="4169"/>
      <c r="O161" s="4169"/>
      <c r="P161" s="4169"/>
      <c r="Q161" s="4169"/>
      <c r="R161" s="4169"/>
      <c r="S161" s="4169"/>
      <c r="T161" s="4169"/>
      <c r="U161" s="4169"/>
      <c r="V161" s="4169"/>
      <c r="W161" s="4169"/>
      <c r="X161" s="4169"/>
      <c r="Y161" s="4169"/>
      <c r="Z161" s="4169"/>
      <c r="AA161" s="4169"/>
      <c r="AB161" s="4169"/>
      <c r="AC161" s="4169"/>
      <c r="AD161" s="4169"/>
      <c r="AE161" s="4169"/>
      <c r="AF161" s="4169"/>
      <c r="AG161" s="4169"/>
      <c r="AH161" s="4169"/>
      <c r="AI161" s="4169"/>
      <c r="AJ161" s="4169"/>
      <c r="AK161" s="4169"/>
      <c r="AL161" s="4169"/>
      <c r="AM161" s="4169"/>
      <c r="AN161" s="4169"/>
      <c r="AO161" s="4169"/>
      <c r="AP161" s="4169"/>
      <c r="AQ161" s="4169"/>
      <c r="AR161" s="4169"/>
      <c r="AS161" s="4169"/>
      <c r="AT161" s="4169"/>
      <c r="AU161" s="4169"/>
      <c r="AV161" s="4169"/>
      <c r="AW161" s="4169"/>
      <c r="AX161" s="4169"/>
      <c r="AY161" s="4169"/>
      <c r="AZ161" s="4169"/>
      <c r="BA161" s="4169"/>
      <c r="BB161" s="4169"/>
      <c r="BC161" s="4169"/>
      <c r="BD161" s="4169"/>
      <c r="BE161" s="4169"/>
      <c r="BF161" s="4169"/>
      <c r="BG161" s="4169"/>
      <c r="BH161" s="4169"/>
      <c r="BI161" s="4169"/>
      <c r="BJ161" s="4169"/>
      <c r="BK161" s="4169"/>
      <c r="BL161" s="4169"/>
      <c r="BM161" s="4169"/>
      <c r="BN161" s="4169"/>
      <c r="BO161" s="4169"/>
      <c r="BP161" s="4169"/>
      <c r="BQ161" s="4169"/>
      <c r="BR161" s="4169"/>
      <c r="BS161" s="4169"/>
      <c r="BT161" s="4169"/>
      <c r="BU161" s="4169"/>
      <c r="BV161" s="4169"/>
      <c r="BW161" s="4169"/>
      <c r="BX161" s="4169"/>
      <c r="BY161" s="4169"/>
      <c r="BZ161" s="4169"/>
      <c r="CA161" s="4169"/>
      <c r="CB161" s="4169"/>
      <c r="CC161" s="4169"/>
      <c r="CD161" s="4169"/>
      <c r="CE161" s="4169"/>
      <c r="CF161" s="4169"/>
      <c r="CG161" s="4169"/>
      <c r="CH161" s="4169"/>
      <c r="CJ161" s="180"/>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2"/>
      <c r="DL161" s="183"/>
    </row>
    <row r="162" spans="1:116" ht="7.5" customHeight="1" thickBot="1">
      <c r="A162" s="183"/>
      <c r="B162" s="4170" t="s">
        <v>1515</v>
      </c>
      <c r="C162" s="4170"/>
      <c r="D162" s="4170"/>
      <c r="E162" s="4170"/>
      <c r="F162" s="4170"/>
      <c r="G162" s="4170"/>
      <c r="H162" s="4170"/>
      <c r="I162" s="4170"/>
      <c r="J162" s="4170"/>
      <c r="K162" s="4170"/>
      <c r="L162" s="4170"/>
      <c r="M162" s="4170"/>
      <c r="N162" s="4170"/>
      <c r="O162" s="4170"/>
      <c r="P162" s="4170"/>
      <c r="Q162" s="4170"/>
      <c r="R162" s="4170"/>
      <c r="S162" s="4170"/>
      <c r="T162" s="4170"/>
      <c r="U162" s="4170"/>
      <c r="V162" s="4170"/>
      <c r="W162" s="4170"/>
      <c r="X162" s="4170"/>
      <c r="Y162" s="4170"/>
      <c r="Z162" s="4170"/>
      <c r="AA162" s="4170"/>
      <c r="AB162" s="4170"/>
      <c r="AC162" s="4170"/>
      <c r="AD162" s="4170"/>
      <c r="AE162" s="4170"/>
      <c r="AF162" s="4170"/>
      <c r="AG162" s="4170"/>
      <c r="AH162" s="4170"/>
      <c r="AI162" s="4170"/>
      <c r="AJ162" s="4170"/>
      <c r="AK162" s="4170"/>
      <c r="AL162" s="4170"/>
      <c r="AM162" s="4170"/>
      <c r="AN162" s="4170"/>
      <c r="AO162" s="4170"/>
      <c r="AP162" s="4170"/>
      <c r="AQ162" s="4170"/>
      <c r="AR162" s="4170"/>
      <c r="AS162" s="4170"/>
      <c r="AT162" s="4170"/>
      <c r="AU162" s="4170"/>
      <c r="AV162" s="4170"/>
      <c r="AW162" s="4170"/>
      <c r="AX162" s="4170"/>
      <c r="AY162" s="4170"/>
      <c r="AZ162" s="4170"/>
      <c r="BA162" s="4170"/>
      <c r="BB162" s="4170"/>
      <c r="BC162" s="4170"/>
      <c r="BD162" s="4170"/>
      <c r="BE162" s="4170"/>
      <c r="BF162" s="4170"/>
      <c r="BG162" s="4170"/>
      <c r="BH162" s="4170"/>
      <c r="BI162" s="4170"/>
      <c r="BJ162" s="4170"/>
      <c r="BK162" s="4170"/>
      <c r="BL162" s="4170"/>
      <c r="BM162" s="4170"/>
      <c r="BN162" s="4170"/>
      <c r="BO162" s="4170"/>
      <c r="BP162" s="4170"/>
      <c r="BQ162" s="4170"/>
      <c r="BR162" s="4170"/>
      <c r="BS162" s="4170"/>
      <c r="BT162" s="4170"/>
      <c r="BU162" s="4170"/>
      <c r="BV162" s="4170"/>
      <c r="BW162" s="4170"/>
      <c r="BX162" s="4170"/>
      <c r="BY162" s="4170"/>
      <c r="BZ162" s="4170"/>
      <c r="CA162" s="4170"/>
      <c r="CB162" s="4170"/>
      <c r="CC162" s="4170"/>
      <c r="CD162" s="4170"/>
      <c r="CE162" s="4170"/>
      <c r="CF162" s="4170"/>
      <c r="CG162" s="4170"/>
      <c r="CH162" s="4170"/>
      <c r="CJ162" s="184"/>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6"/>
      <c r="DL162" s="183"/>
    </row>
    <row r="163" spans="1:116" ht="7.5" customHeight="1">
      <c r="A163" s="3946"/>
      <c r="B163" s="3946"/>
      <c r="C163" s="3946"/>
      <c r="D163" s="3946"/>
      <c r="E163" s="3946"/>
      <c r="F163" s="3946"/>
      <c r="G163" s="3946"/>
      <c r="H163" s="3946"/>
      <c r="I163" s="3946"/>
      <c r="J163" s="3946"/>
      <c r="K163" s="3946"/>
      <c r="L163" s="3946"/>
      <c r="M163" s="3946"/>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3936" t="s">
        <v>332</v>
      </c>
      <c r="CO163" s="3936"/>
      <c r="CP163" s="3936"/>
      <c r="CQ163" s="3936"/>
      <c r="CR163" s="3936"/>
      <c r="CS163" s="3936"/>
      <c r="CT163" s="3936"/>
      <c r="CU163" s="3936"/>
      <c r="CV163" s="3936"/>
      <c r="CW163" s="3936"/>
      <c r="CX163" s="3936"/>
      <c r="CY163" s="3936"/>
      <c r="CZ163" s="3936"/>
      <c r="DA163" s="3936"/>
      <c r="DB163" s="3936"/>
      <c r="DC163" s="3936"/>
      <c r="DD163" s="3936"/>
      <c r="DE163" s="3936"/>
      <c r="DF163" s="3936"/>
      <c r="DG163" s="3936"/>
      <c r="DH163" s="3936"/>
      <c r="DI163" s="3936"/>
      <c r="DJ163" s="3936"/>
      <c r="DK163" s="3936"/>
    </row>
  </sheetData>
  <sheetProtection algorithmName="SHA-512" hashValue="2GxCh9cxXrUurWwNrCER0fB4z+Oor2IfKNdh5IwmUn825ZixdrBEHQbuqt8ks+lL7CllyhxI+iU2tUEJrSgZfw==" saltValue="ScfywpP42WGxuJ2m2ujGQw==" spinCount="100000" sheet="1" objects="1" scenarios="1" selectLockedCells="1"/>
  <dataConsolidate link="1"/>
  <mergeCells count="479">
    <mergeCell ref="B160:CH160"/>
    <mergeCell ref="B161:CH161"/>
    <mergeCell ref="B162:CH162"/>
    <mergeCell ref="CW153:DK154"/>
    <mergeCell ref="CW135:DK148"/>
    <mergeCell ref="CB153:CV154"/>
    <mergeCell ref="D145:AA146"/>
    <mergeCell ref="AB145:AH146"/>
    <mergeCell ref="AI145:AQ146"/>
    <mergeCell ref="AR145:BE146"/>
    <mergeCell ref="AI153:BE154"/>
    <mergeCell ref="BF153:BU154"/>
    <mergeCell ref="BV153:CA154"/>
    <mergeCell ref="AB139:AH140"/>
    <mergeCell ref="CB135:CD150"/>
    <mergeCell ref="BV135:CA150"/>
    <mergeCell ref="AI139:AQ140"/>
    <mergeCell ref="BF151:DK152"/>
    <mergeCell ref="AB137:AH138"/>
    <mergeCell ref="AI137:AQ138"/>
    <mergeCell ref="CM135:CO150"/>
    <mergeCell ref="CR135:CT150"/>
    <mergeCell ref="D139:AA140"/>
    <mergeCell ref="AR139:BE140"/>
    <mergeCell ref="B122:C123"/>
    <mergeCell ref="D122:Q123"/>
    <mergeCell ref="B118:C119"/>
    <mergeCell ref="D118:Q119"/>
    <mergeCell ref="R118:Y119"/>
    <mergeCell ref="Z112:BF113"/>
    <mergeCell ref="CP135:CQ150"/>
    <mergeCell ref="D114:Q115"/>
    <mergeCell ref="R114:Y115"/>
    <mergeCell ref="AR137:BE138"/>
    <mergeCell ref="AR149:BE150"/>
    <mergeCell ref="BF149:BU150"/>
    <mergeCell ref="CE135:CG150"/>
    <mergeCell ref="CK135:CL150"/>
    <mergeCell ref="BF135:BU148"/>
    <mergeCell ref="CH135:CJ150"/>
    <mergeCell ref="B114:C115"/>
    <mergeCell ref="CM114:DA115"/>
    <mergeCell ref="B133:C134"/>
    <mergeCell ref="B129:C132"/>
    <mergeCell ref="D141:AA142"/>
    <mergeCell ref="AB141:AH142"/>
    <mergeCell ref="AI141:AQ142"/>
    <mergeCell ref="CU135:CV150"/>
    <mergeCell ref="DB114:DK115"/>
    <mergeCell ref="CA114:CL115"/>
    <mergeCell ref="Z114:BF115"/>
    <mergeCell ref="BG114:BH115"/>
    <mergeCell ref="BI114:BM115"/>
    <mergeCell ref="BN114:BR115"/>
    <mergeCell ref="D137:AA138"/>
    <mergeCell ref="AR135:BE136"/>
    <mergeCell ref="AB133:AH134"/>
    <mergeCell ref="AI133:AQ134"/>
    <mergeCell ref="CA124:CL125"/>
    <mergeCell ref="CM124:DA125"/>
    <mergeCell ref="DB124:DK125"/>
    <mergeCell ref="BF133:BU134"/>
    <mergeCell ref="D133:AA134"/>
    <mergeCell ref="CW129:DK132"/>
    <mergeCell ref="CE131:CV132"/>
    <mergeCell ref="D129:AA132"/>
    <mergeCell ref="AB129:AH132"/>
    <mergeCell ref="BV129:CA132"/>
    <mergeCell ref="BF129:BU132"/>
    <mergeCell ref="CB129:CD132"/>
    <mergeCell ref="AR129:BE132"/>
    <mergeCell ref="AI129:AQ132"/>
    <mergeCell ref="U108:AN109"/>
    <mergeCell ref="CM122:DA123"/>
    <mergeCell ref="DB122:DK123"/>
    <mergeCell ref="CA122:CL123"/>
    <mergeCell ref="CA120:CL121"/>
    <mergeCell ref="CM120:DA121"/>
    <mergeCell ref="DB120:DK121"/>
    <mergeCell ref="CM116:DA117"/>
    <mergeCell ref="DB116:DK117"/>
    <mergeCell ref="AO108:DK109"/>
    <mergeCell ref="DB118:DK119"/>
    <mergeCell ref="BN118:BR119"/>
    <mergeCell ref="BS118:BZ119"/>
    <mergeCell ref="CA118:CL119"/>
    <mergeCell ref="Z118:BF119"/>
    <mergeCell ref="BG118:BH119"/>
    <mergeCell ref="BI118:BM119"/>
    <mergeCell ref="CM112:DA113"/>
    <mergeCell ref="DB112:DK113"/>
    <mergeCell ref="R110:DJ111"/>
    <mergeCell ref="BN120:BR121"/>
    <mergeCell ref="CM118:DA119"/>
    <mergeCell ref="B108:T109"/>
    <mergeCell ref="B116:C117"/>
    <mergeCell ref="D135:AA136"/>
    <mergeCell ref="AB135:AH136"/>
    <mergeCell ref="AI135:AQ136"/>
    <mergeCell ref="B139:C140"/>
    <mergeCell ref="B135:C136"/>
    <mergeCell ref="B137:C138"/>
    <mergeCell ref="AB156:AY157"/>
    <mergeCell ref="AZ156:BL157"/>
    <mergeCell ref="B143:C144"/>
    <mergeCell ref="D143:AA144"/>
    <mergeCell ref="AB143:AH144"/>
    <mergeCell ref="AI143:AQ144"/>
    <mergeCell ref="B145:C146"/>
    <mergeCell ref="D147:AA148"/>
    <mergeCell ref="B147:C148"/>
    <mergeCell ref="AB147:AH148"/>
    <mergeCell ref="B149:C150"/>
    <mergeCell ref="D149:AA150"/>
    <mergeCell ref="AB149:AH150"/>
    <mergeCell ref="AI149:AQ150"/>
    <mergeCell ref="CO156:DK156"/>
    <mergeCell ref="CN163:DK163"/>
    <mergeCell ref="B141:C142"/>
    <mergeCell ref="AI151:AQ152"/>
    <mergeCell ref="AR151:BE152"/>
    <mergeCell ref="B157:I157"/>
    <mergeCell ref="J157:AA157"/>
    <mergeCell ref="A163:M163"/>
    <mergeCell ref="B156:AA156"/>
    <mergeCell ref="CO157:DK157"/>
    <mergeCell ref="BM156:BQ157"/>
    <mergeCell ref="BR156:CN157"/>
    <mergeCell ref="AR141:BE142"/>
    <mergeCell ref="AR143:BE144"/>
    <mergeCell ref="AR147:BE148"/>
    <mergeCell ref="AI147:AQ148"/>
    <mergeCell ref="B153:C154"/>
    <mergeCell ref="D153:AA154"/>
    <mergeCell ref="AB153:AH154"/>
    <mergeCell ref="B151:C152"/>
    <mergeCell ref="D151:AA152"/>
    <mergeCell ref="AB151:AH152"/>
    <mergeCell ref="B158:CH158"/>
    <mergeCell ref="B159:CH159"/>
    <mergeCell ref="CU133:CV134"/>
    <mergeCell ref="CW133:DK134"/>
    <mergeCell ref="AR133:BE134"/>
    <mergeCell ref="CK133:CL134"/>
    <mergeCell ref="BV133:CA134"/>
    <mergeCell ref="CP133:CQ134"/>
    <mergeCell ref="CR133:CT134"/>
    <mergeCell ref="CM133:CO134"/>
    <mergeCell ref="CB133:CD134"/>
    <mergeCell ref="CE133:CG134"/>
    <mergeCell ref="CH133:CJ134"/>
    <mergeCell ref="CE129:CV130"/>
    <mergeCell ref="B120:C121"/>
    <mergeCell ref="D120:Q121"/>
    <mergeCell ref="Z124:BF125"/>
    <mergeCell ref="BS120:BZ121"/>
    <mergeCell ref="R120:Y121"/>
    <mergeCell ref="BG120:BH121"/>
    <mergeCell ref="BI120:BM121"/>
    <mergeCell ref="BN124:BR125"/>
    <mergeCell ref="BS124:BZ125"/>
    <mergeCell ref="B124:C125"/>
    <mergeCell ref="D124:Q125"/>
    <mergeCell ref="R124:Y125"/>
    <mergeCell ref="BG124:BH125"/>
    <mergeCell ref="BI124:BM125"/>
    <mergeCell ref="BN122:BR123"/>
    <mergeCell ref="BS122:BZ123"/>
    <mergeCell ref="R122:Y123"/>
    <mergeCell ref="Z120:BF121"/>
    <mergeCell ref="Z122:BF123"/>
    <mergeCell ref="BG122:BH123"/>
    <mergeCell ref="BI122:BM123"/>
    <mergeCell ref="B127:T128"/>
    <mergeCell ref="U127:AN128"/>
    <mergeCell ref="D116:Q117"/>
    <mergeCell ref="R116:Y117"/>
    <mergeCell ref="BG116:BH117"/>
    <mergeCell ref="BI116:BM117"/>
    <mergeCell ref="BN116:BR117"/>
    <mergeCell ref="BS116:BZ117"/>
    <mergeCell ref="CA116:CL117"/>
    <mergeCell ref="Z116:BF117"/>
    <mergeCell ref="B110:C113"/>
    <mergeCell ref="D110:Q113"/>
    <mergeCell ref="R112:Y113"/>
    <mergeCell ref="BG112:BM113"/>
    <mergeCell ref="BN112:BR113"/>
    <mergeCell ref="BS112:BZ113"/>
    <mergeCell ref="CA112:CL113"/>
    <mergeCell ref="BS114:BZ115"/>
    <mergeCell ref="CH95:CL96"/>
    <mergeCell ref="D95:K96"/>
    <mergeCell ref="L95:V96"/>
    <mergeCell ref="W95:AF96"/>
    <mergeCell ref="AG95:AK96"/>
    <mergeCell ref="CC95:CE96"/>
    <mergeCell ref="BP97:BR106"/>
    <mergeCell ref="BS97:BU106"/>
    <mergeCell ref="BV97:BW106"/>
    <mergeCell ref="CF95:CG96"/>
    <mergeCell ref="B105:C106"/>
    <mergeCell ref="D105:K106"/>
    <mergeCell ref="W105:AF106"/>
    <mergeCell ref="B103:C104"/>
    <mergeCell ref="D103:K104"/>
    <mergeCell ref="W103:AF104"/>
    <mergeCell ref="B99:C100"/>
    <mergeCell ref="CM97:DK98"/>
    <mergeCell ref="CH99:CL100"/>
    <mergeCell ref="CM99:DK100"/>
    <mergeCell ref="BX97:BZ106"/>
    <mergeCell ref="CA97:CB106"/>
    <mergeCell ref="CC97:CE106"/>
    <mergeCell ref="CF97:CG106"/>
    <mergeCell ref="CH105:CL106"/>
    <mergeCell ref="CM105:DK106"/>
    <mergeCell ref="CH101:CL102"/>
    <mergeCell ref="CM101:DK102"/>
    <mergeCell ref="CH103:CL104"/>
    <mergeCell ref="CM103:DK104"/>
    <mergeCell ref="W99:AF100"/>
    <mergeCell ref="AG97:AK106"/>
    <mergeCell ref="CM95:DK96"/>
    <mergeCell ref="CA95:CB96"/>
    <mergeCell ref="CH97:CL98"/>
    <mergeCell ref="B97:C98"/>
    <mergeCell ref="D97:K98"/>
    <mergeCell ref="L97:V106"/>
    <mergeCell ref="W97:AF98"/>
    <mergeCell ref="BJ95:BO96"/>
    <mergeCell ref="BP95:BR96"/>
    <mergeCell ref="BS95:BU96"/>
    <mergeCell ref="BV95:BW96"/>
    <mergeCell ref="BX95:BZ96"/>
    <mergeCell ref="B101:C102"/>
    <mergeCell ref="AL95:BI96"/>
    <mergeCell ref="D101:K102"/>
    <mergeCell ref="B95:C96"/>
    <mergeCell ref="AL97:BI98"/>
    <mergeCell ref="AL99:BI100"/>
    <mergeCell ref="AL101:BI102"/>
    <mergeCell ref="AL103:BI104"/>
    <mergeCell ref="AL105:BI106"/>
    <mergeCell ref="BJ97:BO106"/>
    <mergeCell ref="D99:K100"/>
    <mergeCell ref="W101:AF102"/>
    <mergeCell ref="B78:C79"/>
    <mergeCell ref="D78:Q79"/>
    <mergeCell ref="CU84:DK85"/>
    <mergeCell ref="CU86:DK87"/>
    <mergeCell ref="B80:C81"/>
    <mergeCell ref="D80:Q81"/>
    <mergeCell ref="W80:AD81"/>
    <mergeCell ref="AE80:AY81"/>
    <mergeCell ref="AZ80:BL81"/>
    <mergeCell ref="BM80:CC81"/>
    <mergeCell ref="CD80:CT81"/>
    <mergeCell ref="B82:C83"/>
    <mergeCell ref="D82:Q83"/>
    <mergeCell ref="W82:AD83"/>
    <mergeCell ref="AE82:AY83"/>
    <mergeCell ref="AZ82:BL83"/>
    <mergeCell ref="BM82:CC83"/>
    <mergeCell ref="CD82:CT83"/>
    <mergeCell ref="B84:C85"/>
    <mergeCell ref="D84:Q85"/>
    <mergeCell ref="W84:AD85"/>
    <mergeCell ref="AE84:AY85"/>
    <mergeCell ref="AZ84:BL85"/>
    <mergeCell ref="BM84:CC85"/>
    <mergeCell ref="B42:F44"/>
    <mergeCell ref="AB38:AF39"/>
    <mergeCell ref="B76:C77"/>
    <mergeCell ref="D76:Q77"/>
    <mergeCell ref="CU74:DK75"/>
    <mergeCell ref="B70:N71"/>
    <mergeCell ref="O70:DK71"/>
    <mergeCell ref="CF62:DB63"/>
    <mergeCell ref="AO52:AT53"/>
    <mergeCell ref="AJ65:DK69"/>
    <mergeCell ref="B59:F60"/>
    <mergeCell ref="G59:AA60"/>
    <mergeCell ref="AB59:AF60"/>
    <mergeCell ref="AG59:BF60"/>
    <mergeCell ref="B61:F63"/>
    <mergeCell ref="G61:AY63"/>
    <mergeCell ref="A65:AI67"/>
    <mergeCell ref="B72:C75"/>
    <mergeCell ref="D72:Q75"/>
    <mergeCell ref="R72:V75"/>
    <mergeCell ref="W72:AD75"/>
    <mergeCell ref="AE74:AY75"/>
    <mergeCell ref="AE72:DK73"/>
    <mergeCell ref="BI58:CE59"/>
    <mergeCell ref="AB37:AF37"/>
    <mergeCell ref="AG37:AS37"/>
    <mergeCell ref="AT37:BF37"/>
    <mergeCell ref="B30:F30"/>
    <mergeCell ref="B31:F32"/>
    <mergeCell ref="BI35:BM36"/>
    <mergeCell ref="G35:L36"/>
    <mergeCell ref="AG35:AL36"/>
    <mergeCell ref="BI38:BM39"/>
    <mergeCell ref="G33:L34"/>
    <mergeCell ref="BI37:BJ37"/>
    <mergeCell ref="G31:P32"/>
    <mergeCell ref="Q31:AY32"/>
    <mergeCell ref="G30:BF30"/>
    <mergeCell ref="B33:F36"/>
    <mergeCell ref="AT38:BF39"/>
    <mergeCell ref="A1:DL3"/>
    <mergeCell ref="A4:AV6"/>
    <mergeCell ref="J20:L21"/>
    <mergeCell ref="P20:T21"/>
    <mergeCell ref="X20:AB21"/>
    <mergeCell ref="M35:AF36"/>
    <mergeCell ref="AU33:BF34"/>
    <mergeCell ref="AD33:AN34"/>
    <mergeCell ref="M33:W34"/>
    <mergeCell ref="CV24:DA25"/>
    <mergeCell ref="DB24:DK25"/>
    <mergeCell ref="BI25:BM26"/>
    <mergeCell ref="BD4:BX6"/>
    <mergeCell ref="B20:F21"/>
    <mergeCell ref="G20:I21"/>
    <mergeCell ref="M20:O21"/>
    <mergeCell ref="U20:W21"/>
    <mergeCell ref="AC20:AE21"/>
    <mergeCell ref="AF20:BF21"/>
    <mergeCell ref="BI24:BJ24"/>
    <mergeCell ref="BN22:DK23"/>
    <mergeCell ref="AM35:BF36"/>
    <mergeCell ref="CK24:CU25"/>
    <mergeCell ref="BT26:CM27"/>
    <mergeCell ref="AZ42:BF44"/>
    <mergeCell ref="AL47:BF48"/>
    <mergeCell ref="DC52:DK63"/>
    <mergeCell ref="BI54:CE55"/>
    <mergeCell ref="CF54:DB55"/>
    <mergeCell ref="BI60:CE61"/>
    <mergeCell ref="CF60:DB61"/>
    <mergeCell ref="BI62:CE63"/>
    <mergeCell ref="AZ61:BF63"/>
    <mergeCell ref="AG57:AS58"/>
    <mergeCell ref="AT57:BF58"/>
    <mergeCell ref="G50:AN51"/>
    <mergeCell ref="AO50:AZ51"/>
    <mergeCell ref="BA50:BF51"/>
    <mergeCell ref="CF56:DB57"/>
    <mergeCell ref="AM54:BF55"/>
    <mergeCell ref="AU52:BF53"/>
    <mergeCell ref="M52:W53"/>
    <mergeCell ref="B49:F49"/>
    <mergeCell ref="B50:F51"/>
    <mergeCell ref="AD52:AN53"/>
    <mergeCell ref="G52:L53"/>
    <mergeCell ref="G56:AA58"/>
    <mergeCell ref="AB56:AF56"/>
    <mergeCell ref="AG56:AS56"/>
    <mergeCell ref="AT56:BF56"/>
    <mergeCell ref="AB57:AF58"/>
    <mergeCell ref="G54:L55"/>
    <mergeCell ref="AG54:AL55"/>
    <mergeCell ref="M54:AF55"/>
    <mergeCell ref="X52:AC53"/>
    <mergeCell ref="B56:F58"/>
    <mergeCell ref="B22:X24"/>
    <mergeCell ref="Z22:BF24"/>
    <mergeCell ref="BN24:BS25"/>
    <mergeCell ref="CK28:CO29"/>
    <mergeCell ref="BN35:DK36"/>
    <mergeCell ref="DB37:DK38"/>
    <mergeCell ref="CP43:DK44"/>
    <mergeCell ref="G42:AY44"/>
    <mergeCell ref="BI41:BM42"/>
    <mergeCell ref="B40:F41"/>
    <mergeCell ref="AZ31:BF32"/>
    <mergeCell ref="CP28:CZ29"/>
    <mergeCell ref="AR28:BF29"/>
    <mergeCell ref="AN28:AQ29"/>
    <mergeCell ref="B28:AM29"/>
    <mergeCell ref="X33:AC34"/>
    <mergeCell ref="AO33:AT34"/>
    <mergeCell ref="B25:F26"/>
    <mergeCell ref="G25:AD26"/>
    <mergeCell ref="AE25:AI26"/>
    <mergeCell ref="AJ25:BF26"/>
    <mergeCell ref="CE24:CJ25"/>
    <mergeCell ref="G40:AA41"/>
    <mergeCell ref="AB40:AF41"/>
    <mergeCell ref="BI20:CB21"/>
    <mergeCell ref="CC20:DD21"/>
    <mergeCell ref="BI52:DB53"/>
    <mergeCell ref="BN41:CJ42"/>
    <mergeCell ref="CK41:CO42"/>
    <mergeCell ref="CP41:CZ42"/>
    <mergeCell ref="DA41:DK42"/>
    <mergeCell ref="BI50:CE51"/>
    <mergeCell ref="CF50:DB51"/>
    <mergeCell ref="BI48:DB49"/>
    <mergeCell ref="DC48:DK51"/>
    <mergeCell ref="BN37:BS38"/>
    <mergeCell ref="BT37:CD38"/>
    <mergeCell ref="CE37:CJ38"/>
    <mergeCell ref="CK37:CU38"/>
    <mergeCell ref="CV37:DA38"/>
    <mergeCell ref="BN39:BS40"/>
    <mergeCell ref="DE20:DK21"/>
    <mergeCell ref="BI33:CB34"/>
    <mergeCell ref="CC33:DD34"/>
    <mergeCell ref="DE33:DK34"/>
    <mergeCell ref="BI22:BM23"/>
    <mergeCell ref="CN26:CS27"/>
    <mergeCell ref="CT26:DK27"/>
    <mergeCell ref="DA28:DK29"/>
    <mergeCell ref="BI28:BM29"/>
    <mergeCell ref="BN28:CJ29"/>
    <mergeCell ref="CP30:DK31"/>
    <mergeCell ref="BI30:BM31"/>
    <mergeCell ref="BN30:CJ31"/>
    <mergeCell ref="BT24:CD25"/>
    <mergeCell ref="BN26:BS27"/>
    <mergeCell ref="CK30:CO31"/>
    <mergeCell ref="BT39:CM40"/>
    <mergeCell ref="BM74:CC75"/>
    <mergeCell ref="CD74:CT75"/>
    <mergeCell ref="BM76:CC77"/>
    <mergeCell ref="CD76:CT77"/>
    <mergeCell ref="R76:V77"/>
    <mergeCell ref="W76:AD77"/>
    <mergeCell ref="AE76:AY77"/>
    <mergeCell ref="AZ76:BL77"/>
    <mergeCell ref="CN39:CS40"/>
    <mergeCell ref="CT39:DK40"/>
    <mergeCell ref="CK43:CO44"/>
    <mergeCell ref="BI43:BM44"/>
    <mergeCell ref="BN43:CJ44"/>
    <mergeCell ref="AG38:AS39"/>
    <mergeCell ref="CF58:DB59"/>
    <mergeCell ref="BI56:CE57"/>
    <mergeCell ref="B45:BD46"/>
    <mergeCell ref="B47:AK48"/>
    <mergeCell ref="B52:F55"/>
    <mergeCell ref="AG40:BF41"/>
    <mergeCell ref="B37:F39"/>
    <mergeCell ref="G37:AA39"/>
    <mergeCell ref="G49:BF49"/>
    <mergeCell ref="CU76:DK77"/>
    <mergeCell ref="AZ75:BL75"/>
    <mergeCell ref="W78:AD79"/>
    <mergeCell ref="AE78:AY79"/>
    <mergeCell ref="AZ78:BL79"/>
    <mergeCell ref="BM78:CC79"/>
    <mergeCell ref="CD78:CT79"/>
    <mergeCell ref="R78:V87"/>
    <mergeCell ref="CU78:DK79"/>
    <mergeCell ref="CU80:DK81"/>
    <mergeCell ref="CU82:DK83"/>
    <mergeCell ref="CD84:CT85"/>
    <mergeCell ref="W86:AD87"/>
    <mergeCell ref="AE86:AY87"/>
    <mergeCell ref="AZ86:BL87"/>
    <mergeCell ref="CM91:DK94"/>
    <mergeCell ref="BM86:CC87"/>
    <mergeCell ref="CD86:CT87"/>
    <mergeCell ref="B89:AB90"/>
    <mergeCell ref="AC89:DK90"/>
    <mergeCell ref="B91:C94"/>
    <mergeCell ref="D91:K94"/>
    <mergeCell ref="L91:AF94"/>
    <mergeCell ref="AG91:AK94"/>
    <mergeCell ref="BP93:CG94"/>
    <mergeCell ref="BJ91:BO94"/>
    <mergeCell ref="BP91:CG92"/>
    <mergeCell ref="AL91:BI94"/>
    <mergeCell ref="B86:C87"/>
    <mergeCell ref="D86:Q87"/>
    <mergeCell ref="CH91:CL94"/>
  </mergeCells>
  <phoneticPr fontId="68"/>
  <conditionalFormatting sqref="D137">
    <cfRule type="expression" dxfId="714" priority="443">
      <formula>#REF!&lt;&gt;0</formula>
    </cfRule>
  </conditionalFormatting>
  <conditionalFormatting sqref="D97:K106">
    <cfRule type="notContainsBlanks" dxfId="713" priority="136">
      <formula>LEN(TRIM(D97))&gt;0</formula>
    </cfRule>
  </conditionalFormatting>
  <conditionalFormatting sqref="D78:Q79">
    <cfRule type="notContainsBlanks" priority="50" stopIfTrue="1">
      <formula>LEN(TRIM(D78))&gt;0</formula>
    </cfRule>
    <cfRule type="expression" dxfId="712" priority="51">
      <formula>COUNTIF($BI$54:$CE$63,"D-SPA")</formula>
    </cfRule>
  </conditionalFormatting>
  <conditionalFormatting sqref="G25">
    <cfRule type="notContainsBlanks" dxfId="711" priority="34" stopIfTrue="1">
      <formula>LEN(TRIM(G25))&gt;0</formula>
    </cfRule>
  </conditionalFormatting>
  <conditionalFormatting sqref="G30:G31 Q31 AZ31">
    <cfRule type="notContainsBlanks" dxfId="710" priority="29" stopIfTrue="1">
      <formula>LEN(TRIM(G30))&gt;0</formula>
    </cfRule>
  </conditionalFormatting>
  <conditionalFormatting sqref="G49:G50">
    <cfRule type="notContainsBlanks" dxfId="709" priority="35" stopIfTrue="1">
      <formula>LEN(TRIM(G49))&gt;0</formula>
    </cfRule>
  </conditionalFormatting>
  <conditionalFormatting sqref="J20 P20 X20">
    <cfRule type="notContainsBlanks" dxfId="708" priority="33" stopIfTrue="1">
      <formula>LEN(TRIM(J20))&gt;0</formula>
    </cfRule>
  </conditionalFormatting>
  <conditionalFormatting sqref="L97 AG97">
    <cfRule type="expression" dxfId="707" priority="503">
      <formula>OR($D$97&lt;&gt;"",$D$99&lt;&gt;"",$D$101&lt;&gt;"",$D$103&lt;&gt;"",$D$105&lt;&gt;"")</formula>
    </cfRule>
  </conditionalFormatting>
  <conditionalFormatting sqref="L97:BI100">
    <cfRule type="notContainsBlanks" dxfId="706" priority="133">
      <formula>LEN(TRIM(L97))&gt;0</formula>
    </cfRule>
  </conditionalFormatting>
  <conditionalFormatting sqref="M33 AD33 AU33 M35 AM35 G37 AG37:BF39 G40 AG40">
    <cfRule type="notContainsBlanks" dxfId="705" priority="31" stopIfTrue="1">
      <formula>LEN(TRIM(G33))&gt;0</formula>
    </cfRule>
  </conditionalFormatting>
  <conditionalFormatting sqref="M52 AD52 AU52 M54 AM54 G56 AG56:BF58 G59 AG59">
    <cfRule type="notContainsBlanks" dxfId="704" priority="30" stopIfTrue="1">
      <formula>LEN(TRIM(G52))&gt;0</formula>
    </cfRule>
  </conditionalFormatting>
  <conditionalFormatting sqref="R78">
    <cfRule type="expression" dxfId="703" priority="488">
      <formula>OR($D$78&lt;&gt;0,$D$80&lt;&gt;0,$D$82&lt;&gt;0,$D$84&lt;&gt;0,$D$86&lt;&gt;0)</formula>
    </cfRule>
  </conditionalFormatting>
  <conditionalFormatting sqref="R116 BJ97">
    <cfRule type="expression" dxfId="702" priority="592">
      <formula>OR($D$78:$Q$87&lt;&gt;"",$D$97:$K$106&lt;&gt;"")</formula>
    </cfRule>
  </conditionalFormatting>
  <conditionalFormatting sqref="R118">
    <cfRule type="expression" dxfId="701" priority="18391">
      <formula>$D$99&lt;&gt;""</formula>
    </cfRule>
  </conditionalFormatting>
  <conditionalFormatting sqref="R120">
    <cfRule type="expression" dxfId="700" priority="18396">
      <formula>$D$101&lt;&gt;""</formula>
    </cfRule>
  </conditionalFormatting>
  <conditionalFormatting sqref="R122">
    <cfRule type="expression" dxfId="699" priority="18401">
      <formula>$D$103&lt;&gt;""</formula>
    </cfRule>
  </conditionalFormatting>
  <conditionalFormatting sqref="R124">
    <cfRule type="expression" dxfId="698" priority="522">
      <formula>$D$105&lt;&gt;""</formula>
    </cfRule>
  </conditionalFormatting>
  <conditionalFormatting sqref="R78:DK87">
    <cfRule type="notContainsBlanks" dxfId="697" priority="301" stopIfTrue="1">
      <formula>LEN(TRIM(R78))&gt;0</formula>
    </cfRule>
  </conditionalFormatting>
  <conditionalFormatting sqref="R116:DK125">
    <cfRule type="notContainsBlanks" dxfId="696" priority="508" stopIfTrue="1">
      <formula>LEN(TRIM(R116))&gt;0</formula>
    </cfRule>
  </conditionalFormatting>
  <conditionalFormatting sqref="W84 AE84 AZ84 CD84 CU84">
    <cfRule type="expression" dxfId="695" priority="459">
      <formula>AND($D$84&lt;&gt;"",OR($R$78="新規",$R$78="追加"))</formula>
    </cfRule>
  </conditionalFormatting>
  <conditionalFormatting sqref="W86 AE86 AZ86 CD86 CU86">
    <cfRule type="expression" dxfId="694" priority="426">
      <formula>AND($D$86&lt;&gt;"",OR($R$78="新規",$R$78="追加"))</formula>
    </cfRule>
  </conditionalFormatting>
  <conditionalFormatting sqref="W101 CH101">
    <cfRule type="expression" dxfId="693" priority="597">
      <formula>$D$101&lt;&gt;""</formula>
    </cfRule>
  </conditionalFormatting>
  <conditionalFormatting sqref="W103 CH103">
    <cfRule type="expression" dxfId="692" priority="594">
      <formula>$D$103&lt;&gt;""</formula>
    </cfRule>
  </conditionalFormatting>
  <conditionalFormatting sqref="W105 CH105">
    <cfRule type="expression" dxfId="691" priority="593">
      <formula>$D$105&lt;&gt;""</formula>
    </cfRule>
  </conditionalFormatting>
  <conditionalFormatting sqref="W78:DK79">
    <cfRule type="expression" dxfId="690" priority="11">
      <formula>$R$78="更新"</formula>
    </cfRule>
  </conditionalFormatting>
  <conditionalFormatting sqref="W80:DK81">
    <cfRule type="expression" dxfId="689" priority="8">
      <formula>AND($D$80&lt;&gt;"",$R$78="更新")</formula>
    </cfRule>
  </conditionalFormatting>
  <conditionalFormatting sqref="W82:DK83">
    <cfRule type="expression" dxfId="688" priority="6">
      <formula>AND($D$82&lt;&gt;"",$R$78="更新")</formula>
    </cfRule>
  </conditionalFormatting>
  <conditionalFormatting sqref="W84:DK85">
    <cfRule type="expression" dxfId="687" priority="4">
      <formula>AND($D$84&lt;&gt;"",$R$78="更新")</formula>
    </cfRule>
  </conditionalFormatting>
  <conditionalFormatting sqref="W86:DK87">
    <cfRule type="expression" dxfId="686" priority="2">
      <formula>AND($D$86&lt;&gt;"",$R$78="更新")</formula>
    </cfRule>
  </conditionalFormatting>
  <conditionalFormatting sqref="Z116 DB116:DC116 BI116:CL117">
    <cfRule type="expression" dxfId="685" priority="518">
      <formula>$R$116="A表と異なる"</formula>
    </cfRule>
  </conditionalFormatting>
  <conditionalFormatting sqref="Z118 DB118:DC118 BI118:CL119">
    <cfRule type="expression" dxfId="684" priority="596">
      <formula>$R$118="A表と異なる"</formula>
    </cfRule>
  </conditionalFormatting>
  <conditionalFormatting sqref="Z120 DB120:DC120 BI120:CL121">
    <cfRule type="expression" dxfId="683" priority="18411">
      <formula>$R$120="A表と異なる"</formula>
    </cfRule>
  </conditionalFormatting>
  <conditionalFormatting sqref="Z122 DB122 BI122:CL123">
    <cfRule type="expression" dxfId="682" priority="18413">
      <formula>$R$122="A表と異なる"</formula>
    </cfRule>
  </conditionalFormatting>
  <conditionalFormatting sqref="Z124 DB124:DC124 BI124:CL125">
    <cfRule type="expression" dxfId="681" priority="18417">
      <formula>$R$124="A表と異なる"</formula>
    </cfRule>
  </conditionalFormatting>
  <conditionalFormatting sqref="Z116:DK117">
    <cfRule type="expression" dxfId="680" priority="156">
      <formula>$R$116="A表に同じ"</formula>
    </cfRule>
  </conditionalFormatting>
  <conditionalFormatting sqref="Z118:DK119">
    <cfRule type="expression" dxfId="679" priority="155">
      <formula>$R$118="A表に同じ"</formula>
    </cfRule>
  </conditionalFormatting>
  <conditionalFormatting sqref="Z120:DK121">
    <cfRule type="expression" dxfId="678" priority="154">
      <formula>$R$120="A表に同じ"</formula>
    </cfRule>
  </conditionalFormatting>
  <conditionalFormatting sqref="Z122:DK123">
    <cfRule type="expression" dxfId="677" priority="148">
      <formula>$R$122="A表に同じ"</formula>
    </cfRule>
  </conditionalFormatting>
  <conditionalFormatting sqref="Z124:DK125">
    <cfRule type="expression" dxfId="676" priority="150">
      <formula>$R$124="A表に同じ"</formula>
    </cfRule>
  </conditionalFormatting>
  <conditionalFormatting sqref="AB135">
    <cfRule type="expression" dxfId="675" priority="18991">
      <formula>$D$135&lt;&gt;0</formula>
    </cfRule>
  </conditionalFormatting>
  <conditionalFormatting sqref="AB137">
    <cfRule type="expression" dxfId="674" priority="18932">
      <formula>$D$137&lt;&gt;0</formula>
    </cfRule>
  </conditionalFormatting>
  <conditionalFormatting sqref="AB139">
    <cfRule type="expression" dxfId="673" priority="449">
      <formula>AND(COUNTIF(AB135,"*○*"),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onditionalFormatting>
  <conditionalFormatting sqref="AB143">
    <cfRule type="expression" dxfId="672" priority="63">
      <formula>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onditionalFormatting>
  <conditionalFormatting sqref="AB135:AH136">
    <cfRule type="notContainsBlanks" dxfId="671" priority="69" stopIfTrue="1">
      <formula>LEN(TRIM(AB135))&gt;0</formula>
    </cfRule>
  </conditionalFormatting>
  <conditionalFormatting sqref="AB135:AH142">
    <cfRule type="expression" dxfId="670" priority="104">
      <formula>NOT($AB$153="")</formula>
    </cfRule>
  </conditionalFormatting>
  <conditionalFormatting sqref="AB137:AH138">
    <cfRule type="notContainsBlanks" priority="68" stopIfTrue="1">
      <formula>LEN(TRIM(AB137))&gt;0</formula>
    </cfRule>
  </conditionalFormatting>
  <conditionalFormatting sqref="AB139:AH140">
    <cfRule type="expression" dxfId="669" priority="18418">
      <formula>NOT(AND(COUNTIF(AB135,"*○*"),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fRule type="notContainsBlanks" dxfId="668" priority="66" stopIfTrue="1">
      <formula>LEN(TRIM(AB139))&gt;0</formula>
    </cfRule>
  </conditionalFormatting>
  <conditionalFormatting sqref="AB141:AH142">
    <cfRule type="expression" dxfId="667" priority="444">
      <formula>OR(COUNTIF(D97:D105,"*18*"),COUNTIF(D97:D105,"*36*"),COUNTIF(D97:D105,"*66*"),COUNTIF(D97:D105,"*13*"),COUNTIF(D97:D105,"*17*"),COUNTIF(D97:D105,"*35*"),COUNTIF(D97:D105,"*65*"),COUNTIF(D97:D105,"*12*"),COUNTIF(D97:D105,"*MGR*"))</formula>
    </cfRule>
    <cfRule type="expression" dxfId="666" priority="556">
      <formula>$D$141&lt;&gt;0</formula>
    </cfRule>
  </conditionalFormatting>
  <conditionalFormatting sqref="AB141:AH148 AB149">
    <cfRule type="notContainsBlanks" priority="42" stopIfTrue="1">
      <formula>LEN(TRIM(AB141))&gt;0</formula>
    </cfRule>
  </conditionalFormatting>
  <conditionalFormatting sqref="AB143:AH144">
    <cfRule type="expression" dxfId="665" priority="88">
      <formula>NOT(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onditionalFormatting>
  <conditionalFormatting sqref="AB143:AH148 AB149">
    <cfRule type="expression" dxfId="664" priority="28">
      <formula>NOT($AB$153="")</formula>
    </cfRule>
  </conditionalFormatting>
  <conditionalFormatting sqref="AB145:AH146">
    <cfRule type="expression" dxfId="663" priority="64">
      <formula>NOT(AND(COUNTIF(AB135,"*○*"),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fRule type="expression" dxfId="662" priority="48">
      <formula>AND(COUNTIF(AB135,"*○*"),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onditionalFormatting>
  <conditionalFormatting sqref="AB147:AH148">
    <cfRule type="expression" dxfId="661" priority="62">
      <formula>AND(COUNTIF(AB135,"*○*"),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fRule type="expression" dxfId="660" priority="109">
      <formula>NOT(AND(COUNTIF(AB135,"*○*"),OR(COUNTIF(D97:D105,"*SPA_2000_M5*"),COUNTIF(D97:D105,"*SPA_2000_M4*"),COUNTIF(D97:D105,"*SPA_2000*"),COUNTIF(D97:D105,"*SPA_4000_M5*"),COUNTIF(D97:D105,"*SPA_4000_M4*"),COUNTIF(D97:D105,"*SPA_4000*"),COUNTIF(D97:D105,"*SPA_7000_M5A*"),COUNTIF(D97:D105,"*SPA_7000_M5*"),COUNTIF(D97:D105,"*SPA_7000_M5*"),COUNTIF(D97:D105,"*SPA_15000_M5A*"),COUNTIF(D97:D105,"*SPA_15000_M5*"),COUNTIF(D97:D105,"*SPA_15000*"))))</formula>
    </cfRule>
  </conditionalFormatting>
  <conditionalFormatting sqref="AB149:AH150">
    <cfRule type="expression" dxfId="659" priority="26">
      <formula>NOT(AND(COUNTIF(AB135,"*○*"),OR(COUNTIF(D97:D105,"*SPA_2000*"),COUNTIF(D97:D105,"*SPA_4000*"),COUNTIF(D97:D105,"*SPA_7000*"),COUNTIF(D97:D105,"*SPA_15000*"))))</formula>
    </cfRule>
    <cfRule type="expression" dxfId="658" priority="43">
      <formula>AND(COUNTIF(AB135,"*○*"),OR(COUNTIF(D97:D105,"*SPA_2000*"),COUNTIF(D97:D105,"*SPA_4000*"),COUNTIF(D97:D105,"*SPA_7000*"),COUNTIF(D97:D105,"*SPA_15000*")))</formula>
    </cfRule>
  </conditionalFormatting>
  <conditionalFormatting sqref="AB151:AH152">
    <cfRule type="notContainsBlanks" dxfId="657" priority="61" stopIfTrue="1">
      <formula>LEN(TRIM(AB151))&gt;0</formula>
    </cfRule>
    <cfRule type="expression" dxfId="656" priority="83">
      <formula>NOT($AB$153="")</formula>
    </cfRule>
    <cfRule type="expression" dxfId="655" priority="84">
      <formula>$AB$135="○ (GIGAスクール)"</formula>
    </cfRule>
    <cfRule type="expression" dxfId="654" priority="19681">
      <formula>NOT($AB$135="○ (GIGAスクール)")</formula>
    </cfRule>
  </conditionalFormatting>
  <conditionalFormatting sqref="AB153:AH154">
    <cfRule type="containsBlanks" dxfId="653" priority="108">
      <formula>LEN(TRIM(AB153))=0</formula>
    </cfRule>
    <cfRule type="expression" dxfId="652" priority="102">
      <formula>COUNTIF($AB$135:$AH$152,"*○*")&gt;0</formula>
    </cfRule>
    <cfRule type="notContainsBlanks" priority="82" stopIfTrue="1">
      <formula>LEN(TRIM(AB153))&gt;0</formula>
    </cfRule>
    <cfRule type="expression" dxfId="651" priority="101">
      <formula>COUNTIF($AB$135:$AH$152,"*×*")&gt;9</formula>
    </cfRule>
  </conditionalFormatting>
  <conditionalFormatting sqref="AI137">
    <cfRule type="expression" dxfId="650" priority="448">
      <formula>$S$137="× なし"</formula>
    </cfRule>
    <cfRule type="expression" dxfId="649" priority="18945">
      <formula>$AB$137="○ あり"</formula>
    </cfRule>
  </conditionalFormatting>
  <conditionalFormatting sqref="AI139">
    <cfRule type="expression" dxfId="648" priority="18942">
      <formula>$D$135="AV Adapter for D-SPA Ver.3"</formula>
    </cfRule>
  </conditionalFormatting>
  <conditionalFormatting sqref="AI137:AQ138">
    <cfRule type="notContainsBlanks" dxfId="647" priority="59" stopIfTrue="1">
      <formula>LEN(TRIM(AI137))&gt;0</formula>
    </cfRule>
  </conditionalFormatting>
  <conditionalFormatting sqref="AI137:BE138">
    <cfRule type="expression" dxfId="646" priority="75">
      <formula>NOT($AB$137="○ あり")</formula>
    </cfRule>
  </conditionalFormatting>
  <conditionalFormatting sqref="AJ25">
    <cfRule type="notContainsBlanks" dxfId="645" priority="37" stopIfTrue="1">
      <formula>LEN(TRIM(AJ25))&gt;0</formula>
    </cfRule>
  </conditionalFormatting>
  <conditionalFormatting sqref="AL97">
    <cfRule type="expression" dxfId="644" priority="135">
      <formula>AND($D$97&lt;&gt;"",$AG$97="更新")</formula>
    </cfRule>
    <cfRule type="expression" dxfId="643" priority="131">
      <formula>$AG$97="初年度"</formula>
    </cfRule>
  </conditionalFormatting>
  <conditionalFormatting sqref="AL99">
    <cfRule type="expression" dxfId="642" priority="134">
      <formula>AND($D$99&lt;&gt;"",$AG$97="更新")</formula>
    </cfRule>
    <cfRule type="expression" dxfId="641" priority="132">
      <formula>$AG$97="初年度"</formula>
    </cfRule>
  </conditionalFormatting>
  <conditionalFormatting sqref="AL101">
    <cfRule type="expression" dxfId="640" priority="520">
      <formula>AND($D$101&lt;&gt;"",$AG$97="更新")</formula>
    </cfRule>
    <cfRule type="expression" dxfId="639" priority="294">
      <formula>$AG$97="初年度"</formula>
    </cfRule>
  </conditionalFormatting>
  <conditionalFormatting sqref="AL103">
    <cfRule type="expression" dxfId="638" priority="553">
      <formula>AND($D$103&lt;&gt;"",$AG$97="更新")</formula>
    </cfRule>
    <cfRule type="expression" dxfId="637" priority="293">
      <formula>$AG$97="初年度"</formula>
    </cfRule>
  </conditionalFormatting>
  <conditionalFormatting sqref="AL105">
    <cfRule type="expression" dxfId="636" priority="557">
      <formula>AND($D$105&lt;&gt;"",$AG$97="更新")</formula>
    </cfRule>
    <cfRule type="expression" dxfId="635" priority="214">
      <formula>$AG$97="初年度"</formula>
    </cfRule>
  </conditionalFormatting>
  <conditionalFormatting sqref="AR28">
    <cfRule type="notContainsBlanks" dxfId="634" priority="36" stopIfTrue="1">
      <formula>LEN(TRIM(AR28))&gt;0</formula>
    </cfRule>
  </conditionalFormatting>
  <conditionalFormatting sqref="AR135">
    <cfRule type="expression" dxfId="633" priority="18943">
      <formula>COUNTIF($AB$135,"○*")</formula>
    </cfRule>
    <cfRule type="expression" dxfId="632" priority="451">
      <formula>$AB$135="× なし"</formula>
    </cfRule>
  </conditionalFormatting>
  <conditionalFormatting sqref="AR137">
    <cfRule type="expression" dxfId="631" priority="18946">
      <formula>$AB$137="○ あり"</formula>
    </cfRule>
  </conditionalFormatting>
  <conditionalFormatting sqref="AR139">
    <cfRule type="expression" dxfId="630" priority="446">
      <formula>NOT($AB$139="○ あり")</formula>
    </cfRule>
    <cfRule type="expression" dxfId="629" priority="18948">
      <formula>$AB$139="○ あり"</formula>
    </cfRule>
  </conditionalFormatting>
  <conditionalFormatting sqref="AR141">
    <cfRule type="expression" dxfId="628" priority="399">
      <formula>OR($AB$141="× なし",$AB$141="")</formula>
    </cfRule>
    <cfRule type="expression" dxfId="627" priority="601">
      <formula>OR($AB$141="○ (FE)",$AB$141="○ (DDI)")</formula>
    </cfRule>
  </conditionalFormatting>
  <conditionalFormatting sqref="AR143">
    <cfRule type="notContainsBlanks" dxfId="626" priority="187" stopIfTrue="1">
      <formula>LEN(TRIM(AR143))&gt;0</formula>
    </cfRule>
    <cfRule type="expression" dxfId="625" priority="546">
      <formula>NOT($AB$143="○ あり")</formula>
    </cfRule>
    <cfRule type="expression" dxfId="624" priority="18992">
      <formula>$AB$143="○ あり"</formula>
    </cfRule>
  </conditionalFormatting>
  <conditionalFormatting sqref="AR147">
    <cfRule type="expression" dxfId="623" priority="80">
      <formula>NOT($AB$147="○ あり")</formula>
    </cfRule>
    <cfRule type="expression" dxfId="622" priority="542">
      <formula>$AB$147="○ あり"</formula>
    </cfRule>
  </conditionalFormatting>
  <conditionalFormatting sqref="AR151">
    <cfRule type="expression" dxfId="621" priority="166">
      <formula>$AB$151="× なし"</formula>
    </cfRule>
    <cfRule type="expression" dxfId="620" priority="164" stopIfTrue="1">
      <formula>$AB$151=""</formula>
    </cfRule>
    <cfRule type="expression" dxfId="619" priority="540">
      <formula>COUNTIF($AB$135,"*GIGA*")</formula>
    </cfRule>
    <cfRule type="expression" dxfId="618" priority="167">
      <formula>COUNTIF($AB$135,"*○*")=0</formula>
    </cfRule>
  </conditionalFormatting>
  <conditionalFormatting sqref="AR135:BE136">
    <cfRule type="expression" dxfId="617" priority="74">
      <formula>OR($AB$135="",$AB$135="× なし")</formula>
    </cfRule>
  </conditionalFormatting>
  <conditionalFormatting sqref="AR135:BE140">
    <cfRule type="notContainsBlanks" dxfId="616" priority="58" stopIfTrue="1">
      <formula>LEN(TRIM(AR135))&gt;0</formula>
    </cfRule>
  </conditionalFormatting>
  <conditionalFormatting sqref="AR141:BE142">
    <cfRule type="notContainsBlanks" dxfId="615" priority="79" stopIfTrue="1">
      <formula>LEN(TRIM(AR141))&gt;0</formula>
    </cfRule>
  </conditionalFormatting>
  <conditionalFormatting sqref="AR145:BE146">
    <cfRule type="expression" dxfId="614" priority="87">
      <formula>$AB$145="○ あり"</formula>
    </cfRule>
    <cfRule type="expression" dxfId="613" priority="86">
      <formula>NOT($AB$145="○ あり")</formula>
    </cfRule>
  </conditionalFormatting>
  <conditionalFormatting sqref="AR145:BE150">
    <cfRule type="notContainsBlanks" priority="25" stopIfTrue="1">
      <formula>LEN(TRIM(AR145))&gt;0</formula>
    </cfRule>
  </conditionalFormatting>
  <conditionalFormatting sqref="AR149:BE150">
    <cfRule type="expression" dxfId="612" priority="24">
      <formula>COUNTIF($AB$149,"*○*")=0</formula>
    </cfRule>
    <cfRule type="expression" dxfId="611" priority="181">
      <formula>COUNTIF($AB$149,"*○*")&gt;0</formula>
    </cfRule>
  </conditionalFormatting>
  <conditionalFormatting sqref="AR151:BE152">
    <cfRule type="notContainsBlanks" dxfId="610" priority="77" stopIfTrue="1">
      <formula>LEN(TRIM(AR151))&gt;0</formula>
    </cfRule>
  </conditionalFormatting>
  <conditionalFormatting sqref="AR28:BF29">
    <cfRule type="expression" dxfId="609" priority="32" stopIfTrue="1">
      <formula>OR($AR$28="文教",$AR$28="官公庁／自治体",$AR$28="その他公共",$AR$28="企業")</formula>
    </cfRule>
  </conditionalFormatting>
  <conditionalFormatting sqref="AZ78 AE78 CD78 CU78 W78:AD79">
    <cfRule type="expression" dxfId="608" priority="547">
      <formula>AND($D$78&lt;&gt;"",OR($R$78="新規",$R$78="追加"))</formula>
    </cfRule>
  </conditionalFormatting>
  <conditionalFormatting sqref="AZ78">
    <cfRule type="expression" dxfId="607" priority="307">
      <formula>$AE$78="なし"</formula>
    </cfRule>
  </conditionalFormatting>
  <conditionalFormatting sqref="AZ80 W80 AE80 CD80 CU80">
    <cfRule type="expression" dxfId="606" priority="465">
      <formula>AND($D$80&lt;&gt;"",OR($R$78="新規",$R$78="追加"))</formula>
    </cfRule>
  </conditionalFormatting>
  <conditionalFormatting sqref="AZ82 W82 AE82 CD82 CU82">
    <cfRule type="expression" dxfId="605" priority="487">
      <formula>AND($D$82&lt;&gt;"",OR($R$78="新規",$R$78="追加"))</formula>
    </cfRule>
  </conditionalFormatting>
  <conditionalFormatting sqref="AZ82">
    <cfRule type="expression" dxfId="604" priority="303">
      <formula>$AE$82="なし"</formula>
    </cfRule>
  </conditionalFormatting>
  <conditionalFormatting sqref="AZ84">
    <cfRule type="expression" dxfId="603" priority="300">
      <formula>$AE$84="なし"</formula>
    </cfRule>
  </conditionalFormatting>
  <conditionalFormatting sqref="AZ42:BF44">
    <cfRule type="expression" dxfId="602" priority="41">
      <formula>$AZ$42="いいえ"</formula>
    </cfRule>
    <cfRule type="expression" dxfId="601" priority="40">
      <formula>$AZ$42="はい"</formula>
    </cfRule>
  </conditionalFormatting>
  <conditionalFormatting sqref="AZ61:BF63">
    <cfRule type="expression" dxfId="600" priority="38">
      <formula>$AZ$61="いいえ"</formula>
    </cfRule>
    <cfRule type="expression" dxfId="599" priority="39">
      <formula>$AZ$61="はい"</formula>
    </cfRule>
  </conditionalFormatting>
  <conditionalFormatting sqref="AZ80:BL81">
    <cfRule type="expression" dxfId="598" priority="306">
      <formula>$AE$80="なし"</formula>
    </cfRule>
  </conditionalFormatting>
  <conditionalFormatting sqref="AZ86:BL87">
    <cfRule type="expression" dxfId="597" priority="299">
      <formula>$AE$86="なし"</formula>
    </cfRule>
  </conditionalFormatting>
  <conditionalFormatting sqref="AZ156:BL157">
    <cfRule type="notContainsBlanks" dxfId="596" priority="55" stopIfTrue="1">
      <formula>LEN(TRIM(AZ156))&gt;0</formula>
    </cfRule>
    <cfRule type="expression" dxfId="595" priority="532">
      <formula>AND($R$78&lt;&gt;"",COUNTIF($AB$135,"*○*")&gt;0)</formula>
    </cfRule>
  </conditionalFormatting>
  <conditionalFormatting sqref="BD4">
    <cfRule type="expression" dxfId="594" priority="18626">
      <formula>OR($DE$20="",AND($DE$20="異なる",$DE$33=""))</formula>
    </cfRule>
  </conditionalFormatting>
  <conditionalFormatting sqref="BF135">
    <cfRule type="expression" dxfId="593" priority="19687">
      <formula>AND(COUNTIF($AB$141,"*○*"),OR(COUNTIF($AR$141,"*追加*"),COUNTIF($AR$141,"*更新*")))</formula>
    </cfRule>
    <cfRule type="expression" dxfId="592" priority="19688">
      <formula>AND(COUNTIF($AB$135,"*○*"),OR(COUNTIF($AR$135,"*追加*"),COUNTIF($AR$135,"*更新*"),COUNTIF($AR$135,"*移行*")))</formula>
    </cfRule>
    <cfRule type="expression" dxfId="591" priority="19689">
      <formula>AND(COUNTIF($AB$137,"*○*"),OR(COUNTIF($AR$137,"*追加*"),COUNTIF($AR$137,"*更新*")))</formula>
    </cfRule>
    <cfRule type="expression" dxfId="590" priority="19690">
      <formula>AND(COUNTIF($AB$139,"*○*"),OR(COUNTIF($AR$139,"*追加*"),COUNTIF($AR$139,"*更新*")))</formula>
    </cfRule>
    <cfRule type="expression" dxfId="589" priority="19691">
      <formula>AND(COUNTIF($AB$143,"*○*"),OR(COUNTIF($AR$143,"*追加*"),COUNTIF($AR$143,"*更新*")))</formula>
    </cfRule>
    <cfRule type="expression" dxfId="588" priority="19757">
      <formula>AND(COUNTIF($AB$147,"*○*"),OR(COUNTIF($AR$147,"*追加*"),COUNTIF($AR$147,"*更新*")))</formula>
    </cfRule>
  </conditionalFormatting>
  <conditionalFormatting sqref="BF135:BU148">
    <cfRule type="expression" dxfId="587" priority="19758">
      <formula>AND(COUNTIF($AB$145,"*○*"),OR(COUNTIF($AR$145,"*追加*"),COUNTIF($AR$145,"*更新*")))</formula>
    </cfRule>
    <cfRule type="notContainsBlanks" dxfId="586" priority="19686" stopIfTrue="1">
      <formula>LEN(TRIM(BF135))&gt;0</formula>
    </cfRule>
  </conditionalFormatting>
  <conditionalFormatting sqref="BF153:BU154">
    <cfRule type="expression" dxfId="585" priority="92">
      <formula>$AB$153="継続（本体既存契約有）"</formula>
    </cfRule>
    <cfRule type="notContainsBlanks" priority="90" stopIfTrue="1">
      <formula>LEN(TRIM(BF153))&gt;0</formula>
    </cfRule>
    <cfRule type="expression" dxfId="584" priority="91">
      <formula>NOT($AB$153="継続（本体既存契約有）")</formula>
    </cfRule>
  </conditionalFormatting>
  <conditionalFormatting sqref="BG118 BG120 BG122">
    <cfRule type="expression" dxfId="583" priority="158">
      <formula>$R$118="A表と異なる"</formula>
    </cfRule>
  </conditionalFormatting>
  <conditionalFormatting sqref="BG120">
    <cfRule type="expression" dxfId="582" priority="173">
      <formula>$R$120="A表と異なる"</formula>
    </cfRule>
  </conditionalFormatting>
  <conditionalFormatting sqref="BG122">
    <cfRule type="expression" dxfId="581" priority="292">
      <formula>$R$122="A表と異なる"</formula>
    </cfRule>
  </conditionalFormatting>
  <conditionalFormatting sqref="BG124">
    <cfRule type="expression" dxfId="580" priority="315">
      <formula>$R$124="A表と異なる"</formula>
    </cfRule>
  </conditionalFormatting>
  <conditionalFormatting sqref="BG116:BH117">
    <cfRule type="expression" dxfId="579" priority="507">
      <formula>$R$116="A表と異なる"</formula>
    </cfRule>
  </conditionalFormatting>
  <conditionalFormatting sqref="BI50">
    <cfRule type="containsBlanks" dxfId="578" priority="240">
      <formula>LEN(TRIM(BI50))=0</formula>
    </cfRule>
  </conditionalFormatting>
  <conditionalFormatting sqref="BI22:BN22 BI23:BM23 BI24:DK31 BI33:DK34 BI35:BN35 BI36:BM36 BI37:DK44">
    <cfRule type="expression" dxfId="577" priority="199">
      <formula>$DE$20="同じ"</formula>
    </cfRule>
  </conditionalFormatting>
  <conditionalFormatting sqref="BI35:BN35 BI36:BM36 BI37:DK44">
    <cfRule type="expression" dxfId="576" priority="200">
      <formula>$DE$33="同じ"</formula>
    </cfRule>
  </conditionalFormatting>
  <conditionalFormatting sqref="BI54:DB63">
    <cfRule type="notContainsBlanks" dxfId="575" priority="126">
      <formula>LEN(TRIM(BI54))&gt;0</formula>
    </cfRule>
  </conditionalFormatting>
  <conditionalFormatting sqref="BJ97:CL100 L101:CL106">
    <cfRule type="notContainsBlanks" dxfId="574" priority="309">
      <formula>LEN(TRIM(L97))&gt;0</formula>
    </cfRule>
  </conditionalFormatting>
  <conditionalFormatting sqref="BM78:CC79">
    <cfRule type="expression" dxfId="573" priority="9">
      <formula>AND($D$78&lt;&gt;"SPA_7000_M6",$D$78&lt;&gt;"SPA_15000_M6",$D$78&lt;&gt;"")</formula>
    </cfRule>
    <cfRule type="expression" dxfId="572" priority="411">
      <formula>AND(OR($D$78="SPA_7000_M6",$D$78="SPA_15000_M6"),OR($R$78="新規",$R$78="追加"))</formula>
    </cfRule>
  </conditionalFormatting>
  <conditionalFormatting sqref="BM80:CC81">
    <cfRule type="expression" dxfId="571" priority="7">
      <formula>AND($D$80&lt;&gt;"SPA_7000_M6",$D$80&lt;&gt;"SPA_15000_M6",$D$80&lt;&gt;"")</formula>
    </cfRule>
    <cfRule type="expression" dxfId="570" priority="308">
      <formula>AND(OR($D$80="SPA_7000_M6",$D$80="SPA_15000_M6"),OR($R$78="新規",$R$78="追加"))</formula>
    </cfRule>
  </conditionalFormatting>
  <conditionalFormatting sqref="BM82:CC83">
    <cfRule type="expression" dxfId="569" priority="5">
      <formula>AND($D$82&lt;&gt;"SPA_7000_M6",$D$82&lt;&gt;"SPA_15000_M6",$D$82&lt;&gt;"")</formula>
    </cfRule>
    <cfRule type="expression" dxfId="568" priority="305">
      <formula>AND(OR($D$82="SPA_7000_M6",$D$82="SPA_15000_M6"),OR($R$78="新規",$R$78="追加"))</formula>
    </cfRule>
  </conditionalFormatting>
  <conditionalFormatting sqref="BM84:CC85">
    <cfRule type="expression" dxfId="567" priority="304">
      <formula>AND(OR($D$84="SPA_7000_M6",$D$84="SPA_15000_M6"),OR($R$78="新規",$R$78="追加"))</formula>
    </cfRule>
    <cfRule type="expression" dxfId="566" priority="3">
      <formula>AND($D$84&lt;&gt;"SPA_7000_M6",$D$84&lt;&gt;"SPA_15000_M6",$D$84&lt;&gt;"")</formula>
    </cfRule>
  </conditionalFormatting>
  <conditionalFormatting sqref="BM86:CC87">
    <cfRule type="expression" dxfId="565" priority="1">
      <formula>AND($D$86&lt;&gt;"SPA_7000_M6",$D$86&lt;&gt;"SPA_15000_M6",$D$86&lt;&gt;"")</formula>
    </cfRule>
    <cfRule type="expression" dxfId="564" priority="302">
      <formula>AND(OR($D$86="SPA_7000_M6",$D$86="SPA_15000_M6"),OR($R$78="新規",$R$78="追加"))</formula>
    </cfRule>
  </conditionalFormatting>
  <conditionalFormatting sqref="BN35 BT37 CK37 DB37 BT39 CT39 BN41:CJ44 CP41:DK44 BN22 BT24 CK24 DB24 BT26 CT26 BN28:CJ31 CP28:DK31 DE33 DE20">
    <cfRule type="notContainsBlanks" dxfId="563" priority="201" stopIfTrue="1">
      <formula>LEN(TRIM(BN20))&gt;0</formula>
    </cfRule>
  </conditionalFormatting>
  <conditionalFormatting sqref="BP97 BS97 BV97 BX97 CA97 CF97">
    <cfRule type="expression" dxfId="562" priority="298">
      <formula>$AG$97="更新"</formula>
    </cfRule>
  </conditionalFormatting>
  <conditionalFormatting sqref="BR156:CN157">
    <cfRule type="notContainsBlanks" dxfId="561" priority="53" stopIfTrue="1">
      <formula>LEN(TRIM(BR156))&gt;0</formula>
    </cfRule>
    <cfRule type="expression" dxfId="560" priority="125">
      <formula>$AZ$156="はい/通知先記入"</formula>
    </cfRule>
    <cfRule type="expression" dxfId="559" priority="123">
      <formula>OR($AZ$156="はい/お客様アドレス",$AZ$156="いいえ")</formula>
    </cfRule>
  </conditionalFormatting>
  <conditionalFormatting sqref="BS97 BX97">
    <cfRule type="expression" dxfId="558" priority="591">
      <formula>$AG$97="初年度"</formula>
    </cfRule>
  </conditionalFormatting>
  <conditionalFormatting sqref="BV135">
    <cfRule type="notContainsBlanks" dxfId="557" priority="197">
      <formula>LEN(TRIM(BV135))&gt;0</formula>
    </cfRule>
    <cfRule type="expression" dxfId="556" priority="19755">
      <formula>OR(COUNTIF($AR$135:$AR$149,"新規")&gt;0,COUNTIF($AR$135:$BE$149,"*追加*")&gt;0,COUNTIF($AR$135:$BE$149,"*減数*")&gt;0)</formula>
    </cfRule>
  </conditionalFormatting>
  <conditionalFormatting sqref="CB135">
    <cfRule type="expression" dxfId="555" priority="19756">
      <formula>OR(COUNTIF($AR$135:$BE$150,"新規")&gt;0,COUNTIF($AR$135:$BE$150,"*更新*")&gt;0)</formula>
    </cfRule>
  </conditionalFormatting>
  <conditionalFormatting sqref="CC97">
    <cfRule type="expression" dxfId="554" priority="177">
      <formula>$AG$97="更新"</formula>
    </cfRule>
    <cfRule type="expression" dxfId="553" priority="317">
      <formula>$AG$97="初年度"</formula>
    </cfRule>
  </conditionalFormatting>
  <conditionalFormatting sqref="CE135 CH135 CK135 CM135 CP135 CR135 CU135">
    <cfRule type="expression" dxfId="552" priority="12">
      <formula>AND(COUNTIF($AB$135,"*○*"),OR(COUNTIF($AR$135,"*追加*"),COUNTIF($AR$135,"*更新*"),COUNTIF($AR$135,"*移行*")))</formula>
    </cfRule>
  </conditionalFormatting>
  <conditionalFormatting sqref="CF56">
    <cfRule type="expression" dxfId="551" priority="127">
      <formula>AND(BI56&lt;&gt;"",CF56="")</formula>
    </cfRule>
  </conditionalFormatting>
  <conditionalFormatting sqref="CF58">
    <cfRule type="expression" dxfId="550" priority="140">
      <formula>AND(BI58&lt;&gt;"",CF58="")</formula>
    </cfRule>
  </conditionalFormatting>
  <conditionalFormatting sqref="CF60">
    <cfRule type="expression" dxfId="549" priority="194">
      <formula>AND(BI60&lt;&gt;"",CF60="")</formula>
    </cfRule>
  </conditionalFormatting>
  <conditionalFormatting sqref="CF62">
    <cfRule type="expression" dxfId="548" priority="193">
      <formula>AND(BI62&lt;&gt;"",CF62="")</formula>
    </cfRule>
  </conditionalFormatting>
  <conditionalFormatting sqref="CF54:DB55">
    <cfRule type="expression" dxfId="547" priority="142">
      <formula>AND(BI54&lt;&gt;"",CF54="")</formula>
    </cfRule>
  </conditionalFormatting>
  <conditionalFormatting sqref="CH97 W97">
    <cfRule type="expression" dxfId="546" priority="321">
      <formula>$D97&lt;&gt;""</formula>
    </cfRule>
  </conditionalFormatting>
  <conditionalFormatting sqref="CH99 W99">
    <cfRule type="expression" dxfId="545" priority="18385">
      <formula>$D$99&lt;&gt;""</formula>
    </cfRule>
  </conditionalFormatting>
  <conditionalFormatting sqref="CH135 CM135 CB135 D137">
    <cfRule type="notContainsBlanks" dxfId="544" priority="13" stopIfTrue="1">
      <formula>LEN(TRIM(D135))&gt;0</formula>
    </cfRule>
  </conditionalFormatting>
  <conditionalFormatting sqref="CH135 CM135 CE135 CK135 CP135 CR135 CU135">
    <cfRule type="expression" dxfId="543" priority="442">
      <formula>AND(COUNTIF($AB$137,"*○*"),OR(COUNTIF($AR$137,"*追加*"),COUNTIF($AR$137,"*更新*")))</formula>
    </cfRule>
    <cfRule type="expression" dxfId="542" priority="19692">
      <formula>AND(COUNTIF($AB$139,"*○*"),OR(COUNTIF($AR$139,"*追加*"),COUNTIF($AR$139,"*更新*")))</formula>
    </cfRule>
    <cfRule type="expression" dxfId="541" priority="19693">
      <formula>AND(COUNTIF($AB$141,"*○*"),OR(COUNTIF($AR$141,"*追加*"),COUNTIF($AR$141,"*更新*")))</formula>
    </cfRule>
    <cfRule type="expression" dxfId="540" priority="19694">
      <formula>AND(COUNTIF($AB$143,"*○*"),OR(COUNTIF($AR$143,"*追加*"),COUNTIF($AR$143,"*更新*")))</formula>
    </cfRule>
    <cfRule type="expression" dxfId="539" priority="19696">
      <formula>AND(COUNTIF($AB$149,"*○*"),OR(COUNTIF($AR$149,"*追加*"),COUNTIF($AR$149,"*更新*"),COUNTIF($AR$149,"*移行*")))</formula>
    </cfRule>
    <cfRule type="expression" dxfId="538" priority="19697">
      <formula>AND($AB$135="× なし",$AB$137="× なし",$AB$139="× なし",$AB$141="× なし",$AB$143="× なし",$AB$147="× なし")</formula>
    </cfRule>
    <cfRule type="expression" dxfId="537" priority="19695">
      <formula>AND(COUNTIF($AB$147,"*○*"),OR(COUNTIF($AR$147,"*追加*"),COUNTIF($AR$147,"*更新*")))</formula>
    </cfRule>
  </conditionalFormatting>
  <conditionalFormatting sqref="CH135 CM135">
    <cfRule type="expression" dxfId="536" priority="19698">
      <formula>AND(COUNTIF($AB$135,"*○*"),$AR$135="新規")</formula>
    </cfRule>
    <cfRule type="expression" dxfId="535" priority="19741">
      <formula>AND(COUNTIF($AB$137,"*○*"),$AR$137="新規")</formula>
    </cfRule>
    <cfRule type="expression" dxfId="534" priority="19742">
      <formula>AND(COUNTIF(#REF!,"*○*"),#REF!="新規")</formula>
    </cfRule>
    <cfRule type="expression" dxfId="533" priority="19743">
      <formula>AND(COUNTIF($AB$139,"*○*"),$AR$139="新規")</formula>
    </cfRule>
    <cfRule type="expression" dxfId="532" priority="19745">
      <formula>AND(COUNTIF($AB$143,"*○*"),$AR$143="新規")</formula>
    </cfRule>
    <cfRule type="expression" dxfId="531" priority="19746">
      <formula>AND(COUNTIF($AB$147,"*○*"),$AR$147="新規")</formula>
    </cfRule>
    <cfRule type="expression" dxfId="530" priority="19747">
      <formula>AND(COUNTIF($AB$149,"*○*"),$AR$149="新規")</formula>
    </cfRule>
    <cfRule type="expression" dxfId="529" priority="19744">
      <formula>AND(COUNTIF($AB$141,"*○*"),$AR$141="新規")</formula>
    </cfRule>
  </conditionalFormatting>
  <conditionalFormatting sqref="CH97:CL98">
    <cfRule type="expression" dxfId="528" priority="146">
      <formula>OR($D$97="SPA_1800",$D$97="SPA_3600",$D$97="SPA_6600",$D$97="SPA_13000",$D$97="SPA_1700",$D$97="SPA_3500",$D$97="SPA_6500",$D$97="SPA_12000",$D$97="MGR_1100",$D$97="MGR_3100",$D$97="MGR_1000",$D$97="MGR_3000")</formula>
    </cfRule>
  </conditionalFormatting>
  <conditionalFormatting sqref="CH99:CL100">
    <cfRule type="expression" dxfId="527" priority="176">
      <formula>OR($D$99="SPA_1800",$D$99="SPA_3600",$D$99="SPA_6600",$D$99="SPA_13000",$D$99="SPA_1700",$D$99="SPA_3500",$D$99="SPA_6500",$D$99="SPA_12000",$D$99="MGR_1100",$D$99="MGR_3100",$D$99="MGR_1000",$D$99="MGR_3000")</formula>
    </cfRule>
  </conditionalFormatting>
  <conditionalFormatting sqref="CH101:CL102">
    <cfRule type="expression" dxfId="526" priority="175">
      <formula>OR($D$101="SPA_1800",$D$101="SPA_3600",$D$101="SPA_6600",$D$101="SPA_13000",$D$101="SPA_1700",$D$101="SPA_3500",$D$101="SPA_6500",$D$101="SPA_12000",$D$101="MGR_1100",$D$101="MGR_3100",$D$101="MGR_1000",$D$101="MGR_3000")</formula>
    </cfRule>
  </conditionalFormatting>
  <conditionalFormatting sqref="CH103:CL104">
    <cfRule type="expression" dxfId="525" priority="174">
      <formula>OR($D$103="SPA_1800",$D$103="SPA_3600",$D$103="SPA_6600",$D$103="SPA_13000",$D$103="SPA_1700",$D$103="SPA_3500",$D$103="SPA_6500",$D$103="SPA_12000",$D$103="MGR_1100",$D$103="MGR_3100",$D$103="MGR_1000",$D$103="MGR_3000")</formula>
    </cfRule>
  </conditionalFormatting>
  <conditionalFormatting sqref="CH105:CL106">
    <cfRule type="expression" dxfId="524" priority="147">
      <formula>OR($D$105="SPA_1800",$D$105="SPA_3600",$D$105="SPA_6600",$D$105="SPA_13000",$D$105="SPA_1700",$D$105="SPA_3500",$D$105="SPA_6500",$D$105="SPA_12000",$D$105="MGR_1100",$D$105="MGR_3100",$D$105="MGR_1000",$D$105="MGR_3000")</formula>
    </cfRule>
  </conditionalFormatting>
  <dataValidations xWindow="686" yWindow="529" count="66">
    <dataValidation type="list" allowBlank="1" showInputMessage="1" showErrorMessage="1" sqref="AR133 AR147 AR137 AR141 AR139:BE140 AR143:BE144 AR149" xr:uid="{00000000-0002-0000-0700-000000000000}">
      <formula1>IF(COUNTIF($AB133,"*×*"),"",ソフトオプション区分)</formula1>
    </dataValidation>
    <dataValidation type="list" allowBlank="1" showInputMessage="1" showErrorMessage="1" sqref="AZ86:BL87" xr:uid="{00000000-0002-0000-0700-000001000000}">
      <formula1>IF($AE$86="なし","",ハードオプション_HDD拡充利用用途)</formula1>
    </dataValidation>
    <dataValidation type="list" allowBlank="1" showInputMessage="1" showErrorMessage="1" sqref="AZ84:BL85" xr:uid="{00000000-0002-0000-0700-000002000000}">
      <formula1>IF($AE$84="なし","",ハードオプション_HDD拡充利用用途)</formula1>
    </dataValidation>
    <dataValidation type="list" allowBlank="1" showInputMessage="1" showErrorMessage="1" sqref="AZ82:BL83" xr:uid="{00000000-0002-0000-0700-000003000000}">
      <formula1>IF($AE$82="なし","",ハードオプション_HDD拡充利用用途)</formula1>
    </dataValidation>
    <dataValidation type="list" allowBlank="1" showInputMessage="1" showErrorMessage="1" sqref="AZ80:BL81" xr:uid="{00000000-0002-0000-0700-000004000000}">
      <formula1>IF($AE$80="なし","",ハードオプション_HDD拡充利用用途)</formula1>
    </dataValidation>
    <dataValidation type="list" allowBlank="1" showInputMessage="1" showErrorMessage="1" sqref="AZ76:BL79" xr:uid="{00000000-0002-0000-0700-000005000000}">
      <formula1>IF($AE$78="なし","",ハードオプション_HDD拡充利用用途)</formula1>
    </dataValidation>
    <dataValidation type="list" allowBlank="1" showInputMessage="1" showErrorMessage="1" sqref="AH95:AK96 AG95:AG97" xr:uid="{00000000-0002-0000-0700-000006000000}">
      <formula1>"初年度,更新"</formula1>
    </dataValidation>
    <dataValidation type="list" allowBlank="1" showInputMessage="1" showErrorMessage="1" sqref="D76:Q77 D95:K96" xr:uid="{00000000-0002-0000-0700-000007000000}">
      <formula1>モデル名リスト</formula1>
    </dataValidation>
    <dataValidation type="list" operator="greaterThanOrEqual" allowBlank="1" showInputMessage="1" showErrorMessage="1" sqref="BM76:CC77" xr:uid="{00000000-0002-0000-0700-000008000000}">
      <formula1>ハードオプション_追加ネットワーク・インターフェース</formula1>
    </dataValidation>
    <dataValidation type="list" operator="greaterThanOrEqual" allowBlank="1" showInputMessage="1" showErrorMessage="1" sqref="CD76:CT87" xr:uid="{00000000-0002-0000-0700-000009000000}">
      <formula1>ハードオプション_電源冗長化オプション</formula1>
    </dataValidation>
    <dataValidation type="list" allowBlank="1" showInputMessage="1" showErrorMessage="1" sqref="AE76:AY87" xr:uid="{00000000-0002-0000-0700-00000A000000}">
      <formula1>ハードオプション_HDD拡充オプション</formula1>
    </dataValidation>
    <dataValidation type="list" allowBlank="1" showInputMessage="1" showErrorMessage="1" sqref="R76:V77" xr:uid="{00000000-0002-0000-0700-00000B000000}">
      <formula1>"新規, 追加, 更新"</formula1>
    </dataValidation>
    <dataValidation type="list" allowBlank="1" showInputMessage="1" showErrorMessage="1" sqref="AB135:AH136" xr:uid="{00000000-0002-0000-0700-00000C000000}">
      <formula1>IF(OR(COUNTIF(D97:D105,"*19*"),COUNTIF(D97:D105,"*37*"),COUNTIF(D97:D105,"*67*"),COUNTIF(D97:D105,"*14*"),COUNTIF(D97:D105,"*_2000*"),COUNTIF(D97:D105,"*40*"),COUNTIF(D97:D105,"*7000*"),COUNTIF(D97:D105,"*15*")),現モデルiF,V2モデルiF)</formula1>
    </dataValidation>
    <dataValidation type="list" allowBlank="1" showInputMessage="1" showErrorMessage="1" sqref="AB141:AH142" xr:uid="{00000000-0002-0000-0700-00000D000000}">
      <formula1>"○ (FE),○ (DDI),× なし"</formula1>
    </dataValidation>
    <dataValidation type="list" allowBlank="1" showInputMessage="1" showErrorMessage="1" sqref="AB137:AH140 AC143:AH144 AB143:AB145 AB147:AH148" xr:uid="{00000000-0002-0000-0700-00000E000000}">
      <formula1>"○ あり,× なし"</formula1>
    </dataValidation>
    <dataValidation type="list" allowBlank="1" showInputMessage="1" showErrorMessage="1" sqref="AI137:AQ138" xr:uid="{00000000-0002-0000-0700-00000F000000}">
      <formula1>IF(COUNTIF($AB137,"*×*"),"",ソフトオプション_連携AV製品)</formula1>
    </dataValidation>
    <dataValidation type="list" allowBlank="1" showInputMessage="1" showErrorMessage="1" sqref="CH97:CL106" xr:uid="{00000000-0002-0000-0700-000010000000}">
      <formula1>"なし, あり"</formula1>
    </dataValidation>
    <dataValidation type="list" allowBlank="1" showInputMessage="1" showErrorMessage="1" sqref="L95:V96" xr:uid="{00000000-0002-0000-0700-000011000000}">
      <formula1>"Basic Plus, Silver Plus, Gold Plus"</formula1>
    </dataValidation>
    <dataValidation imeMode="off" allowBlank="1" showInputMessage="1" showErrorMessage="1" sqref="CF48:DB49 AL97 AL103 AL101 AL105 CF52:DB53 AL99 CF56:DB61" xr:uid="{00000000-0002-0000-0700-000012000000}"/>
    <dataValidation type="list" allowBlank="1" showInputMessage="1" showErrorMessage="1" sqref="W95:AF106" xr:uid="{00000000-0002-0000-0700-000013000000}">
      <formula1>"スタンダード,コールドスタンバイ"</formula1>
    </dataValidation>
    <dataValidation type="list" operator="greaterThanOrEqual" allowBlank="1" showInputMessage="1" showErrorMessage="1" sqref="BJ97 CB135 CB133 BJ95" xr:uid="{00000000-0002-0000-0700-000014000000}">
      <formula1>"1年,2年,3年,4年,5年"</formula1>
    </dataValidation>
    <dataValidation type="list" allowBlank="1" showInputMessage="1" showErrorMessage="1" sqref="W86 W84 W76 W82 W80 W78" xr:uid="{00000000-0002-0000-0700-000015000000}">
      <formula1>"標準価格,複数台価格,乗換価格"</formula1>
    </dataValidation>
    <dataValidation type="whole" operator="greaterThanOrEqual" allowBlank="1" showInputMessage="1" showErrorMessage="1" sqref="BV133" xr:uid="{00000000-0002-0000-0700-000016000000}">
      <formula1>0</formula1>
    </dataValidation>
    <dataValidation type="list" imeMode="on" allowBlank="1" showInputMessage="1" showErrorMessage="1" sqref="BN114 BN122 BN120 BN118 BN124 BN116" xr:uid="{00000000-0002-0000-0700-000017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imeMode="on" allowBlank="1" showInputMessage="1" showErrorMessage="1" sqref="Z122 BS114 BS116 CA116:DA125 Z120 BS118 BS120 BS124 Z116 BS122 Z124 Z118" xr:uid="{00000000-0002-0000-0700-000018000000}"/>
    <dataValidation type="list" allowBlank="1" showInputMessage="1" showErrorMessage="1" sqref="CU84 CU76 CU78 CU80 CU82 CU86" xr:uid="{00000000-0002-0000-0700-000019000000}">
      <formula1>ハードオプション_追加電源ケーブル</formula1>
    </dataValidation>
    <dataValidation type="whole" imeMode="disabled" operator="greaterThanOrEqual" allowBlank="1" showInputMessage="1" showErrorMessage="1" sqref="CH135 BS97:BU106 J20:L21" xr:uid="{00000000-0002-0000-0700-00001A000000}">
      <formula1>20</formula1>
    </dataValidation>
    <dataValidation type="list" operator="greaterThanOrEqual" allowBlank="1" showInputMessage="1" showErrorMessage="1" sqref="R114:Y125" xr:uid="{00000000-0002-0000-0700-00001B000000}">
      <formula1>"A表に同じ,A表と異なる"</formula1>
    </dataValidation>
    <dataValidation type="list" imeMode="on" allowBlank="1" showInputMessage="1" showErrorMessage="1" sqref="AZ42:BF44 AZ61:BF63" xr:uid="{00000000-0002-0000-0700-00001C000000}">
      <formula1>"はい,いいえ"</formula1>
    </dataValidation>
    <dataValidation type="custom" imeMode="disabled" operator="equal" allowBlank="1" showInputMessage="1" showErrorMessage="1" promptTitle="入力方法" prompt="半角数字でハイフンを入れて入力をしてください。" sqref="BT37:CD38 BT24:CD25 M33:W34 M52:W53" xr:uid="{00000000-0002-0000-0700-00001D000000}">
      <formula1>AND(COUNTIF(M24,"*-*"),LEN(M24)=LENB(M24),LEN(M24)=8)</formula1>
    </dataValidation>
    <dataValidation type="custom" imeMode="fullKatakana" allowBlank="1" showInputMessage="1" showErrorMessage="1" error="全角カタカナで入力してください" prompt="全角カタカナで入力してください。" sqref="G49 AG37:BF37 AG56:BF56" xr:uid="{00000000-0002-0000-0700-00001E000000}">
      <formula1>AND(G37=DBCS(G37))</formula1>
    </dataValidation>
    <dataValidation type="custom" imeMode="fullKatakana" allowBlank="1" showInputMessage="1" showErrorMessage="1" error="全角カナで入力してください" prompt="全角カタカナで入力してください。" sqref="G30" xr:uid="{00000000-0002-0000-0700-00001F000000}">
      <formula1>AND(G30=DBCS(G30))</formula1>
    </dataValidation>
    <dataValidation type="list" imeMode="on" allowBlank="1" showInputMessage="1" showErrorMessage="1" sqref="CK37:CU38 CK24:CU25 AD33:AN34 AD52:AN53" xr:uid="{00000000-0002-0000-0700-000020000000}">
      <formula1>都道府県</formula1>
    </dataValidation>
    <dataValidation type="list" allowBlank="1" showInputMessage="1" showErrorMessage="1" sqref="DE20:DK21 DE33:DK34" xr:uid="{00000000-0002-0000-0700-000021000000}">
      <formula1>"同じ,異なる"</formula1>
    </dataValidation>
    <dataValidation imeMode="disabled" allowBlank="1" showInputMessage="1" showErrorMessage="1" prompt="ご発注対象に対応するお見積番号をご入力ください。" sqref="CF54:DB55" xr:uid="{00000000-0002-0000-0700-000022000000}"/>
    <dataValidation type="list" allowBlank="1" showInputMessage="1" showErrorMessage="1" sqref="BI48:CE49 BI52:CE53" xr:uid="{00000000-0002-0000-0700-000023000000}">
      <formula1>"D-SPA"</formula1>
    </dataValidation>
    <dataValidation type="custom" imeMode="on" allowBlank="1" showInputMessage="1" showErrorMessage="1" error="半角文字が入っている可能性があります。" prompt="全角文字で入力してください。" sqref="CP41:DK42 DB37:DK38 BN28:CJ29 BN41:CJ42 CP28:DK29 BN35 BN22 DB24:DK25 AU33:BF34 G50 G37:AA39 AG38:BF39 AU52:BF53 G56:AA58 AG57:BF58" xr:uid="{00000000-0002-0000-0700-000024000000}">
      <formula1>AND(G22=DBCS(G22))</formula1>
    </dataValidation>
    <dataValidation type="custom" imeMode="on" allowBlank="1" showInputMessage="1" showErrorMessage="1" error="半角文字が入っている可能性があります。" prompt="番地も含めてすべて全角で入力してください。" sqref="M35:AF36 M54:AF55" xr:uid="{00000000-0002-0000-0700-000025000000}">
      <formula1>AND(M35=DBCS(M35))</formula1>
    </dataValidation>
    <dataValidation type="custom" imeMode="on" allowBlank="1" showInputMessage="1" showErrorMessage="1" error="半角文字が入っている可能性があります。" promptTitle="入力方法" prompt="階数なども含めてすべて全角で入力してください。" sqref="CT26:DK27 CT39:DK40 AM35:BF36 AM54:BF55" xr:uid="{00000000-0002-0000-0700-000026000000}">
      <formula1>AND(AM26=DBCS(AM26))</formula1>
    </dataValidation>
    <dataValidation type="custom" imeMode="on" allowBlank="1" showInputMessage="1" showErrorMessage="1" error="半角文字が入っている可能性があります。" promptTitle="入力方法" prompt="番地も含めてすべて全角で入力してください。" sqref="BT26:CM27 BT39:CM40" xr:uid="{00000000-0002-0000-0700-000027000000}">
      <formula1>AND(BT26=DBCS(BT26))</formula1>
    </dataValidation>
    <dataValidation type="custom" imeMode="disabled" allowBlank="1" showInputMessage="1" showErrorMessage="1" error="半角英数字で入力してください" sqref="BI50:DB51" xr:uid="{00000000-0002-0000-0700-000028000000}">
      <formula1>LENB(BI50)=LEN(BI50)</formula1>
    </dataValidation>
    <dataValidation type="custom" imeMode="disabled" allowBlank="1" showInputMessage="1" showErrorMessage="1" promptTitle="入力方法" prompt="(例)03-1111-2222_x000a_のように半角数字で_x000a_ハイフンを入れて_x000a_入力してください" sqref="BN30:CJ31 BN43:CJ44 G40:AA41 G59:AA60" xr:uid="{00000000-0002-0000-0700-000029000000}">
      <formula1>AND(COUNTIF(G30,"*-*"),LEN(G30)=LENB(G30),LEN(G30)&lt;14)</formula1>
    </dataValidation>
    <dataValidation imeMode="disabled" allowBlank="1" showInputMessage="1" showErrorMessage="1" sqref="BI50:CE51 CF54:DB55" xr:uid="{00000000-0002-0000-0700-00002A000000}"/>
    <dataValidation type="whole" imeMode="disabled" allowBlank="1" showInputMessage="1" showErrorMessage="1" sqref="X20:AB21" xr:uid="{00000000-0002-0000-0700-00002B000000}">
      <formula1>1</formula1>
      <formula2>31</formula2>
    </dataValidation>
    <dataValidation type="whole" imeMode="disabled" allowBlank="1" showInputMessage="1" showErrorMessage="1" sqref="CM135 BX97:BZ106 P20:T21" xr:uid="{00000000-0002-0000-0700-00002C000000}">
      <formula1>1</formula1>
      <formula2>12</formula2>
    </dataValidation>
    <dataValidation type="custom" imeMode="disabled" allowBlank="1" showInputMessage="1" showErrorMessage="1" error="郵便番号形式でない可能性があります。" promptTitle="入力方法" prompt="半角数字でハイフンを入れて入力をしてください。" sqref="BI116:BM125" xr:uid="{00000000-0002-0000-0700-00002D000000}">
      <formula1>AND(COUNTIF(BI116,"*-*"),LEN(BI116)=LENB(BI116),LEN(BI116)=8)</formula1>
    </dataValidation>
    <dataValidation type="list" imeMode="hiragana" allowBlank="1" showInputMessage="1" showErrorMessage="1" error="半角文字が入っている可能性があります。" sqref="G31" xr:uid="{00000000-0002-0000-0700-00002E000000}">
      <formula1>法人格_前</formula1>
    </dataValidation>
    <dataValidation type="list" imeMode="hiragana" allowBlank="1" showInputMessage="1" showErrorMessage="1" error="半角文字が入っている可能性があります。" sqref="AZ31" xr:uid="{00000000-0002-0000-0700-00002F000000}">
      <formula1>法人格_後</formula1>
    </dataValidation>
    <dataValidation type="custom" imeMode="hiragana" allowBlank="1" showInputMessage="1" showErrorMessage="1" error="半角文字が入っている可能性があります。" prompt="全角文字で入力してください。_x000a_・自治体名は都道府県名から入力してください。_x000a_・学校法人での契約の際は、製品を利用する学校名まで入力してください。" sqref="Q31" xr:uid="{00000000-0002-0000-0700-000030000000}">
      <formula1>AND(Q31=DBCS(Q31))</formula1>
    </dataValidation>
    <dataValidation type="list" allowBlank="1" showInputMessage="1" showErrorMessage="1" sqref="AR135" xr:uid="{00000000-0002-0000-0700-000031000000}">
      <formula1>IF(COUNTIF($AB135,"*×*"),"",IF(COUNTIF($AB135,"*GIGA*"),ソフトオプション区分_GIGA,ソフトオプション区分))</formula1>
    </dataValidation>
    <dataValidation type="list" allowBlank="1" showInputMessage="1" showErrorMessage="1" prompt="「子ども見守りシステム」を使用予定のお客様で_x000a_パトランプ（メル丸くん）を弊社から購入予定のお客様は_x000a_「○　あり」をご選択ください。" sqref="AR151:BE152" xr:uid="{00000000-0002-0000-0700-000032000000}">
      <formula1>"○ あり,× なし"</formula1>
    </dataValidation>
    <dataValidation type="list" imeMode="off" allowBlank="1" showInputMessage="1" showErrorMessage="1" prompt="業種を選択しても入力欄が赤い表示のままの場合は、大カテゴリの業種を選択している可能性があります。小カテゴリの業種から再度選択ください。" sqref="AR28:BF29" xr:uid="{00000000-0002-0000-0700-000033000000}">
      <formula1>業種</formula1>
    </dataValidation>
    <dataValidation type="list" allowBlank="1" showInputMessage="1" showErrorMessage="1" sqref="L97:V106" xr:uid="{00000000-0002-0000-0700-000034000000}">
      <formula1>IF(OR(COUNTIF(D97:D105,"*19*"),COUNTIF(D97:D105,"*37*"),COUNTIF(D97:D105,"*67*"),COUNTIF(D97:D105,"*14*"),COUNTIF(D97:D105,"*_2000*"),COUNTIF(D97:D105,"*40*"),COUNTIF(D97:D105,"*7000*"),COUNTIF(D97:D105,"*15*")),現モデル保守,V2モデル保守)</formula1>
    </dataValidation>
    <dataValidation type="custom" imeMode="disabled" allowBlank="1" showInputMessage="1" showErrorMessage="1" errorTitle="E-Mail形式ではありません。" error="「,」「..」「/」「;」「:」「&lt;」「&gt;」のいずれかが含まれるか、「＠」がありません。" sqref="CP30:DO31 AJ25:BG26 CP43:DO44 G25:AD26 AG40:BF41 AG59:BF60" xr:uid="{00000000-0002-0000-0700-000035000000}">
      <formula1>COUNTIF(G25,"*,*")+COUNTIF(G25,"*..*")+COUNTIF(G25,"*&lt;*")+COUNTIF(G25,"*&gt;*")+COUNTIF(G25,"*;*")+COUNTIF(G25,"*:*")+COUNTIF(G25,"*/*")+COUNTIF(G25,"&lt;&gt;*@*")=0</formula1>
    </dataValidation>
    <dataValidation type="whole" imeMode="disabled" operator="greaterThanOrEqual" allowBlank="1" showInputMessage="1" showErrorMessage="1" prompt="「追加」のときは追加後の合計ライセンス数を入力してください" sqref="BV135" xr:uid="{00000000-0002-0000-0700-000036000000}">
      <formula1>0</formula1>
    </dataValidation>
    <dataValidation type="list" allowBlank="1" showInputMessage="1" showErrorMessage="1" prompt="ご発注対象製品をプルダウンよりご選択ください。" sqref="BI54:CE63" xr:uid="{00000000-0002-0000-0700-000037000000}">
      <formula1>"D-SPA,D-SPAソフトウェアオプション"</formula1>
    </dataValidation>
    <dataValidation type="list" allowBlank="1" showInputMessage="1" showErrorMessage="1" promptTitle="Dアラート通知先について" prompt="【Dアラート通知を希望する場合】_x000a_・「はい/お客様アドレス」を選択した場合_x000a_お客様が入力した「お客様E-mail」宛に通知されます。_x000a_・「はい/通知先記入」を選択した場合_x000a_「Dアラート通知先」に登録されたアドレス宛に通知されます。_x000a__x000a_【Dアラート通知が不要な場合】_x000a_・「いいえ」を選択してください。" sqref="AZ156:BL157" xr:uid="{00000000-0002-0000-0700-000038000000}">
      <formula1>"はい/お客様アドレス,はい/通知先記入,いいえ"</formula1>
    </dataValidation>
    <dataValidation type="custom" allowBlank="1" showInputMessage="1" showErrorMessage="1" errorTitle="E-Mail形式ではないか、文字数がオーバーしています。" error="「,」「..」「/」「;」「:」「&lt;」「&gt;」のいずれかが含まれるか、「＠」がありません。_x000a_もしくは入力されたアドレスの文字数が65文字以上になっています。" sqref="BR156:CN157" xr:uid="{00000000-0002-0000-0700-000039000000}">
      <formula1>AND(COUNTIF(BR156,"*,*")+COUNTIF(BR156,"*..*")+COUNTIF(BR156,"*&lt;*")+COUNTIF(BR156,"*&gt;*")+COUNTIF(BR156,"*;*")+COUNTIF(BR156,"*:*")+COUNTIF(BR156,"*/*")+COUNTIF(BR156,"&lt;&gt;*@*")=0,LEN(BR156)&lt;65)</formula1>
    </dataValidation>
    <dataValidation type="list" allowBlank="1" showInputMessage="1" showErrorMessage="1" sqref="AB153:AH154" xr:uid="{00000000-0002-0000-0700-00003A000000}">
      <formula1>"新規（本体新規購入）,継続（本体既存契約有）"</formula1>
    </dataValidation>
    <dataValidation type="list" allowBlank="1" showInputMessage="1" showErrorMessage="1" sqref="AR145:BE146" xr:uid="{00000000-0002-0000-0700-00003B000000}">
      <formula1>IF(COUNTIF($AB$145,"*×*"),"",ソフトオプション区分)</formula1>
    </dataValidation>
    <dataValidation type="list" allowBlank="1" showInputMessage="1" showErrorMessage="1" prompt="「i-FILTER for D-SPA」 GIGAスクール版のお客様で_x000a_「子ども見守りシステム」(無償) を使用予定のお客様は_x000a_「有」をご選択ください。" sqref="AB151:AH152" xr:uid="{00000000-0002-0000-0700-00003C000000}">
      <formula1>"○ あり,× なし"</formula1>
    </dataValidation>
    <dataValidation type="list" allowBlank="1" showInputMessage="1" showErrorMessage="1" sqref="D78:Q87" xr:uid="{00000000-0002-0000-0700-00003D000000}">
      <formula1>モデル名_202302</formula1>
    </dataValidation>
    <dataValidation type="custom" imeMode="on" allowBlank="1" showInputMessage="1" showErrorMessage="1" error="半角文字が入っている可能性があります。" sqref="AO50:AZ51" xr:uid="{00000000-0002-0000-0700-00003E000000}">
      <formula1>AND(AO50=DBCS(AO50))</formula1>
    </dataValidation>
    <dataValidation imeMode="on" allowBlank="1" showInputMessage="1" showErrorMessage="1" error="半角文字が入っている可能性があります。" sqref="BA50:BF51" xr:uid="{00000000-0002-0000-0700-00003F000000}"/>
    <dataValidation type="list" allowBlank="1" showInputMessage="1" showErrorMessage="1" prompt="本オプションについてご利用を希望する場合、『「f-FILTER連携 for D-SPA Ver.4」付与申請書』について提出をお願いいたします。" sqref="AB149:AH150" xr:uid="{00000000-0002-0000-0700-000040000000}">
      <formula1>"○ あり,× なし"</formula1>
    </dataValidation>
    <dataValidation type="list" allowBlank="1" showInputMessage="1" showErrorMessage="1" sqref="BM78:CC87" xr:uid="{7F5848FF-7786-4E43-BD41-3E5DB56CC0BA}">
      <formula1>追加ネットワーク・インターフェース・オプション</formula1>
    </dataValidation>
  </dataValidations>
  <hyperlinks>
    <hyperlink ref="J157:X157" r:id="rId1" display="https://www.daj.jp/bs/d-alert/" xr:uid="{00000000-0004-0000-0700-000000000000}"/>
    <hyperlink ref="B162" r:id="rId2" xr:uid="{45CFC4AD-5B5E-4DB9-B23A-06F1EE852E3A}"/>
  </hyperlinks>
  <printOptions horizontalCentered="1"/>
  <pageMargins left="0.11811023622047245" right="0.11811023622047245" top="0.39370078740157483" bottom="0.19685039370078741" header="0.11811023622047245" footer="0.11811023622047245"/>
  <pageSetup paperSize="9" scale="70" orientation="portrait" horizontalDpi="300" verticalDpi="300" r:id="rId3"/>
  <headerFooter>
    <oddFooter>&amp;LDigital Arts Inc.&amp;C&amp;P ページ&amp;R&amp;D</oddFooter>
  </headerFooter>
  <drawing r:id="rId4"/>
  <extLst>
    <ext xmlns:x14="http://schemas.microsoft.com/office/spreadsheetml/2009/9/main" uri="{CCE6A557-97BC-4b89-ADB6-D9C93CAAB3DF}">
      <x14:dataValidations xmlns:xm="http://schemas.microsoft.com/office/excel/2006/main" xWindow="686" yWindow="529" count="1">
        <x14:dataValidation type="list" allowBlank="1" showInputMessage="1" showErrorMessage="1" xr:uid="{00000000-0002-0000-0700-000041000000}">
          <x14:formula1>
            <xm:f>_xlfn.IFS(中間データDSPA!H52="最新モデル区分",最新モデル区分,中間データDSPA!H52="旧モデル区分②",旧モデル区分②,中間データDSPA!H52="旧モデル区分",旧モデル区分)</xm:f>
          </x14:formula1>
          <xm:sqref>R78:V87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77</vt:i4>
      </vt:variant>
    </vt:vector>
  </HeadingPairs>
  <TitlesOfParts>
    <vt:vector size="95" baseType="lpstr">
      <vt:lpstr>入力フォームシート選択</vt:lpstr>
      <vt:lpstr>中間データオンプレ</vt:lpstr>
      <vt:lpstr>入力フォーム_Z-FILTER</vt:lpstr>
      <vt:lpstr>入力フォームDA_Cloud</vt:lpstr>
      <vt:lpstr>入力フォームiF・mF・FC・iFBC・MA</vt:lpstr>
      <vt:lpstr>入力フォーム_Desk</vt:lpstr>
      <vt:lpstr>入力フォーム_a-FILTER</vt:lpstr>
      <vt:lpstr>入力フォーム_f-FILTER</vt:lpstr>
      <vt:lpstr>入力フォームDSPA</vt:lpstr>
      <vt:lpstr>代ホ_入力フォームiF・mF・MA</vt:lpstr>
      <vt:lpstr>中間データ共通・DACloud</vt:lpstr>
      <vt:lpstr>中間データ共通・Desk・f-FILTER・Z-FILTER</vt:lpstr>
      <vt:lpstr>代ホ_入力フォームDSPA</vt:lpstr>
      <vt:lpstr>product</vt:lpstr>
      <vt:lpstr>中間データDSPA</vt:lpstr>
      <vt:lpstr>管理</vt:lpstr>
      <vt:lpstr>お客様情報</vt:lpstr>
      <vt:lpstr>user</vt:lpstr>
      <vt:lpstr>Desk_製品区分</vt:lpstr>
      <vt:lpstr>'中間データ共通・Desk・f-FILTER・Z-FILTER'!DeskCloud_OP_DiskExpansion数量</vt:lpstr>
      <vt:lpstr>DeskCloud_OP_DiskExpansion数量</vt:lpstr>
      <vt:lpstr>'中間データ共通・Desk・f-FILTER・Z-FILTER'!DeskCloud_申請区分</vt:lpstr>
      <vt:lpstr>DeskCloud_申請区分</vt:lpstr>
      <vt:lpstr>DeskCloud_製品区分</vt:lpstr>
      <vt:lpstr>FCCloud_申請区分</vt:lpstr>
      <vt:lpstr>FCCloud_製品区分</vt:lpstr>
      <vt:lpstr>FinalCode_Ver.6_申請区分</vt:lpstr>
      <vt:lpstr>FinalCode_Ver.6_製品区分</vt:lpstr>
      <vt:lpstr>GIGAスクール版</vt:lpstr>
      <vt:lpstr>iFCloud_OP_ログ保存</vt:lpstr>
      <vt:lpstr>iFCloud_申請区分</vt:lpstr>
      <vt:lpstr>iFCloud_製品区分</vt:lpstr>
      <vt:lpstr>i‐FILTER_Ver.10</vt:lpstr>
      <vt:lpstr>i‐FILTER_Ver.8.x以下</vt:lpstr>
      <vt:lpstr>i‐FILTER_Ver.9</vt:lpstr>
      <vt:lpstr>iF製品区分</vt:lpstr>
      <vt:lpstr>mFCloud_OP_アーカイブ保存</vt:lpstr>
      <vt:lpstr>mFCloud_クリプト便</vt:lpstr>
      <vt:lpstr>mFCloud_申請区分</vt:lpstr>
      <vt:lpstr>mFCloud_製品区分</vt:lpstr>
      <vt:lpstr>m‐FILTER_Ver.3.x以下</vt:lpstr>
      <vt:lpstr>m‐FILTER_Ver.4__Ver.4.81以下</vt:lpstr>
      <vt:lpstr>m‐FILTER_Ver.4__Ver.4.82以上</vt:lpstr>
      <vt:lpstr>m‐FILTER_Ver.5</vt:lpstr>
      <vt:lpstr>mF製品区分</vt:lpstr>
      <vt:lpstr>mF製品区分_5以外</vt:lpstr>
      <vt:lpstr>Microsoft365版</vt:lpstr>
      <vt:lpstr>OutlookBeckyThunderbird版</vt:lpstr>
      <vt:lpstr>代ホ_入力フォームDSPA!Print_Area</vt:lpstr>
      <vt:lpstr>代ホ_入力フォームiF・mF・MA!Print_Area</vt:lpstr>
      <vt:lpstr>'入力フォーム_a-FILTER'!Print_Area</vt:lpstr>
      <vt:lpstr>入力フォーム_Desk!Print_Area</vt:lpstr>
      <vt:lpstr>'入力フォーム_f-FILTER'!Print_Area</vt:lpstr>
      <vt:lpstr>'入力フォーム_Z-FILTER'!Print_Area</vt:lpstr>
      <vt:lpstr>入力フォームDA_Cloud!Print_Area</vt:lpstr>
      <vt:lpstr>入力フォームDSPA!Print_Area</vt:lpstr>
      <vt:lpstr>入力フォームiF・mF・FC・iFBC・MA!Print_Area</vt:lpstr>
      <vt:lpstr>StartIn保有</vt:lpstr>
      <vt:lpstr>V2モデル保守</vt:lpstr>
      <vt:lpstr>'中間データ共通・Desk・f-FILTER・Z-FILTER'!YESNO共通</vt:lpstr>
      <vt:lpstr>YESNO共通</vt:lpstr>
      <vt:lpstr>ZF_申請区分_ID.SSE</vt:lpstr>
      <vt:lpstr>ZF_申請区分_SWG</vt:lpstr>
      <vt:lpstr>ZF＿製品区分</vt:lpstr>
      <vt:lpstr>クリプト便エディション</vt:lpstr>
      <vt:lpstr>ソフトオプション_連携AV製品</vt:lpstr>
      <vt:lpstr>ソフトオプション区分</vt:lpstr>
      <vt:lpstr>ソフトオプション区分_GIGA</vt:lpstr>
      <vt:lpstr>ハードオプション_HDD拡充オプション</vt:lpstr>
      <vt:lpstr>ハードオプション_HDD拡充利用用途</vt:lpstr>
      <vt:lpstr>ハードオプション_追加ネットワーク・インターフェース</vt:lpstr>
      <vt:lpstr>ハードオプション_追加電源ケーブル</vt:lpstr>
      <vt:lpstr>ハードオプション_電源冗長化オプション</vt:lpstr>
      <vt:lpstr>モデル名</vt:lpstr>
      <vt:lpstr>モデル名_202302</vt:lpstr>
      <vt:lpstr>モデル名リスト</vt:lpstr>
      <vt:lpstr>旧モデル区分</vt:lpstr>
      <vt:lpstr>旧モデル区分②</vt:lpstr>
      <vt:lpstr>'中間データ共通・Desk・f-FILTER・Z-FILTER'!業種</vt:lpstr>
      <vt:lpstr>業種</vt:lpstr>
      <vt:lpstr>'中間データ共通・Desk・f-FILTER・Z-FILTER'!契約期間</vt:lpstr>
      <vt:lpstr>契約期間</vt:lpstr>
      <vt:lpstr>現モデルiF</vt:lpstr>
      <vt:lpstr>現モデル保守</vt:lpstr>
      <vt:lpstr>最新モデル区分</vt:lpstr>
      <vt:lpstr>追加ネットワーク・インターフェース・オプション</vt:lpstr>
      <vt:lpstr>通常オンプレ</vt:lpstr>
      <vt:lpstr>'中間データ共通・Desk・f-FILTER・Z-FILTER'!都道府県</vt:lpstr>
      <vt:lpstr>都道府県</vt:lpstr>
      <vt:lpstr>'中間データ共通・Desk・f-FILTER・Z-FILTER'!法人格_後</vt:lpstr>
      <vt:lpstr>法人格_後</vt:lpstr>
      <vt:lpstr>'中間データ共通・Desk・f-FILTER・Z-FILTER'!法人格_前</vt:lpstr>
      <vt:lpstr>法人格_前</vt:lpstr>
      <vt:lpstr>'中間データ共通・Desk・f-FILTER・Z-FILTER'!有無</vt:lpstr>
      <vt:lpstr>有無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デジタルアーツ株式会社</dc:creator>
  <cp:lastModifiedBy>沼宮内 真紀子(BBSS) -Makiko Numakunai-</cp:lastModifiedBy>
  <dcterms:created xsi:type="dcterms:W3CDTF">2023-01-18T05:58:50Z</dcterms:created>
  <dcterms:modified xsi:type="dcterms:W3CDTF">2026-06-08T05:22:29Z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b_creator">
    <vt:lpwstr>haruki.oyanagi@daj-net.daj.co.jp</vt:lpwstr>
  </property>
  <property fmtid="{D5CDD505-2E9C-101B-9397-08002B2CF9AE}" pid="3" name="PropUpdateDT">
    <vt:filetime>2022-12-27T08:11:29Z</vt:filetime>
  </property>
  <property fmtid="{D5CDD505-2E9C-101B-9397-08002B2CF9AE}" pid="4" name="fb_updater">
    <vt:lpwstr>haruki.oyanagi@daj-net.daj.co.jp</vt:lpwstr>
  </property>
</Properties>
</file>